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72C7924-CCB8-41F9-BE69-CC2E0C6D6D2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<sst xmlns="http://schemas.openxmlformats.org/spreadsheetml/2006/main" count="2558" uniqueCount="962">
  <si>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</si>
  <si>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</si>
  <si>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</si>
  <si>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</si>
  <si>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</si>
  <si>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</si>
  <si>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</si>
  <si>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</si>
  <si>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</si>
  <si>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</si>
  <si>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</si>
  <si>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</si>
  <si>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</si>
  <si>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</si>
  <si>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</si>
  <si>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</si>
  <si>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</si>
  <si>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</si>
  <si>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</si>
  <si>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</si>
  <si>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</si>
  <si>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</si>
  <si>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</si>
  <si>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</si>
  <si>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</si>
  <si>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</si>
  <si>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</si>
  <si>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</si>
  <si>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</si>
  <si>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</si>
  <si>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</si>
  <si>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</si>
  <si>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</si>
  <si>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</si>
  <si>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</si>
  <si>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</si>
  <si>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</si>
  <si>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</si>
  <si>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</si>
  <si>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</si>
  <si>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</si>
  <si>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</si>
  <si>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</si>
  <si>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</si>
  <si>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</si>
  <si>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</si>
  <si>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</si>
  <si>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</si>
  <si>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</si>
  <si>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</si>
  <si>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</si>
  <si>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</si>
  <si>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</si>
  <si>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</si>
  <si>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</si>
  <si>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</si>
  <si>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</si>
  <si>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</si>
  <si>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</si>
  <si>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</si>
  <si>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</si>
  <si>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</si>
  <si>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</si>
  <si>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</si>
  <si>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</si>
  <si>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</si>
  <si>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</si>
  <si>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</si>
  <si>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</si>
  <si>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</si>
  <si>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</si>
  <si>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</si>
  <si>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</si>
  <si>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</si>
  <si>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</si>
  <si>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</si>
  <si>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</si>
  <si>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</si>
  <si>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</si>
  <si>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</si>
  <si>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</si>
  <si>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</si>
  <si>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</si>
  <si>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</si>
  <si>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</si>
  <si>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</si>
  <si>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</si>
  <si>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</si>
  <si>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</si>
  <si>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</si>
  <si>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</si>
  <si>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</si>
  <si>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</si>
  <si>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</si>
  <si>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</si>
  <si>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</si>
  <si>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</si>
  <si>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</si>
  <si>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</si>
  <si>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</si>
  <si>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</si>
  <si>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</si>
  <si>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</si>
  <si>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</si>
  <si>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</si>
  <si>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</si>
  <si>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</si>
  <si>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</si>
  <si>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</si>
  <si>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</si>
  <si>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</si>
  <si>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</si>
  <si>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</si>
  <si>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</si>
  <si>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</si>
  <si>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</si>
  <si>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</si>
  <si>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</si>
  <si>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</si>
  <si>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</si>
  <si>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</si>
  <si>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</si>
  <si>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</si>
  <si>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</si>
  <si>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</si>
  <si>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</si>
  <si>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</si>
  <si>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</si>
  <si>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</si>
  <si>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</si>
  <si>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</si>
  <si>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</si>
  <si>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</si>
  <si>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</si>
  <si>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</si>
  <si>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</si>
  <si>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</si>
  <si>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</si>
  <si>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</si>
  <si>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</si>
  <si>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</si>
  <si>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</si>
  <si>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</si>
  <si>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</si>
  <si>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</si>
  <si>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</si>
  <si>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</si>
  <si>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</si>
  <si>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</si>
  <si>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</si>
  <si>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</si>
  <si>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</si>
  <si>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</si>
  <si>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</si>
  <si>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</si>
  <si>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</si>
  <si>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</si>
  <si>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</si>
  <si>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</si>
  <si>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</si>
  <si>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</si>
  <si>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</si>
  <si>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</si>
  <si>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</si>
  <si>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</si>
  <si>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</si>
  <si>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</si>
  <si>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</si>
  <si>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</si>
  <si>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</si>
  <si>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</si>
  <si>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</si>
  <si>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</si>
  <si>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</si>
  <si>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</si>
  <si>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</si>
  <si>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</si>
  <si>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</si>
  <si>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</si>
  <si>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</si>
  <si>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</si>
  <si>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</si>
  <si>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</si>
  <si>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</si>
  <si>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</si>
  <si>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</si>
  <si>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</si>
  <si>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</si>
  <si>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</si>
  <si>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</si>
  <si>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</si>
  <si>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</si>
  <si>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</si>
  <si>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</si>
  <si>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</si>
  <si>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</si>
  <si>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</si>
  <si>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</si>
  <si>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</si>
  <si>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</si>
  <si>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</si>
  <si>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</si>
  <si>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</si>
  <si>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</si>
  <si>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</si>
  <si>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</si>
  <si>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</si>
  <si>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</si>
  <si>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</si>
  <si>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</si>
  <si>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</si>
  <si>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</si>
  <si>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</si>
  <si>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</si>
  <si>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</si>
  <si>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</si>
  <si>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</si>
  <si>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</si>
  <si>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</si>
  <si>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</si>
  <si>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</si>
  <si>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</si>
  <si>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</si>
  <si>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</si>
  <si>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</si>
  <si>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</si>
  <si>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</si>
  <si>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</si>
  <si>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</si>
  <si>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</si>
  <si>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</si>
  <si>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</si>
  <si>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</si>
  <si>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</si>
  <si>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</si>
  <si>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</si>
  <si>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</si>
  <si>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</si>
  <si>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</si>
  <si>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</si>
  <si>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</si>
  <si>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</si>
  <si>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</si>
  <si>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</si>
  <si>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</si>
  <si>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</si>
  <si>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</si>
  <si>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</si>
  <si>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</si>
  <si>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</si>
  <si>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</si>
  <si>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</si>
  <si>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</si>
  <si>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</si>
  <si>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</si>
  <si>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</si>
  <si>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</si>
  <si>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</si>
  <si>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</si>
  <si>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</si>
  <si>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</si>
  <si>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</si>
  <si>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</si>
  <si>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</si>
  <si>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</si>
  <si>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</si>
  <si>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</si>
  <si>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</si>
  <si>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</si>
  <si>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</si>
  <si>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</si>
  <si>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</si>
  <si>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</si>
  <si>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</si>
  <si>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</si>
  <si>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</si>
  <si>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</si>
  <si>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</si>
  <si>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</si>
  <si>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</si>
  <si>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</si>
  <si>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</si>
  <si>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</si>
  <si>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</si>
  <si>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</si>
  <si>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</si>
  <si>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</si>
  <si>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</si>
  <si>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</si>
  <si>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</si>
  <si>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</si>
  <si>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</si>
  <si>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</si>
  <si>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</si>
  <si>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</si>
  <si>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</si>
  <si>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</si>
  <si>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</si>
  <si>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</si>
  <si>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</si>
  <si>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</si>
  <si>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</si>
  <si>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</si>
  <si>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</si>
  <si>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</si>
  <si>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</si>
  <si>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</si>
  <si>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</si>
  <si>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</si>
  <si>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</si>
  <si>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</si>
  <si>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</si>
  <si>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</si>
  <si>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</si>
  <si>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</si>
  <si>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</si>
  <si>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</si>
  <si>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</si>
  <si>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</si>
  <si>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</si>
  <si>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</si>
  <si>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</si>
  <si>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</si>
  <si>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</si>
  <si>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</si>
  <si>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</si>
  <si>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</si>
  <si>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</si>
  <si>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</si>
  <si>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</si>
  <si>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</si>
  <si>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</si>
  <si>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</si>
  <si>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</si>
  <si>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</si>
  <si>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</si>
  <si>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</si>
  <si>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</si>
  <si>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</si>
  <si>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</si>
  <si>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</si>
  <si>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</si>
  <si>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</si>
  <si>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</si>
  <si>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</si>
  <si>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</si>
  <si>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</si>
  <si>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</si>
  <si>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</si>
  <si>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</si>
  <si>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</si>
  <si>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</si>
  <si>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</si>
  <si>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</si>
  <si>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</si>
  <si>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</si>
  <si>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</si>
  <si>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</si>
  <si>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</si>
  <si>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</si>
  <si>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</si>
  <si>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</si>
  <si>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</si>
  <si>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</si>
  <si>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</si>
  <si>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</si>
  <si>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</si>
  <si>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</si>
  <si>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</si>
  <si>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</si>
  <si>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</si>
  <si>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</si>
  <si>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</si>
  <si>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</si>
  <si>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</si>
  <si>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</si>
  <si>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</si>
  <si>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</si>
  <si>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</si>
  <si>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</si>
  <si>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</si>
  <si>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</si>
  <si>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</si>
  <si>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</si>
  <si>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</si>
  <si>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</si>
  <si>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</si>
  <si>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</si>
  <si>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</si>
  <si>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</si>
  <si>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</si>
  <si>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</si>
  <si>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</si>
  <si>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</si>
  <si>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</si>
  <si>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</si>
  <si>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</si>
  <si>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</si>
  <si>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</si>
  <si>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</si>
  <si>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</si>
  <si>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</si>
  <si>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</si>
  <si>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</si>
  <si>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</si>
  <si>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</si>
  <si>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</si>
  <si>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</si>
  <si>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</si>
  <si>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</si>
  <si>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</si>
  <si>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</si>
  <si>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</si>
  <si>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</si>
  <si>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</si>
  <si>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</si>
  <si>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</si>
  <si>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</si>
  <si>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</si>
  <si>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</si>
  <si>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</si>
  <si>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</si>
  <si>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</si>
  <si>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</si>
  <si>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</si>
  <si>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</si>
  <si>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</si>
  <si>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</si>
  <si>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</si>
  <si>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</si>
  <si>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</si>
  <si>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</si>
  <si>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</si>
  <si>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</si>
  <si>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</si>
  <si>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</si>
  <si>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</si>
  <si>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</si>
  <si>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</si>
  <si>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</si>
  <si>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</si>
  <si>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</si>
  <si>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</si>
  <si>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</si>
  <si>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</si>
  <si>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</si>
  <si>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</si>
  <si>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</si>
  <si>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</si>
  <si>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</si>
  <si>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</si>
  <si>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</si>
  <si>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</si>
  <si>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</si>
  <si>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</si>
  <si>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</si>
  <si>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</si>
  <si>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</si>
  <si>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</si>
  <si>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</si>
  <si>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</si>
  <si>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</si>
  <si>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</si>
  <si>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</si>
  <si>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</si>
  <si>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</si>
  <si>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</si>
  <si>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</si>
  <si>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</si>
  <si>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</si>
  <si>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</si>
  <si>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</si>
  <si>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</si>
  <si>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</si>
  <si>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</si>
  <si>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</si>
  <si>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</si>
  <si>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</si>
  <si>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</si>
  <si>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</si>
  <si>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</si>
  <si>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</si>
  <si>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</si>
  <si>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</si>
  <si>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</si>
  <si>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</si>
  <si>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</si>
  <si>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</si>
  <si>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</si>
  <si>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</si>
  <si>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</si>
  <si>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</si>
  <si>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</si>
  <si>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</si>
  <si>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</si>
  <si>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</si>
  <si>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</si>
  <si>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</si>
  <si>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</si>
  <si>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</si>
  <si>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</si>
  <si>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</si>
  <si>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</si>
  <si>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</si>
  <si>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</si>
  <si>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</si>
  <si>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</si>
  <si>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</si>
  <si>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</si>
  <si>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</si>
  <si>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</si>
  <si>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</si>
  <si>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</si>
  <si>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</si>
  <si>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</si>
  <si>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</si>
  <si>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</si>
  <si>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</si>
  <si>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</si>
  <si>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</si>
  <si>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</si>
  <si>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</si>
  <si>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</si>
  <si>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</si>
  <si>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</si>
  <si>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</si>
  <si>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</si>
  <si>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</si>
  <si>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</si>
  <si>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</si>
  <si>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</si>
  <si>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</si>
  <si>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</si>
  <si>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</si>
  <si>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</si>
  <si>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</si>
  <si>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</si>
  <si>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</si>
  <si>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</si>
  <si>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</si>
  <si>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</si>
  <si>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</si>
  <si>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</si>
  <si>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</si>
  <si>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</si>
  <si>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</si>
  <si>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</si>
  <si>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</si>
  <si>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</si>
  <si>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</si>
  <si>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</si>
  <si>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</si>
  <si>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</si>
  <si>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</si>
  <si>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</si>
  <si>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</si>
  <si>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</si>
  <si>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</si>
  <si>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</si>
  <si>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</si>
  <si>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</si>
  <si>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</si>
  <si>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</si>
  <si>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</si>
  <si>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</si>
  <si>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</si>
  <si>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</si>
  <si>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</si>
  <si>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</si>
  <si>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</si>
  <si>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</si>
  <si>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</si>
  <si>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</si>
  <si>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</si>
  <si>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</si>
  <si>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</si>
  <si>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</si>
  <si>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</si>
  <si>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</si>
  <si>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</si>
  <si>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</si>
  <si>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</si>
  <si>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</si>
  <si>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</si>
  <si>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</si>
  <si>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</si>
  <si>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</si>
  <si>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</si>
  <si>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</si>
  <si>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</si>
  <si>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</si>
  <si>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</si>
  <si>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</si>
  <si>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</si>
  <si>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</si>
  <si>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</si>
  <si>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</si>
  <si>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</si>
  <si>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</si>
  <si>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</si>
  <si>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</si>
  <si>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</si>
  <si>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</si>
  <si>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</si>
  <si>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</si>
  <si>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</si>
  <si>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</si>
  <si>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</si>
  <si>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</si>
  <si>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</si>
  <si>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</si>
  <si>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</si>
  <si>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</si>
  <si>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</si>
  <si>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</si>
  <si>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</si>
  <si>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</si>
  <si>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</si>
  <si>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</si>
  <si>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</si>
  <si>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</si>
  <si>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</si>
  <si>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</si>
  <si>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</si>
  <si>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</si>
  <si>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</si>
  <si>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</si>
  <si>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</si>
  <si>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</si>
  <si>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</si>
  <si>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</si>
  <si>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</si>
  <si>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</si>
  <si>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</si>
  <si>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</si>
  <si>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</si>
  <si>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</si>
  <si>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</si>
  <si>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</si>
  <si>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</si>
  <si>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</si>
  <si>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</si>
  <si>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</si>
  <si>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</si>
  <si>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</si>
  <si>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</si>
  <si>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</si>
  <si>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</si>
  <si>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</si>
  <si>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</si>
  <si>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</si>
  <si>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</si>
  <si>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</si>
  <si>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</si>
  <si>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</si>
  <si>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</si>
  <si>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</si>
  <si>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</si>
  <si>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</si>
  <si>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</si>
  <si>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</si>
  <si>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</si>
  <si>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</si>
  <si>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</si>
  <si>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</si>
  <si>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</si>
  <si>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</si>
  <si>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</si>
  <si>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</si>
  <si>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</si>
  <si>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</si>
  <si>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</si>
  <si>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</si>
  <si>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</si>
  <si>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</si>
  <si>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</si>
  <si>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</si>
  <si>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</si>
  <si>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</si>
  <si>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</si>
  <si>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</si>
  <si>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</si>
  <si>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</si>
  <si>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</si>
  <si>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</si>
  <si>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</si>
  <si>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</si>
  <si>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</si>
  <si>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</si>
  <si>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</si>
  <si>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</si>
  <si>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</si>
  <si>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</si>
  <si>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</si>
  <si>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</si>
  <si>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</si>
  <si>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</si>
  <si>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</si>
  <si>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</si>
  <si>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</si>
  <si>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</si>
  <si>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</si>
  <si>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</si>
  <si>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</si>
  <si>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</si>
  <si>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</si>
  <si>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</si>
  <si>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</si>
  <si>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</si>
  <si>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</si>
  <si>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</si>
  <si>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</si>
  <si>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</si>
  <si>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</si>
  <si>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</si>
  <si>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</si>
  <si>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</si>
  <si>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</si>
  <si>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</si>
  <si>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</si>
  <si>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</si>
  <si>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</si>
  <si>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</si>
  <si>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</si>
  <si>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</si>
  <si>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</si>
  <si>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</si>
  <si>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</si>
  <si>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</si>
  <si>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</si>
  <si>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</si>
  <si>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</si>
  <si>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</si>
  <si>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</si>
  <si>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</si>
  <si>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</si>
  <si>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</si>
  <si>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</si>
  <si>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</si>
  <si>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</si>
  <si>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</si>
  <si>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</si>
  <si>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</si>
  <si>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</si>
  <si>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</si>
  <si>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</si>
  <si>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</si>
  <si>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</si>
  <si>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</si>
  <si>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</si>
  <si>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</si>
  <si>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</si>
  <si>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</si>
  <si>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</si>
  <si>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</si>
  <si>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</si>
  <si>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</si>
  <si>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</si>
  <si>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</si>
  <si>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</si>
  <si>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</si>
  <si>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</si>
  <si>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</si>
  <si>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</si>
  <si>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</si>
  <si>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</si>
  <si>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</si>
  <si>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</si>
  <si>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</si>
  <si>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</si>
  <si>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</si>
  <si>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</si>
  <si>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</si>
  <si>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</si>
  <si>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</si>
  <si>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</si>
  <si>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</si>
  <si>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</si>
  <si>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</si>
  <si>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</si>
  <si>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</si>
  <si>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</si>
  <si>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</si>
  <si>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</si>
  <si>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</si>
  <si>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</si>
  <si>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</si>
  <si>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</si>
  <si>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</si>
  <si>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</si>
  <si>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</si>
  <si>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</si>
  <si>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</si>
  <si>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</si>
  <si>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</si>
  <si>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</si>
  <si>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</si>
  <si>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</si>
  <si>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</si>
  <si>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</si>
  <si>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</si>
  <si>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</si>
  <si>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</si>
  <si>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</si>
  <si>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</si>
  <si>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</si>
  <si>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</si>
  <si>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</si>
  <si>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</si>
  <si>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</si>
  <si>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</si>
  <si>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</si>
  <si>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</si>
  <si>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</si>
  <si>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</si>
  <si>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</si>
  <si>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</si>
  <si>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</si>
  <si>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</si>
  <si>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</si>
  <si>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</si>
  <si>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</si>
  <si>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</si>
  <si>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</si>
  <si>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</si>
  <si>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</si>
  <si>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</si>
  <si>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</si>
  <si>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</si>
  <si>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</si>
  <si>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</si>
  <si>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</si>
  <si>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</si>
  <si>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</si>
  <si>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</si>
  <si>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</si>
  <si>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</si>
  <si>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</si>
  <si>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</si>
  <si>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</si>
  <si>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</si>
  <si>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</si>
  <si>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</si>
  <si>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</si>
  <si>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</si>
  <si>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</si>
  <si>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</si>
  <si>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</si>
  <si>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</si>
  <si>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</si>
  <si>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</si>
  <si>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</si>
  <si>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</si>
  <si>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</si>
  <si>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</si>
  <si>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</si>
  <si>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</si>
  <si>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</si>
  <si>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</si>
  <si>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</si>
  <si>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</si>
  <si>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</si>
  <si>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</si>
  <si>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</si>
  <si>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</si>
  <si>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</si>
  <si>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</si>
  <si>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</si>
  <si>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</si>
  <si>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</si>
  <si>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</si>
  <si>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</si>
  <si>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</si>
  <si>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</si>
  <si>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</si>
  <si>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</si>
  <si>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</si>
  <si>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</si>
  <si>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</si>
  <si>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</si>
  <si>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</si>
  <si>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</si>
  <si>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</si>
  <si>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</si>
  <si>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</si>
  <si>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</si>
  <si>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</si>
  <si>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</si>
  <si>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</si>
  <si>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</si>
  <si>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</si>
  <si>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</si>
  <si>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</si>
  <si>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</si>
  <si>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</si>
  <si>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</si>
  <si>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</si>
  <si>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</si>
  <si>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</si>
  <si>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</si>
  <si>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</si>
  <si>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</si>
  <si>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</si>
  <si>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</si>
  <si>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</si>
  <si>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</si>
  <si>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</si>
  <si>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</si>
  <si>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</si>
  <si>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</si>
  <si>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</si>
  <si>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</si>
  <si>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</si>
  <si>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</si>
  <si>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</si>
  <si>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</si>
  <si>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</si>
  <si>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</si>
  <si>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</si>
  <si>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</si>
  <si>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</si>
  <si>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</si>
  <si>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</si>
  <si>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</si>
  <si>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</si>
  <si>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</si>
  <si>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</si>
  <si>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</si>
  <si>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</si>
  <si>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</si>
  <si>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</si>
  <si>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</si>
  <si>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</si>
  <si>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</si>
  <si>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</si>
  <si>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</si>
  <si>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</si>
  <si>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</si>
  <si>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</si>
  <si>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</si>
  <si>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</si>
  <si>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</si>
  <si>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</si>
  <si>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</si>
  <si>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</si>
  <si>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</si>
  <si>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</si>
  <si>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</si>
  <si>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</si>
  <si>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</si>
  <si>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</si>
  <si>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</si>
  <si>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</si>
  <si>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42003</t>
  </si>
  <si>
    <t>BERLARE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</si>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</sst>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704790A-1BF5-429E-950C-3C0DC9F9B3F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42003</v>
      </c>
      <c r="B6" s="384"/>
      <c r="C6" s="385"/>
    </row>
    <row r="7" spans="1:7" s="382" customFormat="1" ht="15.75" customHeight="1">
      <c r="A7" s="386" t="str">
        <f>txtMunicipality</f>
        <v>BERLARE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13656.996459789483</v>
      </c>
      <c r="D10" s="674">
        <f ca="1">tertiair!C16</f>
        <v>57.857142857142861</v>
      </c>
      <c r="E10" s="674">
        <f ca="1">tertiair!D16</f>
        <v>9648.8936931747285</v>
      </c>
      <c r="F10" s="674">
        <f>tertiair!E16</f>
        <v>179.18975388588942</v>
      </c>
      <c r="G10" s="674">
        <f ca="1">tertiair!F16</f>
        <v>2491.7258300988783</v>
      </c>
      <c r="H10" s="674">
        <f>tertiair!G16</f>
        <v>0</v>
      </c>
      <c r="I10" s="674">
        <f>tertiair!H16</f>
        <v>0</v>
      </c>
      <c r="J10" s="674">
        <f>tertiair!I16</f>
        <v>0</v>
      </c>
      <c r="K10" s="674">
        <f>tertiair!J16</f>
        <v>0</v>
      </c>
      <c r="L10" s="674">
        <f>tertiair!K16</f>
        <v>0</v>
      </c>
      <c r="M10" s="674">
        <f ca="1">tertiair!L16</f>
        <v>0</v>
      </c>
      <c r="N10" s="674">
        <f>tertiair!M16</f>
        <v>0</v>
      </c>
      <c r="O10" s="674">
        <f ca="1">tertiair!N16</f>
        <v>910.60131499947511</v>
      </c>
      <c r="P10" s="674">
        <f>tertiair!O16</f>
        <v>4.6900000000000004</v>
      </c>
      <c r="Q10" s="675">
        <f>tertiair!P16</f>
        <v>19.066666666666666</v>
      </c>
      <c r="R10" s="677">
        <f ca="1">SUM(C10:Q10)</f>
        <v>26969.020861472265</v>
      </c>
      <c r="S10" s="68"/>
    </row>
    <row r="11" spans="1:19" s="443" customFormat="1">
      <c r="A11" s="789" t="s">
        <v>214</v>
      </c>
      <c r="B11" s="794"/>
      <c r="C11" s="674">
        <f>huishoudens!B8</f>
        <v>32000.639409468782</v>
      </c>
      <c r="D11" s="674">
        <f>huishoudens!C8</f>
        <v>0</v>
      </c>
      <c r="E11" s="674">
        <f>huishoudens!D8</f>
        <v>45115.288681987862</v>
      </c>
      <c r="F11" s="674">
        <f>huishoudens!E8</f>
        <v>1747.2954937077691</v>
      </c>
      <c r="G11" s="674">
        <f>huishoudens!F8</f>
        <v>53269.966687373926</v>
      </c>
      <c r="H11" s="674">
        <f>huishoudens!G8</f>
        <v>0</v>
      </c>
      <c r="I11" s="674">
        <f>huishoudens!H8</f>
        <v>0</v>
      </c>
      <c r="J11" s="674">
        <f>huishoudens!I8</f>
        <v>0</v>
      </c>
      <c r="K11" s="674">
        <f>huishoudens!J8</f>
        <v>966.56498384443285</v>
      </c>
      <c r="L11" s="674">
        <f>huishoudens!K8</f>
        <v>0</v>
      </c>
      <c r="M11" s="674">
        <f>huishoudens!L8</f>
        <v>0</v>
      </c>
      <c r="N11" s="674">
        <f>huishoudens!M8</f>
        <v>0</v>
      </c>
      <c r="O11" s="674">
        <f>huishoudens!N8</f>
        <v>9170.827984211257</v>
      </c>
      <c r="P11" s="674">
        <f>huishoudens!O8</f>
        <v>79.73</v>
      </c>
      <c r="Q11" s="675">
        <f>huishoudens!P8</f>
        <v>400.4</v>
      </c>
      <c r="R11" s="677">
        <f>SUM(C11:Q11)</f>
        <v>142750.71324059405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2907.0691446770929</v>
      </c>
      <c r="D13" s="674">
        <f>industrie!C18</f>
        <v>0</v>
      </c>
      <c r="E13" s="674">
        <f>industrie!D18</f>
        <v>8876.7653943230634</v>
      </c>
      <c r="F13" s="674">
        <f>industrie!E18</f>
        <v>25.201488568788861</v>
      </c>
      <c r="G13" s="674">
        <f>industrie!F18</f>
        <v>1168.3704814066018</v>
      </c>
      <c r="H13" s="674">
        <f>industrie!G18</f>
        <v>0</v>
      </c>
      <c r="I13" s="674">
        <f>industrie!H18</f>
        <v>0</v>
      </c>
      <c r="J13" s="674">
        <f>industrie!I18</f>
        <v>0</v>
      </c>
      <c r="K13" s="674">
        <f>industrie!J18</f>
        <v>9.4903026255405187</v>
      </c>
      <c r="L13" s="674">
        <f>industrie!K18</f>
        <v>0</v>
      </c>
      <c r="M13" s="674">
        <f>industrie!L18</f>
        <v>0</v>
      </c>
      <c r="N13" s="674">
        <f>industrie!M18</f>
        <v>0</v>
      </c>
      <c r="O13" s="674">
        <f>industrie!N18</f>
        <v>121.58854565519057</v>
      </c>
      <c r="P13" s="674">
        <f>industrie!O18</f>
        <v>0</v>
      </c>
      <c r="Q13" s="675">
        <f>industrie!P18</f>
        <v>0</v>
      </c>
      <c r="R13" s="677">
        <f>SUM(C13:Q13)</f>
        <v>13108.485357256279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48564.70501393536</v>
      </c>
      <c r="D16" s="707">
        <f t="shared" ref="D16:R16" ca="1" si="0">SUM(D9:D15)</f>
        <v>57.857142857142861</v>
      </c>
      <c r="E16" s="707">
        <f t="shared" ca="1" si="0"/>
        <v>63640.947769485654</v>
      </c>
      <c r="F16" s="707">
        <f t="shared" si="0"/>
        <v>1951.6867361624472</v>
      </c>
      <c r="G16" s="707">
        <f t="shared" ca="1" si="0"/>
        <v>56930.062998879403</v>
      </c>
      <c r="H16" s="707">
        <f t="shared" si="0"/>
        <v>0</v>
      </c>
      <c r="I16" s="707">
        <f t="shared" si="0"/>
        <v>0</v>
      </c>
      <c r="J16" s="707">
        <f t="shared" si="0"/>
        <v>0</v>
      </c>
      <c r="K16" s="707">
        <f t="shared" si="0"/>
        <v>976.05528646997334</v>
      </c>
      <c r="L16" s="707">
        <f t="shared" si="0"/>
        <v>0</v>
      </c>
      <c r="M16" s="707">
        <f t="shared" ca="1" si="0"/>
        <v>0</v>
      </c>
      <c r="N16" s="707">
        <f t="shared" si="0"/>
        <v>0</v>
      </c>
      <c r="O16" s="707">
        <f t="shared" ca="1" si="0"/>
        <v>10203.017844865924</v>
      </c>
      <c r="P16" s="707">
        <f t="shared" si="0"/>
        <v>84.42</v>
      </c>
      <c r="Q16" s="707">
        <f t="shared" si="0"/>
        <v>419.46666666666664</v>
      </c>
      <c r="R16" s="707">
        <f t="shared" ca="1" si="0"/>
        <v>182828.2194593226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4.4056240571732115</v>
      </c>
      <c r="D19" s="674">
        <f>transport!C54</f>
        <v>0</v>
      </c>
      <c r="E19" s="674">
        <f>transport!D54</f>
        <v>0</v>
      </c>
      <c r="F19" s="674">
        <f>transport!E54</f>
        <v>0</v>
      </c>
      <c r="G19" s="674">
        <f>transport!F54</f>
        <v>0</v>
      </c>
      <c r="H19" s="674">
        <f>transport!G54</f>
        <v>878.71040417892414</v>
      </c>
      <c r="I19" s="674">
        <f>transport!H54</f>
        <v>0</v>
      </c>
      <c r="J19" s="674">
        <f>transport!I54</f>
        <v>0</v>
      </c>
      <c r="K19" s="674">
        <f>transport!J54</f>
        <v>0</v>
      </c>
      <c r="L19" s="674">
        <f>transport!K54</f>
        <v>0</v>
      </c>
      <c r="M19" s="674">
        <f>transport!L54</f>
        <v>0</v>
      </c>
      <c r="N19" s="674">
        <f>transport!M54</f>
        <v>38.838063985593742</v>
      </c>
      <c r="O19" s="674">
        <f>transport!N54</f>
        <v>0</v>
      </c>
      <c r="P19" s="674">
        <f>transport!O54</f>
        <v>0</v>
      </c>
      <c r="Q19" s="675">
        <f>transport!P54</f>
        <v>0</v>
      </c>
      <c r="R19" s="677">
        <f>SUM(C19:Q19)</f>
        <v>921.9540922216911</v>
      </c>
      <c r="S19" s="68"/>
    </row>
    <row r="20" spans="1:19" s="443" customFormat="1">
      <c r="A20" s="789" t="s">
        <v>296</v>
      </c>
      <c r="B20" s="794"/>
      <c r="C20" s="674">
        <f>transport!B14</f>
        <v>2.60187375187218</v>
      </c>
      <c r="D20" s="674">
        <f>transport!C14</f>
        <v>0</v>
      </c>
      <c r="E20" s="674">
        <f>transport!D14</f>
        <v>3.6076952759454137</v>
      </c>
      <c r="F20" s="674">
        <f>transport!E14</f>
        <v>228.06994058224751</v>
      </c>
      <c r="G20" s="674">
        <f>transport!F14</f>
        <v>0</v>
      </c>
      <c r="H20" s="674">
        <f>transport!G14</f>
        <v>50791.377496543624</v>
      </c>
      <c r="I20" s="674">
        <f>transport!H14</f>
        <v>8600.7302722775094</v>
      </c>
      <c r="J20" s="674">
        <f>transport!I14</f>
        <v>0</v>
      </c>
      <c r="K20" s="674">
        <f>transport!J14</f>
        <v>0</v>
      </c>
      <c r="L20" s="674">
        <f>transport!K14</f>
        <v>0</v>
      </c>
      <c r="M20" s="674">
        <f>transport!L14</f>
        <v>0</v>
      </c>
      <c r="N20" s="674">
        <f>transport!M14</f>
        <v>2653.9559521703036</v>
      </c>
      <c r="O20" s="674">
        <f>transport!N14</f>
        <v>0</v>
      </c>
      <c r="P20" s="674">
        <f>transport!O14</f>
        <v>0</v>
      </c>
      <c r="Q20" s="675">
        <f>transport!P14</f>
        <v>0</v>
      </c>
      <c r="R20" s="677">
        <f>SUM(C20:Q20)</f>
        <v>62280.343230601502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7.0074978090453914</v>
      </c>
      <c r="D22" s="792">
        <f t="shared" ref="D22:R22" si="1">SUM(D18:D21)</f>
        <v>0</v>
      </c>
      <c r="E22" s="792">
        <f t="shared" si="1"/>
        <v>3.6076952759454137</v>
      </c>
      <c r="F22" s="792">
        <f t="shared" si="1"/>
        <v>228.06994058224751</v>
      </c>
      <c r="G22" s="792">
        <f t="shared" si="1"/>
        <v>0</v>
      </c>
      <c r="H22" s="792">
        <f t="shared" si="1"/>
        <v>51670.087900722545</v>
      </c>
      <c r="I22" s="792">
        <f t="shared" si="1"/>
        <v>8600.7302722775094</v>
      </c>
      <c r="J22" s="792">
        <f t="shared" si="1"/>
        <v>0</v>
      </c>
      <c r="K22" s="792">
        <f t="shared" si="1"/>
        <v>0</v>
      </c>
      <c r="L22" s="792">
        <f t="shared" si="1"/>
        <v>0</v>
      </c>
      <c r="M22" s="792">
        <f t="shared" si="1"/>
        <v>0</v>
      </c>
      <c r="N22" s="792">
        <f t="shared" si="1"/>
        <v>2692.7940161558972</v>
      </c>
      <c r="O22" s="792">
        <f t="shared" si="1"/>
        <v>0</v>
      </c>
      <c r="P22" s="792">
        <f t="shared" si="1"/>
        <v>0</v>
      </c>
      <c r="Q22" s="792">
        <f t="shared" si="1"/>
        <v>0</v>
      </c>
      <c r="R22" s="792">
        <f t="shared" si="1"/>
        <v>63202.297322823193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1009.037191809437</v>
      </c>
      <c r="D24" s="674">
        <f>+landbouw!C8</f>
        <v>0</v>
      </c>
      <c r="E24" s="674">
        <f>+landbouw!D8</f>
        <v>891.19530649817659</v>
      </c>
      <c r="F24" s="674">
        <f>+landbouw!E8</f>
        <v>9.5058064239408324</v>
      </c>
      <c r="G24" s="674">
        <f>+landbouw!F8</f>
        <v>3292.8232269087762</v>
      </c>
      <c r="H24" s="674">
        <f>+landbouw!G8</f>
        <v>0</v>
      </c>
      <c r="I24" s="674">
        <f>+landbouw!H8</f>
        <v>0</v>
      </c>
      <c r="J24" s="674">
        <f>+landbouw!I8</f>
        <v>0</v>
      </c>
      <c r="K24" s="674">
        <f>+landbouw!J8</f>
        <v>124.82280858278554</v>
      </c>
      <c r="L24" s="674">
        <f>+landbouw!K8</f>
        <v>0</v>
      </c>
      <c r="M24" s="674">
        <f>+landbouw!L8</f>
        <v>0</v>
      </c>
      <c r="N24" s="674">
        <f>+landbouw!M8</f>
        <v>0</v>
      </c>
      <c r="O24" s="674">
        <f>+landbouw!N8</f>
        <v>0</v>
      </c>
      <c r="P24" s="674">
        <f>+landbouw!O8</f>
        <v>0</v>
      </c>
      <c r="Q24" s="675">
        <f>+landbouw!P8</f>
        <v>0</v>
      </c>
      <c r="R24" s="677">
        <f>SUM(C24:Q24)</f>
        <v>5327.3843402231169</v>
      </c>
      <c r="S24" s="68"/>
    </row>
    <row r="25" spans="1:19" s="443" customFormat="1" ht="15" thickBot="1">
      <c r="A25" s="811" t="s">
        <v>873</v>
      </c>
      <c r="B25" s="977"/>
      <c r="C25" s="978">
        <f>IF(Onbekend_ele_kWh="---",0,Onbekend_ele_kWh)/1000+IF(REST_rest_ele_kWh="---",0,REST_rest_ele_kWh)/1000</f>
        <v>556.909758424129</v>
      </c>
      <c r="D25" s="978"/>
      <c r="E25" s="978">
        <f>IF(onbekend_gas_kWh="---",0,onbekend_gas_kWh)/1000+IF(REST_rest_gas_kWh="---",0,REST_rest_gas_kWh)/1000</f>
        <v>911.54845026066198</v>
      </c>
      <c r="F25" s="978"/>
      <c r="G25" s="978"/>
      <c r="H25" s="978"/>
      <c r="I25" s="978"/>
      <c r="J25" s="978"/>
      <c r="K25" s="978"/>
      <c r="L25" s="978"/>
      <c r="M25" s="978"/>
      <c r="N25" s="978"/>
      <c r="O25" s="978"/>
      <c r="P25" s="978"/>
      <c r="Q25" s="979"/>
      <c r="R25" s="677">
        <f>SUM(C25:Q25)</f>
        <v>1468.4582086847909</v>
      </c>
      <c r="S25" s="68"/>
    </row>
    <row r="26" spans="1:19" s="443" customFormat="1" ht="15.75" thickBot="1">
      <c r="A26" s="680" t="s">
        <v>874</v>
      </c>
      <c r="B26" s="797"/>
      <c r="C26" s="792">
        <f>SUM(C24:C25)</f>
        <v>1565.946950233566</v>
      </c>
      <c r="D26" s="792">
        <f t="shared" ref="D26:R26" si="2">SUM(D24:D25)</f>
        <v>0</v>
      </c>
      <c r="E26" s="792">
        <f t="shared" si="2"/>
        <v>1802.7437567588386</v>
      </c>
      <c r="F26" s="792">
        <f t="shared" si="2"/>
        <v>9.5058064239408324</v>
      </c>
      <c r="G26" s="792">
        <f t="shared" si="2"/>
        <v>3292.8232269087762</v>
      </c>
      <c r="H26" s="792">
        <f t="shared" si="2"/>
        <v>0</v>
      </c>
      <c r="I26" s="792">
        <f t="shared" si="2"/>
        <v>0</v>
      </c>
      <c r="J26" s="792">
        <f t="shared" si="2"/>
        <v>0</v>
      </c>
      <c r="K26" s="792">
        <f t="shared" si="2"/>
        <v>124.82280858278554</v>
      </c>
      <c r="L26" s="792">
        <f t="shared" si="2"/>
        <v>0</v>
      </c>
      <c r="M26" s="792">
        <f t="shared" si="2"/>
        <v>0</v>
      </c>
      <c r="N26" s="792">
        <f t="shared" si="2"/>
        <v>0</v>
      </c>
      <c r="O26" s="792">
        <f t="shared" si="2"/>
        <v>0</v>
      </c>
      <c r="P26" s="792">
        <f t="shared" si="2"/>
        <v>0</v>
      </c>
      <c r="Q26" s="792">
        <f t="shared" si="2"/>
        <v>0</v>
      </c>
      <c r="R26" s="792">
        <f t="shared" si="2"/>
        <v>6795.8425489079073</v>
      </c>
      <c r="S26" s="68"/>
    </row>
    <row r="27" spans="1:19" s="443" customFormat="1" ht="17.25" thickTop="1" thickBot="1">
      <c r="A27" s="681" t="s">
        <v>109</v>
      </c>
      <c r="B27" s="784"/>
      <c r="C27" s="682">
        <f ca="1">C22+C16+C26</f>
        <v>50137.659461977972</v>
      </c>
      <c r="D27" s="682">
        <f t="shared" ref="D27:R27" ca="1" si="3">D22+D16+D26</f>
        <v>57.857142857142861</v>
      </c>
      <c r="E27" s="682">
        <f t="shared" ca="1" si="3"/>
        <v>65447.299221520443</v>
      </c>
      <c r="F27" s="682">
        <f t="shared" si="3"/>
        <v>2189.2624831686353</v>
      </c>
      <c r="G27" s="682">
        <f t="shared" ca="1" si="3"/>
        <v>60222.886225788177</v>
      </c>
      <c r="H27" s="682">
        <f t="shared" si="3"/>
        <v>51670.087900722545</v>
      </c>
      <c r="I27" s="682">
        <f t="shared" si="3"/>
        <v>8600.7302722775094</v>
      </c>
      <c r="J27" s="682">
        <f t="shared" si="3"/>
        <v>0</v>
      </c>
      <c r="K27" s="682">
        <f t="shared" si="3"/>
        <v>1100.8780950527589</v>
      </c>
      <c r="L27" s="682">
        <f t="shared" si="3"/>
        <v>0</v>
      </c>
      <c r="M27" s="682">
        <f t="shared" ca="1" si="3"/>
        <v>0</v>
      </c>
      <c r="N27" s="682">
        <f t="shared" si="3"/>
        <v>2692.7940161558972</v>
      </c>
      <c r="O27" s="682">
        <f t="shared" ca="1" si="3"/>
        <v>10203.017844865924</v>
      </c>
      <c r="P27" s="682">
        <f t="shared" si="3"/>
        <v>84.42</v>
      </c>
      <c r="Q27" s="682">
        <f t="shared" si="3"/>
        <v>419.46666666666664</v>
      </c>
      <c r="R27" s="682">
        <f t="shared" ca="1" si="3"/>
        <v>252826.35933105371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1946.8724982802269</v>
      </c>
      <c r="D40" s="674">
        <f ca="1">tertiair!C20</f>
        <v>13.749579831932778</v>
      </c>
      <c r="E40" s="674">
        <f ca="1">tertiair!D20</f>
        <v>1949.0765260212952</v>
      </c>
      <c r="F40" s="674">
        <f>tertiair!E20</f>
        <v>40.6760741320969</v>
      </c>
      <c r="G40" s="674">
        <f ca="1">tertiair!F20</f>
        <v>665.2907966364005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4615.6654749019526</v>
      </c>
    </row>
    <row r="41" spans="1:18">
      <c r="A41" s="802" t="s">
        <v>214</v>
      </c>
      <c r="B41" s="809"/>
      <c r="C41" s="674">
        <f ca="1">huishoudens!B12</f>
        <v>4561.8496700289488</v>
      </c>
      <c r="D41" s="674">
        <f ca="1">huishoudens!C12</f>
        <v>0</v>
      </c>
      <c r="E41" s="674">
        <f>huishoudens!D12</f>
        <v>9113.2883137615481</v>
      </c>
      <c r="F41" s="674">
        <f>huishoudens!E12</f>
        <v>396.63607707166358</v>
      </c>
      <c r="G41" s="674">
        <f>huishoudens!F12</f>
        <v>14223.08110552884</v>
      </c>
      <c r="H41" s="674">
        <f>huishoudens!G12</f>
        <v>0</v>
      </c>
      <c r="I41" s="674">
        <f>huishoudens!H12</f>
        <v>0</v>
      </c>
      <c r="J41" s="674">
        <f>huishoudens!I12</f>
        <v>0</v>
      </c>
      <c r="K41" s="674">
        <f>huishoudens!J12</f>
        <v>342.16400428092919</v>
      </c>
      <c r="L41" s="674">
        <f>huishoudens!K12</f>
        <v>0</v>
      </c>
      <c r="M41" s="674">
        <f>huishoudens!L12</f>
        <v>0</v>
      </c>
      <c r="N41" s="674">
        <f>huishoudens!M12</f>
        <v>0</v>
      </c>
      <c r="O41" s="674">
        <f>huishoudens!N12</f>
        <v>0</v>
      </c>
      <c r="P41" s="674">
        <f>huishoudens!O12</f>
        <v>0</v>
      </c>
      <c r="Q41" s="749">
        <f>huishoudens!P12</f>
        <v>0</v>
      </c>
      <c r="R41" s="830">
        <f t="shared" ca="1" si="4"/>
        <v>28637.019170671931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414.41710738043906</v>
      </c>
      <c r="D43" s="674">
        <f ca="1">industrie!C22</f>
        <v>0</v>
      </c>
      <c r="E43" s="674">
        <f>industrie!D22</f>
        <v>1793.1066096532588</v>
      </c>
      <c r="F43" s="674">
        <f>industrie!E22</f>
        <v>5.7207379051150715</v>
      </c>
      <c r="G43" s="674">
        <f>industrie!F22</f>
        <v>311.95491853556268</v>
      </c>
      <c r="H43" s="674">
        <f>industrie!G22</f>
        <v>0</v>
      </c>
      <c r="I43" s="674">
        <f>industrie!H22</f>
        <v>0</v>
      </c>
      <c r="J43" s="674">
        <f>industrie!I22</f>
        <v>0</v>
      </c>
      <c r="K43" s="674">
        <f>industrie!J22</f>
        <v>3.3595671294413436</v>
      </c>
      <c r="L43" s="674">
        <f>industrie!K22</f>
        <v>0</v>
      </c>
      <c r="M43" s="674">
        <f>industrie!L22</f>
        <v>0</v>
      </c>
      <c r="N43" s="674">
        <f>industrie!M22</f>
        <v>0</v>
      </c>
      <c r="O43" s="674">
        <f>industrie!N22</f>
        <v>0</v>
      </c>
      <c r="P43" s="674">
        <f>industrie!O22</f>
        <v>0</v>
      </c>
      <c r="Q43" s="749">
        <f>industrie!P22</f>
        <v>0</v>
      </c>
      <c r="R43" s="829">
        <f t="shared" ca="1" si="4"/>
        <v>2528.5589406038171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6923.1392756896148</v>
      </c>
      <c r="D46" s="707">
        <f t="shared" ref="D46:Q46" ca="1" si="5">SUM(D39:D45)</f>
        <v>13.749579831932778</v>
      </c>
      <c r="E46" s="707">
        <f t="shared" ca="1" si="5"/>
        <v>12855.471449436103</v>
      </c>
      <c r="F46" s="707">
        <f t="shared" si="5"/>
        <v>443.03288910887557</v>
      </c>
      <c r="G46" s="707">
        <f t="shared" ca="1" si="5"/>
        <v>15200.326820700802</v>
      </c>
      <c r="H46" s="707">
        <f t="shared" si="5"/>
        <v>0</v>
      </c>
      <c r="I46" s="707">
        <f t="shared" si="5"/>
        <v>0</v>
      </c>
      <c r="J46" s="707">
        <f t="shared" si="5"/>
        <v>0</v>
      </c>
      <c r="K46" s="707">
        <f t="shared" si="5"/>
        <v>345.52357141037055</v>
      </c>
      <c r="L46" s="707">
        <f t="shared" si="5"/>
        <v>0</v>
      </c>
      <c r="M46" s="707">
        <f t="shared" ca="1" si="5"/>
        <v>0</v>
      </c>
      <c r="N46" s="707">
        <f t="shared" si="5"/>
        <v>0</v>
      </c>
      <c r="O46" s="707">
        <f t="shared" ca="1" si="5"/>
        <v>0</v>
      </c>
      <c r="P46" s="707">
        <f t="shared" si="5"/>
        <v>0</v>
      </c>
      <c r="Q46" s="707">
        <f t="shared" si="5"/>
        <v>0</v>
      </c>
      <c r="R46" s="707">
        <f ca="1">SUM(R39:R45)</f>
        <v>35781.243586177705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0.62804353357828235</v>
      </c>
      <c r="D49" s="674">
        <f ca="1">transport!C58</f>
        <v>0</v>
      </c>
      <c r="E49" s="674">
        <f>transport!D58</f>
        <v>0</v>
      </c>
      <c r="F49" s="674">
        <f>transport!E58</f>
        <v>0</v>
      </c>
      <c r="G49" s="674">
        <f>transport!F58</f>
        <v>0</v>
      </c>
      <c r="H49" s="674">
        <f>transport!G58</f>
        <v>234.61567791577275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235.24372144935103</v>
      </c>
    </row>
    <row r="50" spans="1:18">
      <c r="A50" s="805" t="s">
        <v>296</v>
      </c>
      <c r="B50" s="815"/>
      <c r="C50" s="984">
        <f ca="1">transport!B18</f>
        <v>0.37090999228356109</v>
      </c>
      <c r="D50" s="984">
        <f>transport!C18</f>
        <v>0</v>
      </c>
      <c r="E50" s="984">
        <f>transport!D18</f>
        <v>0.72875444574097359</v>
      </c>
      <c r="F50" s="984">
        <f>transport!E18</f>
        <v>51.771876512170188</v>
      </c>
      <c r="G50" s="984">
        <f>transport!F18</f>
        <v>0</v>
      </c>
      <c r="H50" s="984">
        <f>transport!G18</f>
        <v>13561.297791577148</v>
      </c>
      <c r="I50" s="984">
        <f>transport!H18</f>
        <v>2141.5818377971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15755.751170324442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0.99895352586184338</v>
      </c>
      <c r="D52" s="707">
        <f t="shared" ref="D52:Q52" ca="1" si="6">SUM(D48:D51)</f>
        <v>0</v>
      </c>
      <c r="E52" s="707">
        <f t="shared" si="6"/>
        <v>0.72875444574097359</v>
      </c>
      <c r="F52" s="707">
        <f t="shared" si="6"/>
        <v>51.771876512170188</v>
      </c>
      <c r="G52" s="707">
        <f t="shared" si="6"/>
        <v>0</v>
      </c>
      <c r="H52" s="707">
        <f t="shared" si="6"/>
        <v>13795.913469492922</v>
      </c>
      <c r="I52" s="707">
        <f t="shared" si="6"/>
        <v>2141.5818377971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15990.994891773793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143.84325018020724</v>
      </c>
      <c r="D54" s="984">
        <f ca="1">+landbouw!C12</f>
        <v>0</v>
      </c>
      <c r="E54" s="984">
        <f>+landbouw!D12</f>
        <v>180.02145191263168</v>
      </c>
      <c r="F54" s="984">
        <f>+landbouw!E12</f>
        <v>2.157818058234569</v>
      </c>
      <c r="G54" s="984">
        <f>+landbouw!F12</f>
        <v>879.18380158464333</v>
      </c>
      <c r="H54" s="984">
        <f>+landbouw!G12</f>
        <v>0</v>
      </c>
      <c r="I54" s="984">
        <f>+landbouw!H12</f>
        <v>0</v>
      </c>
      <c r="J54" s="984">
        <f>+landbouw!I12</f>
        <v>0</v>
      </c>
      <c r="K54" s="984">
        <f>+landbouw!J12</f>
        <v>44.187274238306081</v>
      </c>
      <c r="L54" s="984">
        <f>+landbouw!K12</f>
        <v>0</v>
      </c>
      <c r="M54" s="984">
        <f>+landbouw!L12</f>
        <v>0</v>
      </c>
      <c r="N54" s="984">
        <f>+landbouw!M12</f>
        <v>0</v>
      </c>
      <c r="O54" s="984">
        <f>+landbouw!N12</f>
        <v>0</v>
      </c>
      <c r="P54" s="984">
        <f>+landbouw!O12</f>
        <v>0</v>
      </c>
      <c r="Q54" s="985">
        <f>+landbouw!P12</f>
        <v>0</v>
      </c>
      <c r="R54" s="706">
        <f ca="1">SUM(C54:Q54)</f>
        <v>1249.3935959740229</v>
      </c>
    </row>
    <row r="55" spans="1:18" ht="15" thickBot="1">
      <c r="A55" s="805" t="s">
        <v>873</v>
      </c>
      <c r="B55" s="815"/>
      <c r="C55" s="984">
        <f ca="1">C25*'EF ele_warmte'!B12</f>
        <v>79.39024483839799</v>
      </c>
      <c r="D55" s="984"/>
      <c r="E55" s="984">
        <f>E25*EF_CO2_aardgas</f>
        <v>184.13278695265373</v>
      </c>
      <c r="F55" s="984"/>
      <c r="G55" s="984"/>
      <c r="H55" s="984"/>
      <c r="I55" s="984"/>
      <c r="J55" s="984"/>
      <c r="K55" s="984"/>
      <c r="L55" s="984"/>
      <c r="M55" s="984"/>
      <c r="N55" s="984"/>
      <c r="O55" s="984"/>
      <c r="P55" s="984"/>
      <c r="Q55" s="985"/>
      <c r="R55" s="706">
        <f ca="1">SUM(C55:Q55)</f>
        <v>263.52303179105172</v>
      </c>
    </row>
    <row r="56" spans="1:18" ht="15.75" thickBot="1">
      <c r="A56" s="803" t="s">
        <v>874</v>
      </c>
      <c r="B56" s="816"/>
      <c r="C56" s="707">
        <f ca="1">SUM(C54:C55)</f>
        <v>223.23349501860523</v>
      </c>
      <c r="D56" s="707">
        <f t="shared" ref="D56:Q56" ca="1" si="7">SUM(D54:D55)</f>
        <v>0</v>
      </c>
      <c r="E56" s="707">
        <f t="shared" si="7"/>
        <v>364.15423886528538</v>
      </c>
      <c r="F56" s="707">
        <f t="shared" si="7"/>
        <v>2.157818058234569</v>
      </c>
      <c r="G56" s="707">
        <f t="shared" si="7"/>
        <v>879.18380158464333</v>
      </c>
      <c r="H56" s="707">
        <f t="shared" si="7"/>
        <v>0</v>
      </c>
      <c r="I56" s="707">
        <f t="shared" si="7"/>
        <v>0</v>
      </c>
      <c r="J56" s="707">
        <f t="shared" si="7"/>
        <v>0</v>
      </c>
      <c r="K56" s="707">
        <f t="shared" si="7"/>
        <v>44.187274238306081</v>
      </c>
      <c r="L56" s="707">
        <f t="shared" si="7"/>
        <v>0</v>
      </c>
      <c r="M56" s="707">
        <f t="shared" si="7"/>
        <v>0</v>
      </c>
      <c r="N56" s="707">
        <f t="shared" si="7"/>
        <v>0</v>
      </c>
      <c r="O56" s="707">
        <f t="shared" si="7"/>
        <v>0</v>
      </c>
      <c r="P56" s="707">
        <f t="shared" si="7"/>
        <v>0</v>
      </c>
      <c r="Q56" s="708">
        <f t="shared" si="7"/>
        <v>0</v>
      </c>
      <c r="R56" s="709">
        <f ca="1">SUM(R54:R55)</f>
        <v>1512.9166277650747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7147.3717242340817</v>
      </c>
      <c r="D61" s="715">
        <f t="shared" ref="D61:Q61" ca="1" si="8">D46+D52+D56</f>
        <v>13.749579831932778</v>
      </c>
      <c r="E61" s="715">
        <f t="shared" ca="1" si="8"/>
        <v>13220.35444274713</v>
      </c>
      <c r="F61" s="715">
        <f t="shared" si="8"/>
        <v>496.96258367928033</v>
      </c>
      <c r="G61" s="715">
        <f t="shared" ca="1" si="8"/>
        <v>16079.510622285445</v>
      </c>
      <c r="H61" s="715">
        <f t="shared" si="8"/>
        <v>13795.913469492922</v>
      </c>
      <c r="I61" s="715">
        <f t="shared" si="8"/>
        <v>2141.5818377971</v>
      </c>
      <c r="J61" s="715">
        <f t="shared" si="8"/>
        <v>0</v>
      </c>
      <c r="K61" s="715">
        <f t="shared" si="8"/>
        <v>389.71084564867664</v>
      </c>
      <c r="L61" s="715">
        <f t="shared" si="8"/>
        <v>0</v>
      </c>
      <c r="M61" s="715">
        <f t="shared" ca="1" si="8"/>
        <v>0</v>
      </c>
      <c r="N61" s="715">
        <f t="shared" si="8"/>
        <v>0</v>
      </c>
      <c r="O61" s="715">
        <f t="shared" ca="1" si="8"/>
        <v>0</v>
      </c>
      <c r="P61" s="715">
        <f t="shared" si="8"/>
        <v>0</v>
      </c>
      <c r="Q61" s="715">
        <f t="shared" si="8"/>
        <v>0</v>
      </c>
      <c r="R61" s="715">
        <f ca="1">R46+R52+R56</f>
        <v>53285.155105716571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0.1425549537200537</v>
      </c>
      <c r="D63" s="759">
        <f t="shared" ca="1" si="9"/>
        <v>0.23764705882352946</v>
      </c>
      <c r="E63" s="986">
        <f t="shared" ca="1" si="9"/>
        <v>0.20200000000000001</v>
      </c>
      <c r="F63" s="759">
        <f t="shared" si="9"/>
        <v>0.22700000000000006</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15230.301970606301</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2569.3596707756105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40.5</v>
      </c>
      <c r="D76" s="996">
        <f>'lokale energieproductie'!C8</f>
        <v>47.647058823529413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9.6247058823529414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17799.66164138191</v>
      </c>
      <c r="C78" s="730">
        <f>SUM(C72:C77)</f>
        <v>40.5</v>
      </c>
      <c r="D78" s="731">
        <f t="shared" ref="D78:H78" si="10">SUM(D76:D77)</f>
        <v>47.647058823529413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9.6247058823529414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57.857142857142861</v>
      </c>
      <c r="D87" s="752">
        <f>'lokale energieproductie'!C17</f>
        <v>68.067226890756316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13.749579831932778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57.857142857142861</v>
      </c>
      <c r="D90" s="730">
        <f t="shared" ref="D90:H90" si="12">SUM(D87:D89)</f>
        <v>68.067226890756316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13.749579831932778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32000.639409468782</v>
      </c>
      <c r="C4" s="447">
        <f>huishoudens!C8</f>
        <v>0</v>
      </c>
      <c r="D4" s="447">
        <f>huishoudens!D8</f>
        <v>45115.288681987862</v>
      </c>
      <c r="E4" s="447">
        <f>huishoudens!E8</f>
        <v>1747.2954937077691</v>
      </c>
      <c r="F4" s="447">
        <f>huishoudens!F8</f>
        <v>53269.966687373926</v>
      </c>
      <c r="G4" s="447">
        <f>huishoudens!G8</f>
        <v>0</v>
      </c>
      <c r="H4" s="447">
        <f>huishoudens!H8</f>
        <v>0</v>
      </c>
      <c r="I4" s="447">
        <f>huishoudens!I8</f>
        <v>0</v>
      </c>
      <c r="J4" s="447">
        <f>huishoudens!J8</f>
        <v>966.56498384443285</v>
      </c>
      <c r="K4" s="447">
        <f>huishoudens!K8</f>
        <v>0</v>
      </c>
      <c r="L4" s="447">
        <f>huishoudens!L8</f>
        <v>0</v>
      </c>
      <c r="M4" s="447">
        <f>huishoudens!M8</f>
        <v>0</v>
      </c>
      <c r="N4" s="447">
        <f>huishoudens!N8</f>
        <v>9170.827984211257</v>
      </c>
      <c r="O4" s="447">
        <f>huishoudens!O8</f>
        <v>79.73</v>
      </c>
      <c r="P4" s="448">
        <f>huishoudens!P8</f>
        <v>400.4</v>
      </c>
      <c r="Q4" s="449">
        <f>SUM(B4:P4)</f>
        <v>142750.71324059405</v>
      </c>
    </row>
    <row r="5" spans="1:17">
      <c r="A5" s="446" t="s">
        <v>149</v>
      </c>
      <c r="B5" s="447">
        <f ca="1">tertiair!B16</f>
        <v>12518.912459789482</v>
      </c>
      <c r="C5" s="447">
        <f ca="1">tertiair!C16</f>
        <v>57.857142857142861</v>
      </c>
      <c r="D5" s="447">
        <f ca="1">tertiair!D16</f>
        <v>9648.8936931747285</v>
      </c>
      <c r="E5" s="447">
        <f>tertiair!E16</f>
        <v>179.18975388588942</v>
      </c>
      <c r="F5" s="447">
        <f ca="1">tertiair!F16</f>
        <v>2491.7258300988783</v>
      </c>
      <c r="G5" s="447">
        <f>tertiair!G16</f>
        <v>0</v>
      </c>
      <c r="H5" s="447">
        <f>tertiair!H16</f>
        <v>0</v>
      </c>
      <c r="I5" s="447">
        <f>tertiair!I16</f>
        <v>0</v>
      </c>
      <c r="J5" s="447">
        <f>tertiair!J16</f>
        <v>0</v>
      </c>
      <c r="K5" s="447">
        <f>tertiair!K16</f>
        <v>0</v>
      </c>
      <c r="L5" s="447">
        <f ca="1">tertiair!L16</f>
        <v>0</v>
      </c>
      <c r="M5" s="447">
        <f>tertiair!M16</f>
        <v>0</v>
      </c>
      <c r="N5" s="447">
        <f ca="1">tertiair!N16</f>
        <v>910.60131499947511</v>
      </c>
      <c r="O5" s="447">
        <f>tertiair!O16</f>
        <v>4.6900000000000004</v>
      </c>
      <c r="P5" s="448">
        <f>tertiair!P16</f>
        <v>19.066666666666666</v>
      </c>
      <c r="Q5" s="446">
        <f t="shared" ref="Q5:Q14" ca="1" si="0">SUM(B5:P5)</f>
        <v>25830.936861472263</v>
      </c>
    </row>
    <row r="6" spans="1:17">
      <c r="A6" s="446" t="s">
        <v>187</v>
      </c>
      <c r="B6" s="447">
        <f>'openbare verlichting'!B8</f>
        <v>1138.0840000000001</v>
      </c>
      <c r="C6" s="447"/>
      <c r="D6" s="447"/>
      <c r="E6" s="447"/>
      <c r="F6" s="447"/>
      <c r="G6" s="447"/>
      <c r="H6" s="447"/>
      <c r="I6" s="447"/>
      <c r="J6" s="447"/>
      <c r="K6" s="447"/>
      <c r="L6" s="447"/>
      <c r="M6" s="447"/>
      <c r="N6" s="447"/>
      <c r="O6" s="447"/>
      <c r="P6" s="448"/>
      <c r="Q6" s="446">
        <f t="shared" si="0"/>
        <v>1138.0840000000001</v>
      </c>
    </row>
    <row r="7" spans="1:17">
      <c r="A7" s="446" t="s">
        <v>105</v>
      </c>
      <c r="B7" s="447">
        <f>landbouw!B8</f>
        <v>1009.037191809437</v>
      </c>
      <c r="C7" s="447">
        <f>landbouw!C8</f>
        <v>0</v>
      </c>
      <c r="D7" s="447">
        <f>landbouw!D8</f>
        <v>891.19530649817659</v>
      </c>
      <c r="E7" s="447">
        <f>landbouw!E8</f>
        <v>9.5058064239408324</v>
      </c>
      <c r="F7" s="447">
        <f>landbouw!F8</f>
        <v>3292.8232269087762</v>
      </c>
      <c r="G7" s="447">
        <f>landbouw!G8</f>
        <v>0</v>
      </c>
      <c r="H7" s="447">
        <f>landbouw!H8</f>
        <v>0</v>
      </c>
      <c r="I7" s="447">
        <f>landbouw!I8</f>
        <v>0</v>
      </c>
      <c r="J7" s="447">
        <f>landbouw!J8</f>
        <v>124.82280858278554</v>
      </c>
      <c r="K7" s="447">
        <f>landbouw!K8</f>
        <v>0</v>
      </c>
      <c r="L7" s="447">
        <f>landbouw!L8</f>
        <v>0</v>
      </c>
      <c r="M7" s="447">
        <f>landbouw!M8</f>
        <v>0</v>
      </c>
      <c r="N7" s="447">
        <f>landbouw!N8</f>
        <v>0</v>
      </c>
      <c r="O7" s="447">
        <f>landbouw!O8</f>
        <v>0</v>
      </c>
      <c r="P7" s="448">
        <f>landbouw!P8</f>
        <v>0</v>
      </c>
      <c r="Q7" s="446">
        <f t="shared" si="0"/>
        <v>5327.3843402231169</v>
      </c>
    </row>
    <row r="8" spans="1:17">
      <c r="A8" s="446" t="s">
        <v>665</v>
      </c>
      <c r="B8" s="447">
        <f>industrie!B18</f>
        <v>2907.0691446770929</v>
      </c>
      <c r="C8" s="447">
        <f>industrie!C18</f>
        <v>0</v>
      </c>
      <c r="D8" s="447">
        <f>industrie!D18</f>
        <v>8876.7653943230634</v>
      </c>
      <c r="E8" s="447">
        <f>industrie!E18</f>
        <v>25.201488568788861</v>
      </c>
      <c r="F8" s="447">
        <f>industrie!F18</f>
        <v>1168.3704814066018</v>
      </c>
      <c r="G8" s="447">
        <f>industrie!G18</f>
        <v>0</v>
      </c>
      <c r="H8" s="447">
        <f>industrie!H18</f>
        <v>0</v>
      </c>
      <c r="I8" s="447">
        <f>industrie!I18</f>
        <v>0</v>
      </c>
      <c r="J8" s="447">
        <f>industrie!J18</f>
        <v>9.4903026255405187</v>
      </c>
      <c r="K8" s="447">
        <f>industrie!K18</f>
        <v>0</v>
      </c>
      <c r="L8" s="447">
        <f>industrie!L18</f>
        <v>0</v>
      </c>
      <c r="M8" s="447">
        <f>industrie!M18</f>
        <v>0</v>
      </c>
      <c r="N8" s="447">
        <f>industrie!N18</f>
        <v>121.58854565519057</v>
      </c>
      <c r="O8" s="447">
        <f>industrie!O18</f>
        <v>0</v>
      </c>
      <c r="P8" s="448">
        <f>industrie!P18</f>
        <v>0</v>
      </c>
      <c r="Q8" s="446">
        <f t="shared" si="0"/>
        <v>13108.485357256279</v>
      </c>
    </row>
    <row r="9" spans="1:17" s="452" customFormat="1">
      <c r="A9" s="450" t="s">
        <v>562</v>
      </c>
      <c r="B9" s="451">
        <f>transport!B14</f>
        <v>2.60187375187218</v>
      </c>
      <c r="C9" s="451">
        <f>transport!C14</f>
        <v>0</v>
      </c>
      <c r="D9" s="451">
        <f>transport!D14</f>
        <v>3.6076952759454137</v>
      </c>
      <c r="E9" s="451">
        <f>transport!E14</f>
        <v>228.06994058224751</v>
      </c>
      <c r="F9" s="451">
        <f>transport!F14</f>
        <v>0</v>
      </c>
      <c r="G9" s="451">
        <f>transport!G14</f>
        <v>50791.377496543624</v>
      </c>
      <c r="H9" s="451">
        <f>transport!H14</f>
        <v>8600.7302722775094</v>
      </c>
      <c r="I9" s="451">
        <f>transport!I14</f>
        <v>0</v>
      </c>
      <c r="J9" s="451">
        <f>transport!J14</f>
        <v>0</v>
      </c>
      <c r="K9" s="451">
        <f>transport!K14</f>
        <v>0</v>
      </c>
      <c r="L9" s="451">
        <f>transport!L14</f>
        <v>0</v>
      </c>
      <c r="M9" s="451">
        <f>transport!M14</f>
        <v>2653.9559521703036</v>
      </c>
      <c r="N9" s="451">
        <f>transport!N14</f>
        <v>0</v>
      </c>
      <c r="O9" s="451">
        <f>transport!O14</f>
        <v>0</v>
      </c>
      <c r="P9" s="451">
        <f>transport!P14</f>
        <v>0</v>
      </c>
      <c r="Q9" s="450">
        <f>SUM(B9:P9)</f>
        <v>62280.343230601502</v>
      </c>
    </row>
    <row r="10" spans="1:17">
      <c r="A10" s="446" t="s">
        <v>552</v>
      </c>
      <c r="B10" s="447">
        <f>transport!B54</f>
        <v>4.4056240571732115</v>
      </c>
      <c r="C10" s="447">
        <f>transport!C54</f>
        <v>0</v>
      </c>
      <c r="D10" s="447">
        <f>transport!D54</f>
        <v>0</v>
      </c>
      <c r="E10" s="447">
        <f>transport!E54</f>
        <v>0</v>
      </c>
      <c r="F10" s="447">
        <f>transport!F54</f>
        <v>0</v>
      </c>
      <c r="G10" s="447">
        <f>transport!G54</f>
        <v>878.71040417892414</v>
      </c>
      <c r="H10" s="447">
        <f>transport!H54</f>
        <v>0</v>
      </c>
      <c r="I10" s="447">
        <f>transport!I54</f>
        <v>0</v>
      </c>
      <c r="J10" s="447">
        <f>transport!J54</f>
        <v>0</v>
      </c>
      <c r="K10" s="447">
        <f>transport!K54</f>
        <v>0</v>
      </c>
      <c r="L10" s="447">
        <f>transport!L54</f>
        <v>0</v>
      </c>
      <c r="M10" s="447">
        <f>transport!M54</f>
        <v>38.838063985593742</v>
      </c>
      <c r="N10" s="447">
        <f>transport!N54</f>
        <v>0</v>
      </c>
      <c r="O10" s="447">
        <f>transport!O54</f>
        <v>0</v>
      </c>
      <c r="P10" s="448">
        <f>transport!P54</f>
        <v>0</v>
      </c>
      <c r="Q10" s="446">
        <f t="shared" si="0"/>
        <v>921.9540922216911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556.909758424129</v>
      </c>
      <c r="C14" s="454"/>
      <c r="D14" s="454">
        <f>'SEAP template'!E25</f>
        <v>911.54845026066198</v>
      </c>
      <c r="E14" s="454"/>
      <c r="F14" s="454"/>
      <c r="G14" s="454"/>
      <c r="H14" s="454"/>
      <c r="I14" s="454"/>
      <c r="J14" s="454"/>
      <c r="K14" s="454"/>
      <c r="L14" s="454"/>
      <c r="M14" s="454"/>
      <c r="N14" s="454"/>
      <c r="O14" s="454"/>
      <c r="P14" s="455"/>
      <c r="Q14" s="446">
        <f t="shared" si="0"/>
        <v>1468.4582086847909</v>
      </c>
    </row>
    <row r="15" spans="1:17" s="459" customFormat="1">
      <c r="A15" s="456" t="s">
        <v>556</v>
      </c>
      <c r="B15" s="457">
        <f ca="1">SUM(B4:B14)</f>
        <v>50137.659461977979</v>
      </c>
      <c r="C15" s="457">
        <f t="shared" ref="C15:Q15" ca="1" si="1">SUM(C4:C14)</f>
        <v>57.857142857142861</v>
      </c>
      <c r="D15" s="457">
        <f t="shared" ca="1" si="1"/>
        <v>65447.299221520443</v>
      </c>
      <c r="E15" s="457">
        <f t="shared" si="1"/>
        <v>2189.2624831686358</v>
      </c>
      <c r="F15" s="457">
        <f t="shared" ca="1" si="1"/>
        <v>60222.886225788177</v>
      </c>
      <c r="G15" s="457">
        <f t="shared" si="1"/>
        <v>51670.087900722545</v>
      </c>
      <c r="H15" s="457">
        <f t="shared" si="1"/>
        <v>8600.7302722775094</v>
      </c>
      <c r="I15" s="457">
        <f t="shared" si="1"/>
        <v>0</v>
      </c>
      <c r="J15" s="457">
        <f t="shared" si="1"/>
        <v>1100.8780950527589</v>
      </c>
      <c r="K15" s="457">
        <f t="shared" si="1"/>
        <v>0</v>
      </c>
      <c r="L15" s="457">
        <f t="shared" ca="1" si="1"/>
        <v>0</v>
      </c>
      <c r="M15" s="457">
        <f t="shared" si="1"/>
        <v>2692.7940161558972</v>
      </c>
      <c r="N15" s="457">
        <f t="shared" ca="1" si="1"/>
        <v>10203.017844865924</v>
      </c>
      <c r="O15" s="457">
        <f t="shared" si="1"/>
        <v>84.42</v>
      </c>
      <c r="P15" s="457">
        <f t="shared" si="1"/>
        <v>419.46666666666664</v>
      </c>
      <c r="Q15" s="457">
        <f t="shared" ca="1" si="1"/>
        <v>252826.35933105371</v>
      </c>
    </row>
    <row r="17" spans="1:17">
      <c r="A17" s="460" t="s">
        <v>557</v>
      </c>
      <c r="B17" s="764">
        <f ca="1">huishoudens!B10</f>
        <v>0.1425549537200537</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4561.8496700289488</v>
      </c>
      <c r="C22" s="447">
        <f t="shared" ref="C22:C32" ca="1" si="3">C4*$C$17</f>
        <v>0</v>
      </c>
      <c r="D22" s="447">
        <f t="shared" ref="D22:D32" si="4">D4*$D$17</f>
        <v>9113.2883137615481</v>
      </c>
      <c r="E22" s="447">
        <f t="shared" ref="E22:E32" si="5">E4*$E$17</f>
        <v>396.63607707166358</v>
      </c>
      <c r="F22" s="447">
        <f t="shared" ref="F22:F32" si="6">F4*$F$17</f>
        <v>14223.08110552884</v>
      </c>
      <c r="G22" s="447">
        <f t="shared" ref="G22:G32" si="7">G4*$G$17</f>
        <v>0</v>
      </c>
      <c r="H22" s="447">
        <f t="shared" ref="H22:H32" si="8">H4*$H$17</f>
        <v>0</v>
      </c>
      <c r="I22" s="447">
        <f t="shared" ref="I22:I32" si="9">I4*$I$17</f>
        <v>0</v>
      </c>
      <c r="J22" s="447">
        <f t="shared" ref="J22:J32" si="10">J4*$J$17</f>
        <v>342.16400428092919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28637.019170671931</v>
      </c>
    </row>
    <row r="23" spans="1:17">
      <c r="A23" s="446" t="s">
        <v>149</v>
      </c>
      <c r="B23" s="447">
        <f t="shared" ca="1" si="2"/>
        <v>1784.6329863306933</v>
      </c>
      <c r="C23" s="447">
        <f t="shared" ca="1" si="3"/>
        <v>13.749579831932778</v>
      </c>
      <c r="D23" s="447">
        <f t="shared" ca="1" si="4"/>
        <v>1949.0765260212952</v>
      </c>
      <c r="E23" s="447">
        <f t="shared" si="5"/>
        <v>40.6760741320969</v>
      </c>
      <c r="F23" s="447">
        <f t="shared" ca="1" si="6"/>
        <v>665.2907966364005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4453.4259629524186</v>
      </c>
    </row>
    <row r="24" spans="1:17">
      <c r="A24" s="446" t="s">
        <v>187</v>
      </c>
      <c r="B24" s="447">
        <f t="shared" ca="1" si="2"/>
        <v>162.23951194953361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162.23951194953361</v>
      </c>
    </row>
    <row r="25" spans="1:17">
      <c r="A25" s="446" t="s">
        <v>105</v>
      </c>
      <c r="B25" s="447">
        <f t="shared" ca="1" si="2"/>
        <v>143.84325018020724</v>
      </c>
      <c r="C25" s="447">
        <f t="shared" ca="1" si="3"/>
        <v>0</v>
      </c>
      <c r="D25" s="447">
        <f t="shared" si="4"/>
        <v>180.02145191263168</v>
      </c>
      <c r="E25" s="447">
        <f t="shared" si="5"/>
        <v>2.157818058234569</v>
      </c>
      <c r="F25" s="447">
        <f t="shared" si="6"/>
        <v>879.18380158464333</v>
      </c>
      <c r="G25" s="447">
        <f t="shared" si="7"/>
        <v>0</v>
      </c>
      <c r="H25" s="447">
        <f t="shared" si="8"/>
        <v>0</v>
      </c>
      <c r="I25" s="447">
        <f t="shared" si="9"/>
        <v>0</v>
      </c>
      <c r="J25" s="447">
        <f t="shared" si="10"/>
        <v>44.187274238306081</v>
      </c>
      <c r="K25" s="447">
        <f t="shared" si="11"/>
        <v>0</v>
      </c>
      <c r="L25" s="447">
        <f t="shared" si="12"/>
        <v>0</v>
      </c>
      <c r="M25" s="447">
        <f t="shared" si="13"/>
        <v>0</v>
      </c>
      <c r="N25" s="447">
        <f t="shared" si="14"/>
        <v>0</v>
      </c>
      <c r="O25" s="447">
        <f t="shared" si="15"/>
        <v>0</v>
      </c>
      <c r="P25" s="448">
        <f t="shared" si="16"/>
        <v>0</v>
      </c>
      <c r="Q25" s="446">
        <f t="shared" ca="1" si="17"/>
        <v>1249.3935959740229</v>
      </c>
    </row>
    <row r="26" spans="1:17">
      <c r="A26" s="446" t="s">
        <v>665</v>
      </c>
      <c r="B26" s="447">
        <f t="shared" ca="1" si="2"/>
        <v>414.41710738043906</v>
      </c>
      <c r="C26" s="447">
        <f t="shared" ca="1" si="3"/>
        <v>0</v>
      </c>
      <c r="D26" s="447">
        <f t="shared" si="4"/>
        <v>1793.1066096532588</v>
      </c>
      <c r="E26" s="447">
        <f t="shared" si="5"/>
        <v>5.7207379051150715</v>
      </c>
      <c r="F26" s="447">
        <f t="shared" si="6"/>
        <v>311.95491853556268</v>
      </c>
      <c r="G26" s="447">
        <f t="shared" si="7"/>
        <v>0</v>
      </c>
      <c r="H26" s="447">
        <f t="shared" si="8"/>
        <v>0</v>
      </c>
      <c r="I26" s="447">
        <f t="shared" si="9"/>
        <v>0</v>
      </c>
      <c r="J26" s="447">
        <f t="shared" si="10"/>
        <v>3.3595671294413436</v>
      </c>
      <c r="K26" s="447">
        <f t="shared" si="11"/>
        <v>0</v>
      </c>
      <c r="L26" s="447">
        <f t="shared" si="12"/>
        <v>0</v>
      </c>
      <c r="M26" s="447">
        <f t="shared" si="13"/>
        <v>0</v>
      </c>
      <c r="N26" s="447">
        <f t="shared" si="14"/>
        <v>0</v>
      </c>
      <c r="O26" s="447">
        <f t="shared" si="15"/>
        <v>0</v>
      </c>
      <c r="P26" s="448">
        <f t="shared" si="16"/>
        <v>0</v>
      </c>
      <c r="Q26" s="446">
        <f t="shared" ca="1" si="17"/>
        <v>2528.5589406038171</v>
      </c>
    </row>
    <row r="27" spans="1:17" s="452" customFormat="1">
      <c r="A27" s="450" t="s">
        <v>562</v>
      </c>
      <c r="B27" s="758">
        <f t="shared" ca="1" si="2"/>
        <v>0.37090999228356109</v>
      </c>
      <c r="C27" s="451">
        <f t="shared" ca="1" si="3"/>
        <v>0</v>
      </c>
      <c r="D27" s="451">
        <f t="shared" si="4"/>
        <v>0.72875444574097359</v>
      </c>
      <c r="E27" s="451">
        <f t="shared" si="5"/>
        <v>51.771876512170188</v>
      </c>
      <c r="F27" s="451">
        <f t="shared" si="6"/>
        <v>0</v>
      </c>
      <c r="G27" s="451">
        <f t="shared" si="7"/>
        <v>13561.297791577148</v>
      </c>
      <c r="H27" s="451">
        <f t="shared" si="8"/>
        <v>2141.5818377971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15755.751170324442</v>
      </c>
    </row>
    <row r="28" spans="1:17">
      <c r="A28" s="446" t="s">
        <v>552</v>
      </c>
      <c r="B28" s="447">
        <f t="shared" ca="1" si="2"/>
        <v>0.62804353357828235</v>
      </c>
      <c r="C28" s="447">
        <f t="shared" ca="1" si="3"/>
        <v>0</v>
      </c>
      <c r="D28" s="447">
        <f t="shared" si="4"/>
        <v>0</v>
      </c>
      <c r="E28" s="447">
        <f t="shared" si="5"/>
        <v>0</v>
      </c>
      <c r="F28" s="447">
        <f t="shared" si="6"/>
        <v>0</v>
      </c>
      <c r="G28" s="447">
        <f t="shared" si="7"/>
        <v>234.61567791577275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235.24372144935103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79.39024483839799</v>
      </c>
      <c r="C32" s="447">
        <f t="shared" ca="1" si="3"/>
        <v>0</v>
      </c>
      <c r="D32" s="447">
        <f t="shared" si="4"/>
        <v>184.13278695265373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263.52303179105172</v>
      </c>
    </row>
    <row r="33" spans="1:17" s="459" customFormat="1">
      <c r="A33" s="456" t="s">
        <v>556</v>
      </c>
      <c r="B33" s="457">
        <f ca="1">SUM(B22:B32)</f>
        <v>7147.3717242340817</v>
      </c>
      <c r="C33" s="457">
        <f t="shared" ref="C33:Q33" ca="1" si="18">SUM(C22:C32)</f>
        <v>13.749579831932778</v>
      </c>
      <c r="D33" s="457">
        <f t="shared" ca="1" si="18"/>
        <v>13220.35444274713</v>
      </c>
      <c r="E33" s="457">
        <f t="shared" si="18"/>
        <v>496.96258367928033</v>
      </c>
      <c r="F33" s="457">
        <f t="shared" ca="1" si="18"/>
        <v>16079.510622285447</v>
      </c>
      <c r="G33" s="457">
        <f t="shared" si="18"/>
        <v>13795.913469492922</v>
      </c>
      <c r="H33" s="457">
        <f t="shared" si="18"/>
        <v>2141.5818377971</v>
      </c>
      <c r="I33" s="457">
        <f t="shared" si="18"/>
        <v>0</v>
      </c>
      <c r="J33" s="457">
        <f t="shared" si="18"/>
        <v>389.71084564867664</v>
      </c>
      <c r="K33" s="457">
        <f t="shared" si="18"/>
        <v>0</v>
      </c>
      <c r="L33" s="457">
        <f t="shared" ca="1" si="18"/>
        <v>0</v>
      </c>
      <c r="M33" s="457">
        <f t="shared" si="18"/>
        <v>0</v>
      </c>
      <c r="N33" s="457">
        <f t="shared" ca="1" si="18"/>
        <v>0</v>
      </c>
      <c r="O33" s="457">
        <f t="shared" si="18"/>
        <v>0</v>
      </c>
      <c r="P33" s="457">
        <f t="shared" si="18"/>
        <v>0</v>
      </c>
      <c r="Q33" s="457">
        <f t="shared" ca="1" si="18"/>
        <v>53285.155105716563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15230.301970606301</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2569.3596707756105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40.5</v>
      </c>
      <c r="D8" s="1013">
        <f>'SEAP template'!D76</f>
        <v>47.647058823529413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9.6247058823529414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17799.66164138191</v>
      </c>
      <c r="C10" s="1017">
        <f>SUM(C4:C9)</f>
        <v>40.5</v>
      </c>
      <c r="D10" s="1017">
        <f t="shared" ref="D10:H10" si="0">SUM(D8:D9)</f>
        <v>47.647058823529413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9.6247058823529414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0.1425549537200537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57.857142857142861</v>
      </c>
      <c r="D17" s="1014">
        <f>'SEAP template'!D87</f>
        <v>68.067226890756316</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13.749579831932778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57.857142857142861</v>
      </c>
      <c r="D20" s="1017">
        <f t="shared" ref="D20:H20" si="2">SUM(D17:D19)</f>
        <v>68.067226890756316</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13.749579831932778</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0.1425549537200537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0.1425549537200537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0.1425549537200537</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6124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1890</v>
      </c>
      <c r="C14" s="327"/>
      <c r="D14" s="327"/>
      <c r="E14" s="327"/>
      <c r="F14" s="327"/>
    </row>
    <row r="15" spans="1:6">
      <c r="A15" s="1293" t="s">
        <v>177</v>
      </c>
      <c r="B15" s="1294">
        <v>18</v>
      </c>
      <c r="C15" s="327"/>
      <c r="D15" s="327"/>
      <c r="E15" s="327"/>
      <c r="F15" s="327"/>
    </row>
    <row r="16" spans="1:6">
      <c r="A16" s="1293" t="s">
        <v>6</v>
      </c>
      <c r="B16" s="1294">
        <v>896</v>
      </c>
      <c r="C16" s="327"/>
      <c r="D16" s="327"/>
      <c r="E16" s="327"/>
      <c r="F16" s="327"/>
    </row>
    <row r="17" spans="1:6">
      <c r="A17" s="1293" t="s">
        <v>7</v>
      </c>
      <c r="B17" s="1294">
        <v>480</v>
      </c>
      <c r="C17" s="327"/>
      <c r="D17" s="327"/>
      <c r="E17" s="327"/>
      <c r="F17" s="327"/>
    </row>
    <row r="18" spans="1:6">
      <c r="A18" s="1293" t="s">
        <v>8</v>
      </c>
      <c r="B18" s="1294">
        <v>786</v>
      </c>
      <c r="C18" s="327"/>
      <c r="D18" s="327"/>
      <c r="E18" s="327"/>
      <c r="F18" s="327"/>
    </row>
    <row r="19" spans="1:6">
      <c r="A19" s="1293" t="s">
        <v>9</v>
      </c>
      <c r="B19" s="1294">
        <v>786</v>
      </c>
      <c r="C19" s="327"/>
      <c r="D19" s="327"/>
      <c r="E19" s="327"/>
      <c r="F19" s="327"/>
    </row>
    <row r="20" spans="1:6">
      <c r="A20" s="1293" t="s">
        <v>10</v>
      </c>
      <c r="B20" s="1294">
        <v>709</v>
      </c>
      <c r="C20" s="327"/>
      <c r="D20" s="327"/>
      <c r="E20" s="327"/>
      <c r="F20" s="327"/>
    </row>
    <row r="21" spans="1:6">
      <c r="A21" s="1293" t="s">
        <v>11</v>
      </c>
      <c r="B21" s="1294">
        <v>245</v>
      </c>
      <c r="C21" s="327"/>
      <c r="D21" s="327"/>
      <c r="E21" s="327"/>
      <c r="F21" s="327"/>
    </row>
    <row r="22" spans="1:6">
      <c r="A22" s="1293" t="s">
        <v>12</v>
      </c>
      <c r="B22" s="1294">
        <v>2747</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75</v>
      </c>
      <c r="C25" s="327"/>
      <c r="D25" s="327"/>
      <c r="E25" s="327"/>
      <c r="F25" s="327"/>
    </row>
    <row r="26" spans="1:6">
      <c r="A26" s="1293" t="s">
        <v>16</v>
      </c>
      <c r="B26" s="1294">
        <v>65</v>
      </c>
      <c r="C26" s="327"/>
      <c r="D26" s="327"/>
      <c r="E26" s="327"/>
      <c r="F26" s="327"/>
    </row>
    <row r="27" spans="1:6">
      <c r="A27" s="1293" t="s">
        <v>17</v>
      </c>
      <c r="B27" s="1294">
        <v>0</v>
      </c>
      <c r="C27" s="327"/>
      <c r="D27" s="327"/>
      <c r="E27" s="327"/>
      <c r="F27" s="327"/>
    </row>
    <row r="28" spans="1:6">
      <c r="A28" s="1293" t="s">
        <v>18</v>
      </c>
      <c r="B28" s="1295">
        <v>107092</v>
      </c>
      <c r="C28" s="327"/>
      <c r="D28" s="327"/>
      <c r="E28" s="327"/>
      <c r="F28" s="327"/>
    </row>
    <row r="29" spans="1:6">
      <c r="A29" s="1293" t="s">
        <v>955</v>
      </c>
      <c r="B29" s="1295">
        <v>43</v>
      </c>
      <c r="C29" s="327"/>
      <c r="D29" s="327"/>
      <c r="E29" s="327"/>
      <c r="F29" s="327"/>
    </row>
    <row r="30" spans="1:6">
      <c r="A30" s="1288" t="s">
        <v>956</v>
      </c>
      <c r="B30" s="1296">
        <v>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17561.5030123</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8679.8173147959005</v>
      </c>
    </row>
    <row r="39" spans="1:6">
      <c r="A39" s="1293" t="s">
        <v>29</v>
      </c>
      <c r="B39" s="1293" t="s">
        <v>30</v>
      </c>
      <c r="C39" s="1294">
        <v>2888</v>
      </c>
      <c r="D39" s="1294">
        <v>50016949.7583014</v>
      </c>
      <c r="E39" s="1294">
        <v>6003</v>
      </c>
      <c r="F39" s="1294">
        <v>29598991.554219902</v>
      </c>
    </row>
    <row r="40" spans="1:6">
      <c r="A40" s="1293" t="s">
        <v>29</v>
      </c>
      <c r="B40" s="1293" t="s">
        <v>28</v>
      </c>
      <c r="C40" s="1294">
        <v>0</v>
      </c>
      <c r="D40" s="1294">
        <v>0</v>
      </c>
      <c r="E40" s="1294">
        <v>0</v>
      </c>
      <c r="F40" s="1294">
        <v>0</v>
      </c>
    </row>
    <row r="41" spans="1:6">
      <c r="A41" s="1293" t="s">
        <v>31</v>
      </c>
      <c r="B41" s="1293" t="s">
        <v>32</v>
      </c>
      <c r="C41" s="1294">
        <v>40</v>
      </c>
      <c r="D41" s="1294">
        <v>872003.14950839104</v>
      </c>
      <c r="E41" s="1294">
        <v>125</v>
      </c>
      <c r="F41" s="1294">
        <v>1057046.8018779799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174001.71169034499</v>
      </c>
    </row>
    <row r="45" spans="1:6">
      <c r="A45" s="1293" t="s">
        <v>31</v>
      </c>
      <c r="B45" s="1293" t="s">
        <v>36</v>
      </c>
      <c r="C45" s="1294">
        <v>0</v>
      </c>
      <c r="D45" s="1294">
        <v>0</v>
      </c>
      <c r="E45" s="1294">
        <v>3</v>
      </c>
      <c r="F45" s="1294">
        <v>127949.37279295899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8801976.3331201393</v>
      </c>
      <c r="E48" s="1294">
        <v>28</v>
      </c>
      <c r="F48" s="1294">
        <v>1131548.4259402701</v>
      </c>
    </row>
    <row r="49" spans="1:6">
      <c r="A49" s="1293" t="s">
        <v>31</v>
      </c>
      <c r="B49" s="1293" t="s">
        <v>39</v>
      </c>
      <c r="C49" s="1294">
        <v>0</v>
      </c>
      <c r="D49" s="1294">
        <v>0</v>
      </c>
      <c r="E49" s="1294">
        <v>0</v>
      </c>
      <c r="F49" s="1294">
        <v>0</v>
      </c>
    </row>
    <row r="50" spans="1:6">
      <c r="A50" s="1293" t="s">
        <v>31</v>
      </c>
      <c r="B50" s="1293" t="s">
        <v>40</v>
      </c>
      <c r="C50" s="1294">
        <v>4</v>
      </c>
      <c r="D50" s="1294">
        <v>167223.837020098</v>
      </c>
      <c r="E50" s="1294">
        <v>15</v>
      </c>
      <c r="F50" s="1294">
        <v>416522.832375539</v>
      </c>
    </row>
    <row r="51" spans="1:6">
      <c r="A51" s="1293" t="s">
        <v>41</v>
      </c>
      <c r="B51" s="1293" t="s">
        <v>42</v>
      </c>
      <c r="C51" s="1294">
        <v>6</v>
      </c>
      <c r="D51" s="1294">
        <v>121257.329701375</v>
      </c>
      <c r="E51" s="1294">
        <v>62</v>
      </c>
      <c r="F51" s="1294">
        <v>901195.04391523101</v>
      </c>
    </row>
    <row r="52" spans="1:6">
      <c r="A52" s="1293" t="s">
        <v>41</v>
      </c>
      <c r="B52" s="1293" t="s">
        <v>28</v>
      </c>
      <c r="C52" s="1294">
        <v>4</v>
      </c>
      <c r="D52" s="1294">
        <v>866764.07439859898</v>
      </c>
      <c r="E52" s="1294">
        <v>9</v>
      </c>
      <c r="F52" s="1294">
        <v>107842.14789420601</v>
      </c>
    </row>
    <row r="53" spans="1:6">
      <c r="A53" s="1293" t="s">
        <v>43</v>
      </c>
      <c r="B53" s="1293" t="s">
        <v>44</v>
      </c>
      <c r="C53" s="1294">
        <v>45</v>
      </c>
      <c r="D53" s="1294">
        <v>911548.45026066201</v>
      </c>
      <c r="E53" s="1294">
        <v>119</v>
      </c>
      <c r="F53" s="1294">
        <v>556909.75842412899</v>
      </c>
    </row>
    <row r="54" spans="1:6">
      <c r="A54" s="1293" t="s">
        <v>45</v>
      </c>
      <c r="B54" s="1293" t="s">
        <v>46</v>
      </c>
      <c r="C54" s="1294">
        <v>0</v>
      </c>
      <c r="D54" s="1294">
        <v>0</v>
      </c>
      <c r="E54" s="1294">
        <v>3</v>
      </c>
      <c r="F54" s="1294">
        <v>1138084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570112.02271056594</v>
      </c>
      <c r="E57" s="1294">
        <v>42</v>
      </c>
      <c r="F57" s="1294">
        <v>1362796.10336289</v>
      </c>
    </row>
    <row r="58" spans="1:6">
      <c r="A58" s="1293" t="s">
        <v>48</v>
      </c>
      <c r="B58" s="1293" t="s">
        <v>50</v>
      </c>
      <c r="C58" s="1294">
        <v>3</v>
      </c>
      <c r="D58" s="1294">
        <v>175360.09558841999</v>
      </c>
      <c r="E58" s="1294">
        <v>26</v>
      </c>
      <c r="F58" s="1294">
        <v>235790.74765233899</v>
      </c>
    </row>
    <row r="59" spans="1:6">
      <c r="A59" s="1293" t="s">
        <v>48</v>
      </c>
      <c r="B59" s="1293" t="s">
        <v>51</v>
      </c>
      <c r="C59" s="1294">
        <v>28</v>
      </c>
      <c r="D59" s="1294">
        <v>1028551.68062838</v>
      </c>
      <c r="E59" s="1294">
        <v>130</v>
      </c>
      <c r="F59" s="1294">
        <v>3011960.4320582501</v>
      </c>
    </row>
    <row r="60" spans="1:6">
      <c r="A60" s="1293" t="s">
        <v>48</v>
      </c>
      <c r="B60" s="1293" t="s">
        <v>52</v>
      </c>
      <c r="C60" s="1294">
        <v>50</v>
      </c>
      <c r="D60" s="1294">
        <v>2599789.7026481</v>
      </c>
      <c r="E60" s="1294">
        <v>91</v>
      </c>
      <c r="F60" s="1294">
        <v>2540133.5110378</v>
      </c>
    </row>
    <row r="61" spans="1:6">
      <c r="A61" s="1293" t="s">
        <v>48</v>
      </c>
      <c r="B61" s="1293" t="s">
        <v>53</v>
      </c>
      <c r="C61" s="1294">
        <v>66</v>
      </c>
      <c r="D61" s="1294">
        <v>4235223.1765889702</v>
      </c>
      <c r="E61" s="1294">
        <v>205</v>
      </c>
      <c r="F61" s="1294">
        <v>3500930.9206570098</v>
      </c>
    </row>
    <row r="62" spans="1:6">
      <c r="A62" s="1293" t="s">
        <v>48</v>
      </c>
      <c r="B62" s="1293" t="s">
        <v>54</v>
      </c>
      <c r="C62" s="1294">
        <v>4</v>
      </c>
      <c r="D62" s="1294">
        <v>190614.33977923499</v>
      </c>
      <c r="E62" s="1294">
        <v>9</v>
      </c>
      <c r="F62" s="1294">
        <v>218992.870897944</v>
      </c>
    </row>
    <row r="63" spans="1:6">
      <c r="A63" s="1293" t="s">
        <v>48</v>
      </c>
      <c r="B63" s="1293" t="s">
        <v>28</v>
      </c>
      <c r="C63" s="1294">
        <v>73</v>
      </c>
      <c r="D63" s="1294">
        <v>2025856.7191838401</v>
      </c>
      <c r="E63" s="1294">
        <v>103</v>
      </c>
      <c r="F63" s="1294">
        <v>1607807.8741232499</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8343.3091050967996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8</v>
      </c>
      <c r="F68" s="1296">
        <v>124990.900282302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40747011</v>
      </c>
      <c r="E73" s="445"/>
      <c r="F73" s="327"/>
    </row>
    <row r="74" spans="1:6">
      <c r="A74" s="1293" t="s">
        <v>63</v>
      </c>
      <c r="B74" s="1293" t="s">
        <v>749</v>
      </c>
      <c r="C74" s="1306" t="s">
        <v>743</v>
      </c>
      <c r="D74" s="1294">
        <v>3567320.4604955637</v>
      </c>
      <c r="E74" s="445"/>
      <c r="F74" s="327"/>
    </row>
    <row r="75" spans="1:6">
      <c r="A75" s="1293" t="s">
        <v>64</v>
      </c>
      <c r="B75" s="1293" t="s">
        <v>748</v>
      </c>
      <c r="C75" s="1306" t="s">
        <v>744</v>
      </c>
      <c r="D75" s="1294">
        <v>22680979</v>
      </c>
      <c r="E75" s="445"/>
      <c r="F75" s="327"/>
    </row>
    <row r="76" spans="1:6">
      <c r="A76" s="1293" t="s">
        <v>64</v>
      </c>
      <c r="B76" s="1293" t="s">
        <v>749</v>
      </c>
      <c r="C76" s="1306" t="s">
        <v>745</v>
      </c>
      <c r="D76" s="1294">
        <v>1913607.4604955635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242719.07900887288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15230.301970606301</v>
      </c>
      <c r="C90" s="327"/>
      <c r="D90" s="327"/>
      <c r="E90" s="327"/>
      <c r="F90" s="327"/>
    </row>
    <row r="91" spans="1:6">
      <c r="A91" s="1293" t="s">
        <v>67</v>
      </c>
      <c r="B91" s="1294">
        <v>2401.6478552488816</v>
      </c>
      <c r="C91" s="327"/>
      <c r="D91" s="327"/>
      <c r="E91" s="327"/>
      <c r="F91" s="327"/>
    </row>
    <row r="92" spans="1:6">
      <c r="A92" s="1288" t="s">
        <v>68</v>
      </c>
      <c r="B92" s="1289">
        <v>167.71181552672897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1055</v>
      </c>
      <c r="C97" s="327"/>
      <c r="D97" s="327"/>
      <c r="E97" s="327"/>
      <c r="F97" s="327"/>
    </row>
    <row r="98" spans="1:6">
      <c r="A98" s="1293" t="s">
        <v>71</v>
      </c>
      <c r="B98" s="1294">
        <v>3</v>
      </c>
      <c r="C98" s="327"/>
      <c r="D98" s="327"/>
      <c r="E98" s="327"/>
      <c r="F98" s="327"/>
    </row>
    <row r="99" spans="1:6">
      <c r="A99" s="1293" t="s">
        <v>72</v>
      </c>
      <c r="B99" s="1294">
        <v>179</v>
      </c>
      <c r="C99" s="327"/>
      <c r="D99" s="327"/>
      <c r="E99" s="327"/>
      <c r="F99" s="327"/>
    </row>
    <row r="100" spans="1:6">
      <c r="A100" s="1293" t="s">
        <v>73</v>
      </c>
      <c r="B100" s="1294">
        <v>711</v>
      </c>
      <c r="C100" s="327"/>
      <c r="D100" s="327"/>
      <c r="E100" s="327"/>
      <c r="F100" s="327"/>
    </row>
    <row r="101" spans="1:6">
      <c r="A101" s="1293" t="s">
        <v>74</v>
      </c>
      <c r="B101" s="1294">
        <v>87</v>
      </c>
      <c r="C101" s="327"/>
      <c r="D101" s="327"/>
      <c r="E101" s="327"/>
      <c r="F101" s="327"/>
    </row>
    <row r="102" spans="1:6">
      <c r="A102" s="1293" t="s">
        <v>75</v>
      </c>
      <c r="B102" s="1294">
        <v>120</v>
      </c>
      <c r="C102" s="327"/>
      <c r="D102" s="327"/>
      <c r="E102" s="327"/>
      <c r="F102" s="327"/>
    </row>
    <row r="103" spans="1:6">
      <c r="A103" s="1293" t="s">
        <v>76</v>
      </c>
      <c r="B103" s="1294">
        <v>285</v>
      </c>
      <c r="C103" s="327"/>
      <c r="D103" s="327"/>
      <c r="E103" s="327"/>
      <c r="F103" s="327"/>
    </row>
    <row r="104" spans="1:6">
      <c r="A104" s="1293" t="s">
        <v>77</v>
      </c>
      <c r="B104" s="1294">
        <v>2904</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12</v>
      </c>
      <c r="C123" s="1294">
        <v>10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41</v>
      </c>
      <c r="C129" s="327"/>
      <c r="D129" s="327"/>
      <c r="E129" s="327"/>
      <c r="F129" s="327"/>
    </row>
    <row r="130" spans="1:6">
      <c r="A130" s="1293" t="s">
        <v>284</v>
      </c>
      <c r="B130" s="1294">
        <v>3</v>
      </c>
      <c r="C130" s="327"/>
      <c r="D130" s="327"/>
      <c r="E130" s="327"/>
      <c r="F130" s="327"/>
    </row>
    <row r="131" spans="1:6">
      <c r="A131" s="1293" t="s">
        <v>285</v>
      </c>
      <c r="B131" s="1294">
        <v>1</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50137.659461977972</v>
      </c>
      <c r="C3" s="44" t="s">
        <v>163</v>
      </c>
      <c r="D3" s="44"/>
      <c r="E3" s="157"/>
      <c r="F3" s="44"/>
      <c r="G3" s="44"/>
      <c r="H3" s="44"/>
      <c r="I3" s="44"/>
      <c r="J3" s="44"/>
      <c r="K3" s="97"/>
    </row>
    <row r="4" spans="1:11">
      <c r="A4" s="352" t="s">
        <v>164</v>
      </c>
      <c r="B4" s="50">
        <f>IF(ISERROR('SEAP template'!B78+'SEAP template'!C78),0,'SEAP template'!B78+'SEAP template'!C78)</f>
        <v>17840.16164138191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9.6247058823529414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0.1425549537200537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13.749579831932778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57.857142857142861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1138.0840000000001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1138.0840000000001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0.1425549537200537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162.23951194953361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29598.991554219901</v>
      </c>
      <c r="C5" s="18">
        <f>IF(ISERROR('Eigen informatie GS &amp; warmtenet'!B57),0,'Eigen informatie GS &amp; warmtenet'!B57)</f>
        <v>0</v>
      </c>
      <c r="D5" s="31">
        <f>(SUM(HH_hh_gas_kWh,HH_rest_gas_kWh)/1000)*0.902</f>
        <v>45115.288681987862</v>
      </c>
      <c r="E5" s="18">
        <f>B32*B41</f>
        <v>1747.2954937077691</v>
      </c>
      <c r="F5" s="18">
        <f>B36*B45</f>
        <v>53269.966687373926</v>
      </c>
      <c r="G5" s="19"/>
      <c r="H5" s="18"/>
      <c r="I5" s="18"/>
      <c r="J5" s="18">
        <f>B35*B44+C35*C44</f>
        <v>966.56498384443285</v>
      </c>
      <c r="K5" s="18"/>
      <c r="L5" s="18"/>
      <c r="M5" s="18"/>
      <c r="N5" s="18">
        <f>B34*B43+C34*C43</f>
        <v>9170.827984211257</v>
      </c>
      <c r="O5" s="18">
        <f>B52*B53*B54</f>
        <v>79.73</v>
      </c>
      <c r="P5" s="18">
        <f>B60*B61*B62/1000-B60*B61*B62/1000/B63</f>
        <v>400.4</v>
      </c>
    </row>
    <row r="6" spans="1:16">
      <c r="A6" s="17" t="s">
        <v>622</v>
      </c>
      <c r="B6" s="766">
        <f>kWh_PV_kleiner_dan_10kW</f>
        <v>2401.6478552488816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32000.639409468782</v>
      </c>
      <c r="C8" s="22">
        <f>C5</f>
        <v>0</v>
      </c>
      <c r="D8" s="22">
        <f>D5</f>
        <v>45115.288681987862</v>
      </c>
      <c r="E8" s="22">
        <f>E5</f>
        <v>1747.2954937077691</v>
      </c>
      <c r="F8" s="22">
        <f>F5</f>
        <v>53269.966687373926</v>
      </c>
      <c r="G8" s="22"/>
      <c r="H8" s="22"/>
      <c r="I8" s="22"/>
      <c r="J8" s="22">
        <f>J5</f>
        <v>966.56498384443285</v>
      </c>
      <c r="K8" s="22"/>
      <c r="L8" s="22">
        <f>L5</f>
        <v>0</v>
      </c>
      <c r="M8" s="22">
        <f>M5</f>
        <v>0</v>
      </c>
      <c r="N8" s="22">
        <f>N5</f>
        <v>9170.827984211257</v>
      </c>
      <c r="O8" s="22">
        <f>O5</f>
        <v>79.73</v>
      </c>
      <c r="P8" s="22">
        <f>P5</f>
        <v>400.4</v>
      </c>
    </row>
    <row r="9" spans="1:16">
      <c r="B9" s="20"/>
      <c r="C9" s="20"/>
      <c r="D9" s="258"/>
      <c r="E9" s="20"/>
      <c r="F9" s="20"/>
      <c r="G9" s="20"/>
      <c r="H9" s="20"/>
      <c r="I9" s="20"/>
      <c r="J9" s="20"/>
      <c r="K9" s="20"/>
      <c r="L9" s="20"/>
      <c r="M9" s="20"/>
      <c r="N9" s="20"/>
      <c r="O9" s="20"/>
      <c r="P9" s="20"/>
    </row>
    <row r="10" spans="1:16">
      <c r="A10" s="25" t="s">
        <v>207</v>
      </c>
      <c r="B10" s="26">
        <f ca="1">'EF ele_warmte'!B12</f>
        <v>0.1425549537200537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4561.8496700289488</v>
      </c>
      <c r="C12" s="24">
        <f ca="1">C10*C8</f>
        <v>0</v>
      </c>
      <c r="D12" s="24">
        <f>D8*D10</f>
        <v>9113.2883137615481</v>
      </c>
      <c r="E12" s="24">
        <f>E10*E8</f>
        <v>396.63607707166358</v>
      </c>
      <c r="F12" s="24">
        <f>F10*F8</f>
        <v>14223.08110552884</v>
      </c>
      <c r="G12" s="24"/>
      <c r="H12" s="24"/>
      <c r="I12" s="24"/>
      <c r="J12" s="24">
        <f>J10*J8</f>
        <v>342.16400428092919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6124</v>
      </c>
      <c r="C26" s="37"/>
      <c r="D26" s="228"/>
    </row>
    <row r="27" spans="1:5" s="16" customFormat="1">
      <c r="A27" s="230" t="s">
        <v>648</v>
      </c>
      <c r="B27" s="38">
        <f>SUM(HH_hh_gas_aantal,HH_rest_gas_aantal)</f>
        <v>2888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2743.6</v>
      </c>
      <c r="C31" s="35" t="s">
        <v>104</v>
      </c>
      <c r="D31" s="174"/>
    </row>
    <row r="32" spans="1:5">
      <c r="A32" s="171" t="s">
        <v>72</v>
      </c>
      <c r="B32" s="34">
        <f>IF((B21*($B$26-($B$27-0.05*$B$27)-$B$60))&lt;0,0,B21*($B$26-($B$27-0.05*$B$27)-$B$60))</f>
        <v>82.558365511377986</v>
      </c>
      <c r="C32" s="35" t="s">
        <v>104</v>
      </c>
      <c r="D32" s="174"/>
    </row>
    <row r="33" spans="1:6">
      <c r="A33" s="171" t="s">
        <v>73</v>
      </c>
      <c r="B33" s="34">
        <f>IF((B22*($B$26-($B$27-0.05*$B$27)-$B$60))&lt;0,0,B22*($B$26-($B$27-0.05*$B$27)-$B$60))</f>
        <v>555.7146276042107</v>
      </c>
      <c r="C33" s="35" t="s">
        <v>104</v>
      </c>
      <c r="D33" s="174"/>
    </row>
    <row r="34" spans="1:6">
      <c r="A34" s="171" t="s">
        <v>74</v>
      </c>
      <c r="B34" s="34">
        <f>IF((B24*($B$26-($B$27-0.05*$B$27)-$B$60))&lt;0,0,B24*($B$26-($B$27-0.05*$B$27)-$B$60))</f>
        <v>140.94094296342172</v>
      </c>
      <c r="C34" s="34">
        <f>B26*C24</f>
        <v>1252.3722546453985</v>
      </c>
      <c r="D34" s="233"/>
    </row>
    <row r="35" spans="1:6">
      <c r="A35" s="171" t="s">
        <v>76</v>
      </c>
      <c r="B35" s="34">
        <f>IF((B19*($B$26-($B$27-0.05*$B$27)-$B$60))&lt;0,0,B19*($B$26-($B$27-0.05*$B$27)-$B$60))</f>
        <v>52.3973823909147</v>
      </c>
      <c r="C35" s="34">
        <f>B35/2</f>
        <v>26.19869119545735</v>
      </c>
      <c r="D35" s="233"/>
    </row>
    <row r="36" spans="1:6">
      <c r="A36" s="171" t="s">
        <v>77</v>
      </c>
      <c r="B36" s="34">
        <f>IF((B18*($B$26-($B$27-0.05*$B$27)-$B$60))&lt;0,0,B18*($B$26-($B$27-0.05*$B$27)-$B$60))</f>
        <v>2527.788681530074</v>
      </c>
      <c r="C36" s="35" t="s">
        <v>104</v>
      </c>
      <c r="D36" s="174"/>
    </row>
    <row r="37" spans="1:6">
      <c r="A37" s="171" t="s">
        <v>78</v>
      </c>
      <c r="B37" s="34">
        <f>B60</f>
        <v>21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12478.412459789482</v>
      </c>
      <c r="C5" s="18">
        <f>IF(ISERROR('Eigen informatie GS &amp; warmtenet'!B58),0,'Eigen informatie GS &amp; warmtenet'!B58)</f>
        <v>0</v>
      </c>
      <c r="D5" s="31">
        <f>SUM(D6:D12)</f>
        <v>9764.6079788890147</v>
      </c>
      <c r="E5" s="18">
        <f>SUM(E6:E12)</f>
        <v>179.18975388588942</v>
      </c>
      <c r="F5" s="18">
        <f>SUM(F6:F12)</f>
        <v>2491.7258300988783</v>
      </c>
      <c r="G5" s="19"/>
      <c r="H5" s="18"/>
      <c r="I5" s="18"/>
      <c r="J5" s="18">
        <f>SUM(J6:J12)</f>
        <v>0</v>
      </c>
      <c r="K5" s="18"/>
      <c r="L5" s="18"/>
      <c r="M5" s="18"/>
      <c r="N5" s="18">
        <f>SUM(N6:N12)</f>
        <v>910.60131499947511</v>
      </c>
      <c r="O5" s="18">
        <f>B38*B39*B40</f>
        <v>4.6900000000000004</v>
      </c>
      <c r="P5" s="18">
        <f>B46*B47*B48/1000-B46*B47*B48/1000/B49</f>
        <v>19.066666666666666</v>
      </c>
      <c r="R5" s="33"/>
    </row>
    <row r="6" spans="1:18">
      <c r="A6" s="33" t="s">
        <v>53</v>
      </c>
      <c r="B6" s="38">
        <f>B26</f>
        <v>3500.9309206570097</v>
      </c>
      <c r="C6" s="34"/>
      <c r="D6" s="38">
        <f>IF(ISERROR(TER_kantoor_gas_kWh/1000),0,TER_kantoor_gas_kWh/1000)*0.902</f>
        <v>3820.1713052832511</v>
      </c>
      <c r="E6" s="34">
        <f>$C$26*'E Balans VL '!I12/100/3.6*1000000</f>
        <v>5.7457371949447147</v>
      </c>
      <c r="F6" s="34">
        <f>$C$26*('E Balans VL '!L12+'E Balans VL '!N12)/100/3.6*1000000</f>
        <v>412.67738311409562</v>
      </c>
      <c r="G6" s="35"/>
      <c r="H6" s="34"/>
      <c r="I6" s="34"/>
      <c r="J6" s="34">
        <f>$C$26*('E Balans VL '!D12+'E Balans VL '!E12)/100/3.6*1000000</f>
        <v>0</v>
      </c>
      <c r="K6" s="34"/>
      <c r="L6" s="34"/>
      <c r="M6" s="34"/>
      <c r="N6" s="34">
        <f>$C$26*'E Balans VL '!Y12/100/3.6*1000000</f>
        <v>0.70734651425361994</v>
      </c>
      <c r="O6" s="34"/>
      <c r="P6" s="34"/>
      <c r="R6" s="33"/>
    </row>
    <row r="7" spans="1:18">
      <c r="A7" s="33" t="s">
        <v>52</v>
      </c>
      <c r="B7" s="38">
        <f t="shared" ref="B7:B12" si="0">B27</f>
        <v>2540.1335110378</v>
      </c>
      <c r="C7" s="34"/>
      <c r="D7" s="38">
        <f>IF(ISERROR(TER_horeca_gas_kWh/1000),0,TER_horeca_gas_kWh/1000)*0.902</f>
        <v>2345.0103117885865</v>
      </c>
      <c r="E7" s="34">
        <f>$C$27*'E Balans VL '!I9/100/3.6*1000000</f>
        <v>131.81454842344149</v>
      </c>
      <c r="F7" s="34">
        <f>$C$27*('E Balans VL '!L9+'E Balans VL '!N9)/100/3.6*1000000</f>
        <v>579.66031034883656</v>
      </c>
      <c r="G7" s="35"/>
      <c r="H7" s="34"/>
      <c r="I7" s="34"/>
      <c r="J7" s="34">
        <f>$C$27*('E Balans VL '!D9+'E Balans VL '!E9)/100/3.6*1000000</f>
        <v>0</v>
      </c>
      <c r="K7" s="34"/>
      <c r="L7" s="34"/>
      <c r="M7" s="34"/>
      <c r="N7" s="34">
        <f>$C$27*'E Balans VL '!Y9/100/3.6*1000000</f>
        <v>0.26823693469862508</v>
      </c>
      <c r="O7" s="34"/>
      <c r="P7" s="34"/>
      <c r="R7" s="33"/>
    </row>
    <row r="8" spans="1:18">
      <c r="A8" s="6" t="s">
        <v>51</v>
      </c>
      <c r="B8" s="38">
        <f t="shared" si="0"/>
        <v>3011.9604320582503</v>
      </c>
      <c r="C8" s="34"/>
      <c r="D8" s="38">
        <f>IF(ISERROR(TER_handel_gas_kWh/1000),0,TER_handel_gas_kWh/1000)*0.902</f>
        <v>927.75361592679872</v>
      </c>
      <c r="E8" s="34">
        <f>$C$28*'E Balans VL '!I13/100/3.6*1000000</f>
        <v>16.21977704737775</v>
      </c>
      <c r="F8" s="34">
        <f>$C$28*('E Balans VL '!L13+'E Balans VL '!N13)/100/3.6*1000000</f>
        <v>614.22823949907593</v>
      </c>
      <c r="G8" s="35"/>
      <c r="H8" s="34"/>
      <c r="I8" s="34"/>
      <c r="J8" s="34">
        <f>$C$28*('E Balans VL '!D13+'E Balans VL '!E13)/100/3.6*1000000</f>
        <v>0</v>
      </c>
      <c r="K8" s="34"/>
      <c r="L8" s="34"/>
      <c r="M8" s="34"/>
      <c r="N8" s="34">
        <f>$C$28*'E Balans VL '!Y13/100/3.6*1000000</f>
        <v>14.976888657892282</v>
      </c>
      <c r="O8" s="34"/>
      <c r="P8" s="34"/>
      <c r="R8" s="33"/>
    </row>
    <row r="9" spans="1:18">
      <c r="A9" s="33" t="s">
        <v>50</v>
      </c>
      <c r="B9" s="38">
        <f t="shared" si="0"/>
        <v>235.79074765233898</v>
      </c>
      <c r="C9" s="34"/>
      <c r="D9" s="38">
        <f>IF(ISERROR(TER_gezond_gas_kWh/1000),0,TER_gezond_gas_kWh/1000)*0.902</f>
        <v>158.17480622075485</v>
      </c>
      <c r="E9" s="34">
        <f>$C$29*'E Balans VL '!I10/100/3.6*1000000</f>
        <v>0.23367131232475299</v>
      </c>
      <c r="F9" s="34">
        <f>$C$29*('E Balans VL '!L10+'E Balans VL '!N10)/100/3.6*1000000</f>
        <v>81.812593027800361</v>
      </c>
      <c r="G9" s="35"/>
      <c r="H9" s="34"/>
      <c r="I9" s="34"/>
      <c r="J9" s="34">
        <f>$C$29*('E Balans VL '!D10+'E Balans VL '!E10)/100/3.6*1000000</f>
        <v>0</v>
      </c>
      <c r="K9" s="34"/>
      <c r="L9" s="34"/>
      <c r="M9" s="34"/>
      <c r="N9" s="34">
        <f>$C$29*'E Balans VL '!Y10/100/3.6*1000000</f>
        <v>2.0317884460656668</v>
      </c>
      <c r="O9" s="34"/>
      <c r="P9" s="34"/>
      <c r="R9" s="33"/>
    </row>
    <row r="10" spans="1:18">
      <c r="A10" s="33" t="s">
        <v>49</v>
      </c>
      <c r="B10" s="38">
        <f t="shared" si="0"/>
        <v>1362.7961033628899</v>
      </c>
      <c r="C10" s="34"/>
      <c r="D10" s="38">
        <f>IF(ISERROR(TER_ander_gas_kWh/1000),0,TER_ander_gas_kWh/1000)*0.902</f>
        <v>514.24104448493051</v>
      </c>
      <c r="E10" s="34">
        <f>$C$30*'E Balans VL '!I14/100/3.6*1000000</f>
        <v>11.149034143213795</v>
      </c>
      <c r="F10" s="34">
        <f>$C$30*('E Balans VL '!L14+'E Balans VL '!N14)/100/3.6*1000000</f>
        <v>398.42609889608224</v>
      </c>
      <c r="G10" s="35"/>
      <c r="H10" s="34"/>
      <c r="I10" s="34"/>
      <c r="J10" s="34">
        <f>$C$30*('E Balans VL '!D14+'E Balans VL '!E14)/100/3.6*1000000</f>
        <v>0</v>
      </c>
      <c r="K10" s="34"/>
      <c r="L10" s="34"/>
      <c r="M10" s="34"/>
      <c r="N10" s="34">
        <f>$C$30*'E Balans VL '!Y14/100/3.6*1000000</f>
        <v>786.15453768284306</v>
      </c>
      <c r="O10" s="34"/>
      <c r="P10" s="34"/>
      <c r="R10" s="33"/>
    </row>
    <row r="11" spans="1:18">
      <c r="A11" s="33" t="s">
        <v>54</v>
      </c>
      <c r="B11" s="38">
        <f t="shared" si="0"/>
        <v>218.99287089794399</v>
      </c>
      <c r="C11" s="34"/>
      <c r="D11" s="38">
        <f>IF(ISERROR(TER_onderwijs_gas_kWh/1000),0,TER_onderwijs_gas_kWh/1000)*0.902</f>
        <v>171.93413448086997</v>
      </c>
      <c r="E11" s="34">
        <f>$C$31*'E Balans VL '!I11/100/3.6*1000000</f>
        <v>0.13497796539488302</v>
      </c>
      <c r="F11" s="34">
        <f>$C$31*('E Balans VL '!L11+'E Balans VL '!N11)/100/3.6*1000000</f>
        <v>84.666190406271639</v>
      </c>
      <c r="G11" s="35"/>
      <c r="H11" s="34"/>
      <c r="I11" s="34"/>
      <c r="J11" s="34">
        <f>$C$31*('E Balans VL '!D11+'E Balans VL '!E11)/100/3.6*1000000</f>
        <v>0</v>
      </c>
      <c r="K11" s="34"/>
      <c r="L11" s="34"/>
      <c r="M11" s="34"/>
      <c r="N11" s="34">
        <f>$C$31*'E Balans VL '!Y11/100/3.6*1000000</f>
        <v>0.71233687986078387</v>
      </c>
      <c r="O11" s="34"/>
      <c r="P11" s="34"/>
      <c r="R11" s="33"/>
    </row>
    <row r="12" spans="1:18">
      <c r="A12" s="33" t="s">
        <v>249</v>
      </c>
      <c r="B12" s="38">
        <f t="shared" si="0"/>
        <v>1607.8078741232498</v>
      </c>
      <c r="C12" s="34"/>
      <c r="D12" s="38">
        <f>IF(ISERROR(TER_rest_gas_kWh/1000),0,TER_rest_gas_kWh/1000)*0.902</f>
        <v>1827.3227607038239</v>
      </c>
      <c r="E12" s="34">
        <f>$C$32*'E Balans VL '!I8/100/3.6*1000000</f>
        <v>13.892007799192008</v>
      </c>
      <c r="F12" s="34">
        <f>$C$32*('E Balans VL '!L8+'E Balans VL '!N8)/100/3.6*1000000</f>
        <v>320.25501480671602</v>
      </c>
      <c r="G12" s="35"/>
      <c r="H12" s="34"/>
      <c r="I12" s="34"/>
      <c r="J12" s="34">
        <f>$C$32*('E Balans VL '!D8+'E Balans VL '!E8)/100/3.6*1000000</f>
        <v>0</v>
      </c>
      <c r="K12" s="34"/>
      <c r="L12" s="34"/>
      <c r="M12" s="34"/>
      <c r="N12" s="34">
        <f>$C$32*'E Balans VL '!Y8/100/3.6*1000000</f>
        <v>105.75017988386104</v>
      </c>
      <c r="O12" s="34"/>
      <c r="P12" s="34"/>
      <c r="R12" s="33"/>
    </row>
    <row r="13" spans="1:18">
      <c r="A13" s="17" t="s">
        <v>489</v>
      </c>
      <c r="B13" s="246">
        <f ca="1">'lokale energieproductie'!N38+'lokale energieproductie'!N31</f>
        <v>40.5</v>
      </c>
      <c r="C13" s="246">
        <f ca="1">'lokale energieproductie'!O38+'lokale energieproductie'!O31</f>
        <v>57.857142857142861</v>
      </c>
      <c r="D13" s="305">
        <f ca="1">('lokale energieproductie'!P31+'lokale energieproductie'!P38)*(-1)</f>
        <v>-115.71428571428572</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12518.912459789482</v>
      </c>
      <c r="C16" s="22">
        <f t="shared" ca="1" si="1"/>
        <v>57.857142857142861</v>
      </c>
      <c r="D16" s="22">
        <f t="shared" ca="1" si="1"/>
        <v>9648.8936931747285</v>
      </c>
      <c r="E16" s="22">
        <f t="shared" si="1"/>
        <v>179.18975388588942</v>
      </c>
      <c r="F16" s="22">
        <f t="shared" ca="1" si="1"/>
        <v>2491.7258300988783</v>
      </c>
      <c r="G16" s="22">
        <f t="shared" si="1"/>
        <v>0</v>
      </c>
      <c r="H16" s="22">
        <f t="shared" si="1"/>
        <v>0</v>
      </c>
      <c r="I16" s="22">
        <f t="shared" si="1"/>
        <v>0</v>
      </c>
      <c r="J16" s="22">
        <f t="shared" si="1"/>
        <v>0</v>
      </c>
      <c r="K16" s="22">
        <f t="shared" si="1"/>
        <v>0</v>
      </c>
      <c r="L16" s="22">
        <f t="shared" ca="1" si="1"/>
        <v>0</v>
      </c>
      <c r="M16" s="22">
        <f t="shared" si="1"/>
        <v>0</v>
      </c>
      <c r="N16" s="22">
        <f t="shared" ca="1" si="1"/>
        <v>910.60131499947511</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0.1425549537200537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1784.6329863306933</v>
      </c>
      <c r="C20" s="24">
        <f t="shared" ref="C20:P20" ca="1" si="2">C16*C18</f>
        <v>13.749579831932778</v>
      </c>
      <c r="D20" s="24">
        <f t="shared" ca="1" si="2"/>
        <v>1949.0765260212952</v>
      </c>
      <c r="E20" s="24">
        <f t="shared" si="2"/>
        <v>40.6760741320969</v>
      </c>
      <c r="F20" s="24">
        <f t="shared" ca="1" si="2"/>
        <v>665.2907966364005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3500.9309206570097</v>
      </c>
      <c r="C26" s="40">
        <f>IF(ISERROR(B26*3.6/1000000/'E Balans VL '!Z12*100),0,B26*3.6/1000000/'E Balans VL '!Z12*100)</f>
        <v>7.4392271437716387E-2</v>
      </c>
      <c r="D26" s="236" t="s">
        <v>685</v>
      </c>
      <c r="F26" s="6"/>
    </row>
    <row r="27" spans="1:18">
      <c r="A27" s="231" t="s">
        <v>52</v>
      </c>
      <c r="B27" s="34">
        <f>IF(ISERROR(TER_horeca_ele_kWh/1000),0,TER_horeca_ele_kWh/1000)</f>
        <v>2540.1335110378</v>
      </c>
      <c r="C27" s="40">
        <f>IF(ISERROR(B27*3.6/1000000/'E Balans VL '!Z9*100),0,B27*3.6/1000000/'E Balans VL '!Z9*100)</f>
        <v>0.19992815008593173</v>
      </c>
      <c r="D27" s="236" t="s">
        <v>685</v>
      </c>
      <c r="F27" s="6"/>
    </row>
    <row r="28" spans="1:18">
      <c r="A28" s="171" t="s">
        <v>51</v>
      </c>
      <c r="B28" s="34">
        <f>IF(ISERROR(TER_handel_ele_kWh/1000),0,TER_handel_ele_kWh/1000)</f>
        <v>3011.9604320582503</v>
      </c>
      <c r="C28" s="40">
        <f>IF(ISERROR(B28*3.6/1000000/'E Balans VL '!Z13*100),0,B28*3.6/1000000/'E Balans VL '!Z13*100)</f>
        <v>8.4366623639535995E-2</v>
      </c>
      <c r="D28" s="236" t="s">
        <v>685</v>
      </c>
      <c r="F28" s="6"/>
    </row>
    <row r="29" spans="1:18">
      <c r="A29" s="231" t="s">
        <v>50</v>
      </c>
      <c r="B29" s="34">
        <f>IF(ISERROR(TER_gezond_ele_kWh/1000),0,TER_gezond_ele_kWh/1000)</f>
        <v>235.79074765233898</v>
      </c>
      <c r="C29" s="40">
        <f>IF(ISERROR(B29*3.6/1000000/'E Balans VL '!Z10*100),0,B29*3.6/1000000/'E Balans VL '!Z10*100)</f>
        <v>3.0164766649785745E-2</v>
      </c>
      <c r="D29" s="236" t="s">
        <v>685</v>
      </c>
      <c r="F29" s="6"/>
    </row>
    <row r="30" spans="1:18">
      <c r="A30" s="231" t="s">
        <v>49</v>
      </c>
      <c r="B30" s="34">
        <f>IF(ISERROR(TER_ander_ele_kWh/1000),0,TER_ander_ele_kWh/1000)</f>
        <v>1362.7961033628899</v>
      </c>
      <c r="C30" s="40">
        <f>IF(ISERROR(B30*3.6/1000000/'E Balans VL '!Z14*100),0,B30*3.6/1000000/'E Balans VL '!Z14*100)</f>
        <v>0.10192566541097975</v>
      </c>
      <c r="D30" s="236" t="s">
        <v>685</v>
      </c>
      <c r="F30" s="6"/>
    </row>
    <row r="31" spans="1:18">
      <c r="A31" s="231" t="s">
        <v>54</v>
      </c>
      <c r="B31" s="34">
        <f>IF(ISERROR(TER_onderwijs_ele_kWh/1000),0,TER_onderwijs_ele_kWh/1000)</f>
        <v>218.99287089794399</v>
      </c>
      <c r="C31" s="40">
        <f>IF(ISERROR(B31*3.6/1000000/'E Balans VL '!Z11*100),0,B31*3.6/1000000/'E Balans VL '!Z11*100)</f>
        <v>4.6240628358376105E-2</v>
      </c>
      <c r="D31" s="236" t="s">
        <v>685</v>
      </c>
    </row>
    <row r="32" spans="1:18">
      <c r="A32" s="231" t="s">
        <v>249</v>
      </c>
      <c r="B32" s="34">
        <f>IF(ISERROR(TER_rest_ele_kWh/1000),0,TER_rest_ele_kWh/1000)</f>
        <v>1607.8078741232498</v>
      </c>
      <c r="C32" s="40">
        <f>IF(ISERROR(B32*3.6/1000000/'E Balans VL '!Z8*100),0,B32*3.6/1000000/'E Balans VL '!Z8*100)</f>
        <v>1.3245012041306301E-2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2907.0691446770929</v>
      </c>
      <c r="C5" s="18">
        <f>IF(ISERROR('Eigen informatie GS &amp; warmtenet'!B59),0,'Eigen informatie GS &amp; warmtenet'!B59)</f>
        <v>0</v>
      </c>
      <c r="D5" s="31">
        <f>SUM(D6:D15)</f>
        <v>8876.7653943230634</v>
      </c>
      <c r="E5" s="18">
        <f>SUM(E6:E15)</f>
        <v>25.201488568788861</v>
      </c>
      <c r="F5" s="18">
        <f>SUM(F6:F15)</f>
        <v>1168.3704814066018</v>
      </c>
      <c r="G5" s="19"/>
      <c r="H5" s="18"/>
      <c r="I5" s="18"/>
      <c r="J5" s="18">
        <f>SUM(J6:J15)</f>
        <v>9.4903026255405187</v>
      </c>
      <c r="K5" s="18"/>
      <c r="L5" s="18"/>
      <c r="M5" s="18"/>
      <c r="N5" s="18">
        <f>SUM(N6:N15)</f>
        <v>121.58854565519057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174.00171169034499</v>
      </c>
      <c r="C8" s="34"/>
      <c r="D8" s="38">
        <f>IF( ISERROR(IND_metaal_Gas_kWH/1000),0,IND_metaal_Gas_kWH/1000)*0.902</f>
        <v>0</v>
      </c>
      <c r="E8" s="34">
        <f>C30*'E Balans VL '!I18/100/3.6*1000000</f>
        <v>1.5846022311058325</v>
      </c>
      <c r="F8" s="34">
        <f>C30*'E Balans VL '!L18/100/3.6*1000000+C30*'E Balans VL '!N18/100/3.6*1000000</f>
        <v>22.949504380262312</v>
      </c>
      <c r="G8" s="35"/>
      <c r="H8" s="34"/>
      <c r="I8" s="34"/>
      <c r="J8" s="41">
        <f>C30*'E Balans VL '!D18/100/3.6*1000000+C30*'E Balans VL '!E18/100/3.6*1000000</f>
        <v>2.8533754303336276</v>
      </c>
      <c r="K8" s="34"/>
      <c r="L8" s="34"/>
      <c r="M8" s="34"/>
      <c r="N8" s="34">
        <f>C30*'E Balans VL '!Y18/100/3.6*1000000</f>
        <v>0.59797476107705794</v>
      </c>
      <c r="O8" s="34"/>
      <c r="P8" s="34"/>
      <c r="R8" s="33"/>
    </row>
    <row r="9" spans="1:18">
      <c r="A9" s="6" t="s">
        <v>32</v>
      </c>
      <c r="B9" s="38">
        <f t="shared" si="0"/>
        <v>1057.04680187798</v>
      </c>
      <c r="C9" s="34"/>
      <c r="D9" s="38">
        <f>IF( ISERROR(IND_andere_gas_kWh/1000),0,IND_andere_gas_kWh/1000)*0.902</f>
        <v>786.54684085656879</v>
      </c>
      <c r="E9" s="34">
        <f>C31*'E Balans VL '!I19/100/3.6*1000000</f>
        <v>6.1098884774337101</v>
      </c>
      <c r="F9" s="34">
        <f>C31*'E Balans VL '!L19/100/3.6*1000000+C31*'E Balans VL '!N19/100/3.6*1000000</f>
        <v>840.93159397331328</v>
      </c>
      <c r="G9" s="35"/>
      <c r="H9" s="34"/>
      <c r="I9" s="34"/>
      <c r="J9" s="41">
        <f>C31*'E Balans VL '!D19/100/3.6*1000000+C31*'E Balans VL '!E19/100/3.6*1000000</f>
        <v>9.9984886114341073E-2</v>
      </c>
      <c r="K9" s="34"/>
      <c r="L9" s="34"/>
      <c r="M9" s="34"/>
      <c r="N9" s="34">
        <f>C31*'E Balans VL '!Y19/100/3.6*1000000</f>
        <v>80.087291856287948</v>
      </c>
      <c r="O9" s="34"/>
      <c r="P9" s="34"/>
      <c r="R9" s="33"/>
    </row>
    <row r="10" spans="1:18">
      <c r="A10" s="6" t="s">
        <v>40</v>
      </c>
      <c r="B10" s="38">
        <f t="shared" si="0"/>
        <v>416.522832375539</v>
      </c>
      <c r="C10" s="34"/>
      <c r="D10" s="38">
        <f>IF( ISERROR(IND_voed_gas_kWh/1000),0,IND_voed_gas_kWh/1000)*0.902</f>
        <v>150.83590099212839</v>
      </c>
      <c r="E10" s="34">
        <f>C32*'E Balans VL '!I20/100/3.6*1000000</f>
        <v>4.0955091290070733</v>
      </c>
      <c r="F10" s="34">
        <f>C32*'E Balans VL '!L20/100/3.6*1000000+C32*'E Balans VL '!N20/100/3.6*1000000</f>
        <v>46.260297259715571</v>
      </c>
      <c r="G10" s="35"/>
      <c r="H10" s="34"/>
      <c r="I10" s="34"/>
      <c r="J10" s="41">
        <f>C32*'E Balans VL '!D20/100/3.6*1000000+C32*'E Balans VL '!E20/100/3.6*1000000</f>
        <v>1.6417055723799174E-3</v>
      </c>
      <c r="K10" s="34"/>
      <c r="L10" s="34"/>
      <c r="M10" s="34"/>
      <c r="N10" s="34">
        <f>C32*'E Balans VL '!Y20/100/3.6*1000000</f>
        <v>6.1677233825051854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127.949372792959</v>
      </c>
      <c r="C12" s="34"/>
      <c r="D12" s="38">
        <f>IF( ISERROR(IND_min_gas_kWh/1000),0,IND_min_gas_kWh/1000)*0.902</f>
        <v>0</v>
      </c>
      <c r="E12" s="34">
        <f>C34*'E Balans VL '!I22/100/3.6*1000000</f>
        <v>3.2437442855806133</v>
      </c>
      <c r="F12" s="34">
        <f>C34*'E Balans VL '!L22/100/3.6*1000000+C34*'E Balans VL '!N22/100/3.6*1000000</f>
        <v>35.404037430901468</v>
      </c>
      <c r="G12" s="35"/>
      <c r="H12" s="34"/>
      <c r="I12" s="34"/>
      <c r="J12" s="41">
        <f>C34*'E Balans VL '!D22/100/3.6*1000000+C34*'E Balans VL '!E22/100/3.6*1000000</f>
        <v>0.84500336946987964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1131.5484259402701</v>
      </c>
      <c r="C15" s="34"/>
      <c r="D15" s="38">
        <f>IF( ISERROR(IND_rest_gas_kWh/1000),0,IND_rest_gas_kWh/1000)*0.902</f>
        <v>7939.3826524743663</v>
      </c>
      <c r="E15" s="34">
        <f>C37*'E Balans VL '!I15/100/3.6*1000000</f>
        <v>10.167744445661633</v>
      </c>
      <c r="F15" s="34">
        <f>C37*'E Balans VL '!L15/100/3.6*1000000+C37*'E Balans VL '!N15/100/3.6*1000000</f>
        <v>222.82504836240935</v>
      </c>
      <c r="G15" s="35"/>
      <c r="H15" s="34"/>
      <c r="I15" s="34"/>
      <c r="J15" s="41">
        <f>C37*'E Balans VL '!D15/100/3.6*1000000+C37*'E Balans VL '!E15/100/3.6*1000000</f>
        <v>5.6902972340502904</v>
      </c>
      <c r="K15" s="34"/>
      <c r="L15" s="34"/>
      <c r="M15" s="34"/>
      <c r="N15" s="34">
        <f>C37*'E Balans VL '!Y15/100/3.6*1000000</f>
        <v>34.735555655320383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2907.0691446770929</v>
      </c>
      <c r="C18" s="22">
        <f>C5+C16</f>
        <v>0</v>
      </c>
      <c r="D18" s="22">
        <f>MAX((D5+D16),0)</f>
        <v>8876.7653943230634</v>
      </c>
      <c r="E18" s="22">
        <f>MAX((E5+E16),0)</f>
        <v>25.201488568788861</v>
      </c>
      <c r="F18" s="22">
        <f>MAX((F5+F16),0)</f>
        <v>1168.3704814066018</v>
      </c>
      <c r="G18" s="22"/>
      <c r="H18" s="22"/>
      <c r="I18" s="22"/>
      <c r="J18" s="22">
        <f>MAX((J5+J16),0)</f>
        <v>9.4903026255405187</v>
      </c>
      <c r="K18" s="22"/>
      <c r="L18" s="22">
        <f>MAX((L5+L16),0)</f>
        <v>0</v>
      </c>
      <c r="M18" s="22"/>
      <c r="N18" s="22">
        <f>MAX((N5+N16),0)</f>
        <v>121.58854565519057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0.1425549537200537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414.41710738043906</v>
      </c>
      <c r="C22" s="24">
        <f ca="1">C18*C20</f>
        <v>0</v>
      </c>
      <c r="D22" s="24">
        <f>D18*D20</f>
        <v>1793.1066096532588</v>
      </c>
      <c r="E22" s="24">
        <f>E18*E20</f>
        <v>5.7207379051150715</v>
      </c>
      <c r="F22" s="24">
        <f>F18*F20</f>
        <v>311.95491853556268</v>
      </c>
      <c r="G22" s="24"/>
      <c r="H22" s="24"/>
      <c r="I22" s="24"/>
      <c r="J22" s="24">
        <f>J18*J20</f>
        <v>3.3595671294413436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174.00171169034499</v>
      </c>
      <c r="C30" s="40">
        <f>IF(ISERROR(B30*3.6/1000000/'E Balans VL '!Z18*100),0,B30*3.6/1000000/'E Balans VL '!Z18*100)</f>
        <v>9.6820317161044906E-3</v>
      </c>
      <c r="D30" s="236" t="s">
        <v>685</v>
      </c>
    </row>
    <row r="31" spans="1:18">
      <c r="A31" s="6" t="s">
        <v>32</v>
      </c>
      <c r="B31" s="38">
        <f>IF( ISERROR(IND_ander_ele_kWh/1000),0,IND_ander_ele_kWh/1000)</f>
        <v>1057.04680187798</v>
      </c>
      <c r="C31" s="40">
        <f>IF(ISERROR(B31*3.6/1000000/'E Balans VL '!Z19*100),0,B31*3.6/1000000/'E Balans VL '!Z19*100)</f>
        <v>4.913932969442019E-2</v>
      </c>
      <c r="D31" s="236" t="s">
        <v>685</v>
      </c>
    </row>
    <row r="32" spans="1:18">
      <c r="A32" s="171" t="s">
        <v>40</v>
      </c>
      <c r="B32" s="38">
        <f>IF( ISERROR(IND_voed_ele_kWh/1000),0,IND_voed_ele_kWh/1000)</f>
        <v>416.522832375539</v>
      </c>
      <c r="C32" s="40">
        <f>IF(ISERROR(B32*3.6/1000000/'E Balans VL '!Z20*100),0,B32*3.6/1000000/'E Balans VL '!Z20*100)</f>
        <v>1.4723240920989984E-2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127.949372792959</v>
      </c>
      <c r="C34" s="40">
        <f>IF(ISERROR(B34*3.6/1000000/'E Balans VL '!Z22*100),0,B34*3.6/1000000/'E Balans VL '!Z22*100)</f>
        <v>2.5714215880966736E-2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1131.5484259402701</v>
      </c>
      <c r="C37" s="40">
        <f>IF(ISERROR(B37*3.6/1000000/'E Balans VL '!Z15*100),0,B37*3.6/1000000/'E Balans VL '!Z15*100)</f>
        <v>8.5448621656375005E-3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1009.037191809437</v>
      </c>
      <c r="C5" s="18">
        <f>'Eigen informatie GS &amp; warmtenet'!B60</f>
        <v>0</v>
      </c>
      <c r="D5" s="31">
        <f>IF(ISERROR(SUM(LB_lb_gas_kWh,LB_rest_gas_kWh)/1000),0,SUM(LB_lb_gas_kWh,LB_rest_gas_kWh)/1000)*0.902</f>
        <v>891.19530649817659</v>
      </c>
      <c r="E5" s="18">
        <f>B17*'E Balans VL '!I25/3.6*1000000/100</f>
        <v>9.5058064239408324</v>
      </c>
      <c r="F5" s="18">
        <f>B17*('E Balans VL '!L25/3.6*1000000+'E Balans VL '!N25/3.6*1000000)/100</f>
        <v>3292.8232269087762</v>
      </c>
      <c r="G5" s="19"/>
      <c r="H5" s="18"/>
      <c r="I5" s="18"/>
      <c r="J5" s="18">
        <f>('E Balans VL '!D25+'E Balans VL '!E25)/3.6*1000000*landbouw!B17/100</f>
        <v>124.82280858278554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1009.037191809437</v>
      </c>
      <c r="C8" s="22">
        <f>C5+C6</f>
        <v>0</v>
      </c>
      <c r="D8" s="22">
        <f>MAX((D5+D6),0)</f>
        <v>891.19530649817659</v>
      </c>
      <c r="E8" s="22">
        <f>MAX((E5+E6),0)</f>
        <v>9.5058064239408324</v>
      </c>
      <c r="F8" s="22">
        <f>MAX((F5+F6),0)</f>
        <v>3292.8232269087762</v>
      </c>
      <c r="G8" s="22"/>
      <c r="H8" s="22"/>
      <c r="I8" s="22"/>
      <c r="J8" s="22">
        <f>MAX((J5+J6),0)</f>
        <v>124.82280858278554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0.1425549537200537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143.84325018020724</v>
      </c>
      <c r="C12" s="24">
        <f ca="1">C8*C10</f>
        <v>0</v>
      </c>
      <c r="D12" s="24">
        <f>D8*D10</f>
        <v>180.02145191263168</v>
      </c>
      <c r="E12" s="24">
        <f>E8*E10</f>
        <v>2.157818058234569</v>
      </c>
      <c r="F12" s="24">
        <f>F8*F10</f>
        <v>879.18380158464333</v>
      </c>
      <c r="G12" s="24"/>
      <c r="H12" s="24"/>
      <c r="I12" s="24"/>
      <c r="J12" s="24">
        <f>J8*J10</f>
        <v>44.187274238306081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0.13660751187210485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241.10373425402685</v>
      </c>
      <c r="C26" s="246">
        <f>B26*'GWP N2O_CH4'!B5</f>
        <v>5063.1784193345638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52.566318817006106</v>
      </c>
      <c r="C27" s="246">
        <f>B27*'GWP N2O_CH4'!B5</f>
        <v>1103.8926951571282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3.5706817647251547</v>
      </c>
      <c r="C28" s="246">
        <f>B28*'GWP N2O_CH4'!B4</f>
        <v>1106.9113470647981</v>
      </c>
      <c r="D28" s="51"/>
    </row>
    <row r="29" spans="1:4">
      <c r="A29" s="42" t="s">
        <v>266</v>
      </c>
      <c r="B29" s="246">
        <f>B34*'ha_N2O bodem landbouw'!B4</f>
        <v>10.424039574325482</v>
      </c>
      <c r="C29" s="246">
        <f>B29*'GWP N2O_CH4'!B4</f>
        <v>3231.4522680408995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2.814162533520547E-3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9.366745506739847E-6</v>
      </c>
      <c r="C5" s="433" t="s">
        <v>204</v>
      </c>
      <c r="D5" s="418">
        <f>SUM(D6:D11)</f>
        <v>1.298770299340349E-5</v>
      </c>
      <c r="E5" s="418">
        <f>SUM(E6:E11)</f>
        <v>8.2105178609609105E-4</v>
      </c>
      <c r="F5" s="431" t="s">
        <v>204</v>
      </c>
      <c r="G5" s="418">
        <f>SUM(G6:G11)</f>
        <v>0.18284895898755704</v>
      </c>
      <c r="H5" s="418">
        <f>SUM(H6:H11)</f>
        <v>3.0962628980199036E-2</v>
      </c>
      <c r="I5" s="433" t="s">
        <v>204</v>
      </c>
      <c r="J5" s="433" t="s">
        <v>204</v>
      </c>
      <c r="K5" s="433" t="s">
        <v>204</v>
      </c>
      <c r="L5" s="433" t="s">
        <v>204</v>
      </c>
      <c r="M5" s="418">
        <f>SUM(M6:M11)</f>
        <v>9.554241427813092E-3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5.7210154329945878E-6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6.6631606782920357E-6</v>
      </c>
      <c r="E6" s="421">
        <f>vkm_GW_PW*SUMIFS(TableVerdeelsleutelVkm[LPG],TableVerdeelsleutelVkm[Voertuigtype],"Lichte voertuigen")*SUMIFS(TableECFTransport[EnergieConsumptieFactor (PJ per km)],TableECFTransport[Index],CONCATENATE($A6,"_LPG_LPG"))</f>
        <v>4.3228874244138877E-4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6.7445171267758147E-2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1.6254275604588243E-2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3.7455556984355202E-3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2.0881211542995072E-7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3.4542132135191826E-2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9.2688849387981762E-7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1.5370121972258419E-3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3.3249054754577677E-6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6.3245423151114539E-6</v>
      </c>
      <c r="E8" s="421">
        <f>vkm_NGW_PW*SUMIFS(TableVerdeelsleutelVkm[LPG],TableVerdeelsleutelVkm[Voertuigtype],"Lichte voertuigen")*SUMIFS(TableECFTransport[EnergieConsumptieFactor (PJ per km)],TableECFTransport[Index],CONCATENATE($A8,"_LPG_LPG"))</f>
        <v>3.8876304365470228E-4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5.7100645606964581E-2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1.4706826344223248E-2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3.2143878163644795E-3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1.1201248285754096E-7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2.3761009977642477E-2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6.0014289366082889E-7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1.0572857157872513E-3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2.60187375187218</v>
      </c>
      <c r="C14" s="22"/>
      <c r="D14" s="22">
        <f t="shared" ref="D14:M14" si="0">((D5)*10^9/3600)+D12</f>
        <v>3.6076952759454137</v>
      </c>
      <c r="E14" s="22">
        <f t="shared" si="0"/>
        <v>228.06994058224751</v>
      </c>
      <c r="F14" s="22"/>
      <c r="G14" s="22">
        <f t="shared" si="0"/>
        <v>50791.377496543624</v>
      </c>
      <c r="H14" s="22">
        <f t="shared" si="0"/>
        <v>8600.7302722775094</v>
      </c>
      <c r="I14" s="22"/>
      <c r="J14" s="22"/>
      <c r="K14" s="22"/>
      <c r="L14" s="22"/>
      <c r="M14" s="22">
        <f t="shared" si="0"/>
        <v>2653.9559521703036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0.1425549537200537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0.37090999228356109</v>
      </c>
      <c r="C18" s="24"/>
      <c r="D18" s="24">
        <f t="shared" ref="D18:M18" si="1">D14*D16</f>
        <v>0.72875444574097359</v>
      </c>
      <c r="E18" s="24">
        <f t="shared" si="1"/>
        <v>51.771876512170188</v>
      </c>
      <c r="F18" s="24"/>
      <c r="G18" s="24">
        <f t="shared" si="1"/>
        <v>13561.297791577148</v>
      </c>
      <c r="H18" s="24">
        <f t="shared" si="1"/>
        <v>2141.5818377971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1.5860246605823561E-5</v>
      </c>
      <c r="C50" s="316">
        <f t="shared" ref="C50:P50" si="2">SUM(C51:C52)</f>
        <v>0</v>
      </c>
      <c r="D50" s="316">
        <f t="shared" si="2"/>
        <v>0</v>
      </c>
      <c r="E50" s="316">
        <f t="shared" si="2"/>
        <v>0</v>
      </c>
      <c r="F50" s="316">
        <f t="shared" si="2"/>
        <v>0</v>
      </c>
      <c r="G50" s="316">
        <f t="shared" si="2"/>
        <v>3.1633574550441273E-3</v>
      </c>
      <c r="H50" s="316">
        <f t="shared" si="2"/>
        <v>0</v>
      </c>
      <c r="I50" s="316">
        <f t="shared" si="2"/>
        <v>0</v>
      </c>
      <c r="J50" s="316">
        <f t="shared" si="2"/>
        <v>0</v>
      </c>
      <c r="K50" s="316">
        <f t="shared" si="2"/>
        <v>0</v>
      </c>
      <c r="L50" s="316">
        <f t="shared" si="2"/>
        <v>0</v>
      </c>
      <c r="M50" s="316">
        <f t="shared" si="2"/>
        <v>1.3981703034813745E-4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1.5860246605823561E-5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3.1633574550441273E-3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1.3981703034813745E-4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4.4056240571732115</v>
      </c>
      <c r="C54" s="22">
        <f t="shared" ref="C54:P54" si="3">(C50)*10^9/3600</f>
        <v>0</v>
      </c>
      <c r="D54" s="22">
        <f t="shared" si="3"/>
        <v>0</v>
      </c>
      <c r="E54" s="22">
        <f t="shared" si="3"/>
        <v>0</v>
      </c>
      <c r="F54" s="22">
        <f t="shared" si="3"/>
        <v>0</v>
      </c>
      <c r="G54" s="22">
        <f t="shared" si="3"/>
        <v>878.71040417892414</v>
      </c>
      <c r="H54" s="22">
        <f t="shared" si="3"/>
        <v>0</v>
      </c>
      <c r="I54" s="22">
        <f t="shared" si="3"/>
        <v>0</v>
      </c>
      <c r="J54" s="22">
        <f t="shared" si="3"/>
        <v>0</v>
      </c>
      <c r="K54" s="22">
        <f t="shared" si="3"/>
        <v>0</v>
      </c>
      <c r="L54" s="22">
        <f t="shared" si="3"/>
        <v>0</v>
      </c>
      <c r="M54" s="22">
        <f t="shared" si="3"/>
        <v>38.838063985593742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0.1425549537200537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0.62804353357828235</v>
      </c>
      <c r="C58" s="24">
        <f t="shared" ref="C58:P58" ca="1" si="4">C54*C56</f>
        <v>0</v>
      </c>
      <c r="D58" s="24">
        <f t="shared" si="4"/>
        <v>0</v>
      </c>
      <c r="E58" s="24">
        <f t="shared" si="4"/>
        <v>0</v>
      </c>
      <c r="F58" s="24">
        <f t="shared" si="4"/>
        <v>0</v>
      </c>
      <c r="G58" s="24">
        <f t="shared" si="4"/>
        <v>234.61567791577275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15230.301970606301</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2569.3596707756105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40.5</v>
      </c>
      <c r="C8" s="544">
        <f>B48</f>
        <v>47.647058823529413</v>
      </c>
      <c r="D8" s="967"/>
      <c r="E8" s="967">
        <f>E48</f>
        <v>0</v>
      </c>
      <c r="F8" s="968"/>
      <c r="G8" s="545"/>
      <c r="H8" s="967">
        <f>I48</f>
        <v>0</v>
      </c>
      <c r="I8" s="967">
        <f>G48+F48</f>
        <v>0</v>
      </c>
      <c r="J8" s="967">
        <f>H48+D48+C48</f>
        <v>0</v>
      </c>
      <c r="K8" s="967"/>
      <c r="L8" s="967"/>
      <c r="M8" s="967"/>
      <c r="N8" s="546"/>
      <c r="O8" s="547">
        <f>C8*$C$12+D8*$D$12+E8*$E$12+F8*$F$12+G8*$G$12+H8*$H$12+I8*$I$12+J8*$J$12</f>
        <v>9.6247058823529414</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17840.16164138191</v>
      </c>
      <c r="C10" s="556">
        <f t="shared" ref="C10:L10" si="0">SUM(C8:C9)</f>
        <v>47.647058823529413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9.6247058823529414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57.857142857142861</v>
      </c>
      <c r="C17" s="568">
        <f>B49</f>
        <v>68.067226890756316</v>
      </c>
      <c r="D17" s="569"/>
      <c r="E17" s="569">
        <f>E49</f>
        <v>0</v>
      </c>
      <c r="F17" s="570"/>
      <c r="G17" s="571"/>
      <c r="H17" s="568">
        <f>I49</f>
        <v>0</v>
      </c>
      <c r="I17" s="569">
        <f>G49+F49</f>
        <v>0</v>
      </c>
      <c r="J17" s="569">
        <f>H49+D49+C49</f>
        <v>0</v>
      </c>
      <c r="K17" s="569"/>
      <c r="L17" s="569"/>
      <c r="M17" s="569"/>
      <c r="N17" s="974"/>
      <c r="O17" s="572">
        <f>C17*$C$22+E17*$E$22+H17*$H$22+I17*$I$22+J17*$J$22+D17*$D$22+F17*$F$22+G17*$G$22+K17*$K$22+L17*$L$22</f>
        <v>13.749579831932778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57.857142857142861</v>
      </c>
      <c r="C20" s="555">
        <f>SUM(C17:C19)</f>
        <v>68.067226890756316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13.749579831932778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42003</v>
      </c>
      <c r="C28" s="775">
        <v>9290</v>
      </c>
      <c r="D28" s="628"/>
      <c r="E28" s="627"/>
      <c r="F28" s="627"/>
      <c r="G28" s="627" t="s">
        <v>959</v>
      </c>
      <c r="H28" s="627" t="s">
        <v>960</v>
      </c>
      <c r="I28" s="627"/>
      <c r="J28" s="774"/>
      <c r="K28" s="774"/>
      <c r="L28" s="627" t="s">
        <v>961</v>
      </c>
      <c r="M28" s="627">
        <v>9</v>
      </c>
      <c r="N28" s="627">
        <v>40.5</v>
      </c>
      <c r="O28" s="627">
        <v>57.857142857142861</v>
      </c>
      <c r="P28" s="627">
        <v>115.71428571428572</v>
      </c>
      <c r="Q28" s="627">
        <v>0</v>
      </c>
      <c r="R28" s="627">
        <v>0</v>
      </c>
      <c r="S28" s="627">
        <v>0</v>
      </c>
      <c r="T28" s="627">
        <v>0</v>
      </c>
      <c r="U28" s="627">
        <v>0</v>
      </c>
      <c r="V28" s="627">
        <v>0</v>
      </c>
      <c r="W28" s="627"/>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9</v>
      </c>
      <c r="N29" s="585">
        <f>SUM(N28:N28)</f>
        <v>40.5</v>
      </c>
      <c r="O29" s="585">
        <f>SUM(O28:O28)</f>
        <v>57.857142857142861</v>
      </c>
      <c r="P29" s="585">
        <f>SUM(P28:P28)</f>
        <v>115.71428571428572</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9</v>
      </c>
      <c r="N31" s="585">
        <f ca="1">SUMIF($Z$28:AD28,"tertiair",N28:N28)</f>
        <v>40.5</v>
      </c>
      <c r="O31" s="585">
        <f ca="1">SUMIF($Z$28:AE28,"tertiair",O28:O28)</f>
        <v>57.857142857142861</v>
      </c>
      <c r="P31" s="585">
        <f ca="1">SUMIF($Z$28:AF28,"tertiair",P28:P28)</f>
        <v>115.71428571428572</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47.647058823529413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68.067226890756316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2021-11-11T13:35:48Z</dcterms:modified>
</cp:coreProperties>
</file>