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01EEE78A-93F7-43AE-A9A0-8D5F79A25F10}"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6"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D49" i="18"/>
  <c r="F49" i="18"/>
  <c r="N6" i="17"/>
  <c r="L6" i="17"/>
  <c r="F6" i="17"/>
  <c r="D6" i="17"/>
  <c r="C6" i="17"/>
  <c r="N16" i="16"/>
  <c r="L16" i="16"/>
  <c r="F16" i="16"/>
  <c r="D16" i="16"/>
  <c r="C16" i="16"/>
  <c r="B16" i="16"/>
  <c r="B13" i="15"/>
  <c r="G49"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J56" i="14" s="1"/>
  <c r="I54" i="14"/>
  <c r="H54" i="14"/>
  <c r="H56" i="14" s="1"/>
  <c r="Q24" i="14"/>
  <c r="P24" i="14"/>
  <c r="N24" i="14"/>
  <c r="L24" i="14"/>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I56" i="14"/>
  <c r="R44" i="14"/>
  <c r="Q26" i="14"/>
  <c r="N26" i="14"/>
  <c r="J26" i="14"/>
  <c r="E25" i="14"/>
  <c r="D14" i="48" s="1"/>
  <c r="C25" i="14"/>
  <c r="B14" i="48" s="1"/>
  <c r="P26" i="14"/>
  <c r="L26" i="14"/>
  <c r="F13" i="15"/>
  <c r="D13" i="15"/>
  <c r="C13" i="15"/>
  <c r="O31" i="48" l="1"/>
  <c r="O27" i="48"/>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6" i="22"/>
  <c r="D8"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3" i="13"/>
  <c r="B35" i="13"/>
  <c r="C35" i="13" s="1"/>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<sst xmlns="http://schemas.openxmlformats.org/spreadsheetml/2006/main" count="2563" uniqueCount="962">
  <si>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</si>
  <si>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</si>
  <si>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</si>
  <si>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</si>
  <si>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</si>
  <si>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</si>
  <si>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</si>
  <si>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</si>
  <si>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</si>
  <si>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</si>
  <si>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</si>
  <si>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</si>
  <si>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</si>
  <si>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</si>
  <si>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</si>
  <si>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</si>
  <si>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</si>
  <si>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</si>
  <si>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</si>
  <si>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</si>
  <si>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</si>
  <si>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</si>
  <si>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</si>
  <si>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</si>
  <si>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</si>
  <si>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</si>
  <si>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</si>
  <si>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</si>
  <si>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</si>
  <si>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</si>
  <si>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</si>
  <si>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</si>
  <si>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</si>
  <si>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</si>
  <si>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</si>
  <si>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</si>
  <si>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</si>
  <si>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</si>
  <si>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</si>
  <si>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</si>
  <si>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</si>
  <si>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</si>
  <si>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</si>
  <si>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</si>
  <si>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</si>
  <si>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</si>
  <si>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</si>
  <si>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</si>
  <si>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</si>
  <si>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</si>
  <si>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</si>
  <si>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</si>
  <si>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</si>
  <si>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</si>
  <si>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</si>
  <si>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</si>
  <si>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</si>
  <si>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</si>
  <si>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</si>
  <si>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</si>
  <si>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</si>
  <si>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</si>
  <si>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</si>
  <si>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</si>
  <si>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</si>
  <si>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</si>
  <si>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</si>
  <si>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</si>
  <si>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</si>
  <si>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</si>
  <si>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</si>
  <si>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</si>
  <si>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</si>
  <si>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</si>
  <si>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</si>
  <si>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</si>
  <si>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</si>
  <si>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</si>
  <si>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</si>
  <si>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</si>
  <si>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</si>
  <si>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</si>
  <si>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</si>
  <si>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</si>
  <si>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</si>
  <si>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</si>
  <si>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</si>
  <si>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</si>
  <si>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</si>
  <si>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</si>
  <si>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</si>
  <si>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</si>
  <si>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</si>
  <si>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</si>
  <si>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</si>
  <si>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</si>
  <si>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</si>
  <si>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</si>
  <si>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</si>
  <si>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</si>
  <si>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</si>
  <si>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</si>
  <si>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</si>
  <si>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</si>
  <si>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</si>
  <si>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</si>
  <si>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</si>
  <si>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</si>
  <si>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</si>
  <si>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</si>
  <si>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</si>
  <si>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</si>
  <si>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</si>
  <si>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</si>
  <si>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</si>
  <si>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</si>
  <si>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</si>
  <si>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</si>
  <si>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</si>
  <si>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</si>
  <si>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</si>
  <si>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</si>
  <si>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</si>
  <si>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</si>
  <si>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</si>
  <si>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</si>
  <si>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</si>
  <si>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</si>
  <si>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</si>
  <si>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</si>
  <si>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</si>
  <si>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</si>
  <si>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</si>
  <si>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</si>
  <si>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</si>
  <si>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</si>
  <si>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</si>
  <si>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</si>
  <si>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</si>
  <si>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</si>
  <si>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</si>
  <si>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</si>
  <si>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</si>
  <si>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</si>
  <si>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</si>
  <si>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</si>
  <si>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</si>
  <si>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</si>
  <si>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</si>
  <si>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</si>
  <si>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</si>
  <si>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</si>
  <si>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</si>
  <si>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</si>
  <si>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</si>
  <si>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</si>
  <si>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</si>
  <si>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</si>
  <si>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</si>
  <si>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</si>
  <si>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</si>
  <si>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</si>
  <si>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</si>
  <si>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</si>
  <si>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</si>
  <si>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</si>
  <si>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</si>
  <si>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</si>
  <si>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</si>
  <si>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</si>
  <si>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</si>
  <si>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</si>
  <si>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</si>
  <si>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</si>
  <si>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</si>
  <si>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</si>
  <si>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</si>
  <si>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</si>
  <si>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</si>
  <si>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</si>
  <si>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</si>
  <si>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</si>
  <si>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</si>
  <si>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</si>
  <si>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</si>
  <si>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</si>
  <si>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</si>
  <si>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</si>
  <si>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</si>
  <si>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</si>
  <si>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</si>
  <si>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</si>
  <si>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</si>
  <si>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</si>
  <si>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</si>
  <si>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</si>
  <si>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</si>
  <si>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</si>
  <si>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</si>
  <si>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</si>
  <si>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</si>
  <si>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</si>
  <si>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</si>
  <si>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</si>
  <si>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</si>
  <si>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</si>
  <si>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</si>
  <si>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</si>
  <si>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</si>
  <si>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</si>
  <si>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</si>
  <si>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</si>
  <si>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</si>
  <si>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</si>
  <si>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</si>
  <si>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</si>
  <si>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</si>
  <si>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</si>
  <si>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</si>
  <si>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</si>
  <si>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</si>
  <si>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</si>
  <si>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</si>
  <si>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</si>
  <si>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</si>
  <si>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</si>
  <si>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</si>
  <si>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</si>
  <si>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</si>
  <si>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</si>
  <si>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</si>
  <si>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</si>
  <si>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</si>
  <si>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</si>
  <si>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</si>
  <si>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</si>
  <si>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</si>
  <si>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</si>
  <si>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</si>
  <si>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</si>
  <si>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</si>
  <si>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</si>
  <si>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</si>
  <si>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</si>
  <si>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</si>
  <si>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</si>
  <si>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</si>
  <si>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</si>
  <si>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</si>
  <si>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</si>
  <si>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</si>
  <si>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</si>
  <si>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</si>
  <si>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</si>
  <si>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</si>
  <si>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</si>
  <si>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</si>
  <si>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</si>
  <si>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</si>
  <si>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</si>
  <si>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</si>
  <si>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</si>
  <si>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</si>
  <si>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</si>
  <si>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</si>
  <si>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</si>
  <si>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</si>
  <si>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</si>
  <si>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</si>
  <si>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</si>
  <si>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</si>
  <si>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</si>
  <si>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</si>
  <si>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</si>
  <si>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</si>
  <si>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</si>
  <si>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</si>
  <si>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</si>
  <si>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</si>
  <si>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</si>
  <si>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</si>
  <si>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</si>
  <si>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</si>
  <si>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</si>
  <si>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</si>
  <si>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</si>
  <si>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</si>
  <si>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</si>
  <si>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</si>
  <si>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</si>
  <si>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</si>
  <si>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</si>
  <si>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</si>
  <si>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</si>
  <si>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</si>
  <si>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</si>
  <si>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</si>
  <si>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</si>
  <si>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</si>
  <si>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</si>
  <si>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</si>
  <si>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</si>
  <si>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</si>
  <si>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</si>
  <si>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</si>
  <si>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</si>
  <si>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</si>
  <si>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</si>
  <si>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</si>
  <si>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</si>
  <si>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</si>
  <si>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</si>
  <si>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</si>
  <si>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</si>
  <si>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</si>
  <si>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</si>
  <si>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</si>
  <si>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</si>
  <si>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</si>
  <si>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</si>
  <si>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</si>
  <si>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</si>
  <si>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</si>
  <si>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</si>
  <si>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</si>
  <si>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</si>
  <si>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</si>
  <si>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</si>
  <si>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</si>
  <si>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</si>
  <si>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</si>
  <si>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</si>
  <si>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</si>
  <si>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</si>
  <si>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</si>
  <si>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</si>
  <si>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</si>
  <si>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</si>
  <si>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</si>
  <si>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</si>
  <si>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</si>
  <si>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</si>
  <si>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</si>
  <si>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</si>
  <si>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</si>
  <si>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</si>
  <si>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</si>
  <si>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</si>
  <si>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</si>
  <si>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</si>
  <si>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</si>
  <si>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</si>
  <si>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</si>
  <si>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</si>
  <si>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</si>
  <si>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</si>
  <si>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</si>
  <si>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</si>
  <si>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</si>
  <si>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</si>
  <si>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</si>
  <si>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</si>
  <si>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</si>
  <si>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</si>
  <si>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</si>
  <si>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</si>
  <si>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</si>
  <si>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</si>
  <si>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</si>
  <si>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</si>
  <si>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</si>
  <si>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</si>
  <si>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</si>
  <si>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</si>
  <si>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</si>
  <si>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</si>
  <si>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</si>
  <si>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</si>
  <si>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</si>
  <si>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</si>
  <si>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</si>
  <si>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</si>
  <si>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</si>
  <si>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</si>
  <si>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</si>
  <si>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</si>
  <si>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</si>
  <si>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</si>
  <si>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</si>
  <si>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</si>
  <si>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</si>
  <si>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</si>
  <si>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</si>
  <si>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</si>
  <si>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</si>
  <si>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</si>
  <si>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</si>
  <si>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</si>
  <si>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</si>
  <si>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</si>
  <si>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</si>
  <si>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</si>
  <si>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</si>
  <si>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</si>
  <si>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</si>
  <si>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</si>
  <si>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</si>
  <si>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</si>
  <si>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</si>
  <si>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</si>
  <si>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</si>
  <si>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</si>
  <si>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</si>
  <si>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</si>
  <si>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</si>
  <si>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</si>
  <si>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</si>
  <si>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</si>
  <si>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</si>
  <si>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</si>
  <si>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</si>
  <si>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</si>
  <si>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</si>
  <si>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</si>
  <si>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</si>
  <si>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</si>
  <si>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</si>
  <si>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</si>
  <si>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</si>
  <si>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</si>
  <si>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</si>
  <si>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</si>
  <si>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</si>
  <si>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</si>
  <si>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</si>
  <si>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</si>
  <si>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</si>
  <si>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</si>
  <si>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</si>
  <si>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</si>
  <si>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</si>
  <si>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</si>
  <si>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</si>
  <si>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</si>
  <si>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</si>
  <si>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</si>
  <si>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</si>
  <si>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</si>
  <si>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</si>
  <si>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</si>
  <si>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</si>
  <si>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</si>
  <si>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</si>
  <si>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</si>
  <si>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</si>
  <si>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</si>
  <si>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</si>
  <si>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</si>
  <si>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</si>
  <si>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</si>
  <si>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</si>
  <si>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</si>
  <si>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</si>
  <si>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</si>
  <si>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</si>
  <si>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</si>
  <si>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</si>
  <si>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</si>
  <si>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</si>
  <si>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</si>
  <si>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</si>
  <si>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</si>
  <si>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</si>
  <si>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</si>
  <si>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</si>
  <si>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</si>
  <si>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</si>
  <si>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</si>
  <si>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</si>
  <si>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</si>
  <si>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</si>
  <si>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</si>
  <si>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</si>
  <si>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</si>
  <si>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</si>
  <si>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</si>
  <si>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</si>
  <si>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</si>
  <si>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</si>
  <si>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</si>
  <si>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</si>
  <si>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</si>
  <si>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</si>
  <si>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</si>
  <si>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</si>
  <si>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</si>
  <si>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</si>
  <si>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</si>
  <si>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</si>
  <si>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</si>
  <si>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</si>
  <si>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</si>
  <si>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</si>
  <si>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</si>
  <si>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</si>
  <si>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</si>
  <si>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</si>
  <si>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</si>
  <si>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</si>
  <si>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</si>
  <si>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</si>
  <si>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</si>
  <si>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</si>
  <si>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</si>
  <si>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</si>
  <si>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</si>
  <si>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</si>
  <si>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</si>
  <si>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</si>
  <si>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</si>
  <si>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</si>
  <si>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</si>
  <si>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</si>
  <si>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</si>
  <si>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</si>
  <si>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</si>
  <si>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</si>
  <si>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</si>
  <si>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</si>
  <si>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</si>
  <si>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</si>
  <si>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</si>
  <si>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</si>
  <si>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</si>
  <si>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</si>
  <si>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</si>
  <si>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</si>
  <si>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</si>
  <si>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</si>
  <si>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</si>
  <si>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</si>
  <si>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</si>
  <si>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</si>
  <si>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</si>
  <si>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</si>
  <si>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</si>
  <si>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</si>
  <si>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</si>
  <si>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</si>
  <si>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</si>
  <si>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</si>
  <si>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</si>
  <si>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</si>
  <si>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</si>
  <si>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</si>
  <si>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</si>
  <si>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</si>
  <si>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</si>
  <si>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</si>
  <si>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</si>
  <si>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</si>
  <si>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</si>
  <si>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</si>
  <si>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</si>
  <si>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</si>
  <si>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</si>
  <si>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</si>
  <si>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</si>
  <si>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</si>
  <si>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</si>
  <si>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</si>
  <si>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</si>
  <si>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</si>
  <si>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</si>
  <si>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</si>
  <si>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</si>
  <si>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</si>
  <si>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</si>
  <si>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</si>
  <si>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</si>
  <si>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</si>
  <si>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</si>
  <si>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</si>
  <si>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</si>
  <si>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</si>
  <si>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</si>
  <si>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</si>
  <si>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</si>
  <si>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</si>
  <si>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</si>
  <si>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</si>
  <si>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</si>
  <si>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</si>
  <si>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</si>
  <si>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</si>
  <si>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</si>
  <si>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</si>
  <si>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</si>
  <si>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</si>
  <si>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</si>
  <si>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</si>
  <si>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</si>
  <si>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</si>
  <si>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</si>
  <si>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</si>
  <si>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</si>
  <si>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</si>
  <si>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</si>
  <si>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</si>
  <si>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</si>
  <si>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</si>
  <si>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</si>
  <si>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</si>
  <si>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</si>
  <si>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</si>
  <si>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</si>
  <si>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</si>
  <si>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</si>
  <si>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</si>
  <si>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</si>
  <si>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</si>
  <si>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</si>
  <si>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</si>
  <si>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</si>
  <si>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</si>
  <si>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</si>
  <si>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</si>
  <si>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</si>
  <si>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</si>
  <si>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</si>
  <si>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</si>
  <si>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</si>
  <si>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</si>
  <si>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</si>
  <si>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</si>
  <si>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</si>
  <si>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</si>
  <si>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</si>
  <si>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</si>
  <si>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</si>
  <si>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</si>
  <si>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</si>
  <si>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</si>
  <si>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</si>
  <si>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</si>
  <si>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</si>
  <si>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</si>
  <si>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</si>
  <si>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</si>
  <si>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</si>
  <si>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</si>
  <si>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</si>
  <si>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</si>
  <si>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</si>
  <si>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</si>
  <si>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</si>
  <si>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</si>
  <si>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</si>
  <si>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</si>
  <si>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</si>
  <si>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</si>
  <si>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</si>
  <si>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</si>
  <si>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</si>
  <si>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</si>
  <si>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</si>
  <si>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</si>
  <si>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</si>
  <si>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</si>
  <si>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</si>
  <si>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</si>
  <si>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</si>
  <si>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</si>
  <si>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</si>
  <si>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</si>
  <si>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</si>
  <si>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</si>
  <si>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</si>
  <si>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</si>
  <si>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</si>
  <si>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</si>
  <si>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</si>
  <si>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</si>
  <si>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</si>
  <si>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</si>
  <si>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</si>
  <si>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</si>
  <si>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</si>
  <si>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</si>
  <si>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</si>
  <si>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</si>
  <si>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</si>
  <si>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</si>
  <si>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</si>
  <si>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</si>
  <si>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</si>
  <si>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</si>
  <si>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</si>
  <si>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</si>
  <si>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</si>
  <si>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</si>
  <si>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</si>
  <si>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</si>
  <si>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</si>
  <si>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</si>
  <si>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</si>
  <si>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</si>
  <si>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</si>
  <si>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</si>
  <si>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</si>
  <si>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</si>
  <si>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</si>
  <si>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</si>
  <si>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</si>
  <si>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</si>
  <si>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</si>
  <si>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</si>
  <si>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</si>
  <si>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</si>
  <si>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</si>
  <si>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</si>
  <si>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</si>
  <si>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</si>
  <si>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</si>
  <si>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</si>
  <si>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</si>
  <si>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</si>
  <si>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</si>
  <si>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</si>
  <si>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</si>
  <si>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</si>
  <si>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</si>
  <si>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</si>
  <si>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</si>
  <si>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</si>
  <si>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</si>
  <si>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</si>
  <si>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</si>
  <si>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</si>
  <si>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</si>
  <si>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</si>
  <si>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</si>
  <si>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</si>
  <si>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</si>
  <si>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</si>
  <si>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</si>
  <si>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</si>
  <si>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</si>
  <si>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</si>
  <si>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</si>
  <si>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</si>
  <si>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</si>
  <si>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</si>
  <si>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</si>
  <si>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</si>
  <si>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</si>
  <si>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</si>
  <si>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</si>
  <si>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</si>
  <si>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</si>
  <si>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</si>
  <si>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</si>
  <si>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</si>
  <si>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</si>
  <si>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</si>
  <si>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</si>
  <si>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</si>
  <si>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</si>
  <si>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</si>
  <si>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</si>
  <si>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</si>
  <si>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</si>
  <si>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</si>
  <si>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</si>
  <si>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</si>
  <si>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</si>
  <si>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</si>
  <si>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</si>
  <si>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</si>
  <si>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</si>
  <si>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</si>
  <si>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</si>
  <si>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</si>
  <si>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</si>
  <si>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</si>
  <si>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</si>
  <si>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</si>
  <si>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</si>
  <si>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</si>
  <si>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</si>
  <si>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</si>
  <si>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</si>
  <si>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</si>
  <si>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</si>
  <si>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</si>
  <si>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</si>
  <si>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</si>
  <si>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</si>
  <si>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</si>
  <si>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</si>
  <si>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</si>
  <si>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</si>
  <si>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</si>
  <si>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</si>
  <si>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</si>
  <si>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</si>
  <si>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</si>
  <si>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</si>
  <si>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</si>
  <si>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</si>
  <si>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</si>
  <si>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</si>
  <si>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</si>
  <si>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</si>
  <si>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</si>
  <si>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</si>
  <si>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</si>
  <si>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</si>
  <si>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</si>
  <si>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</si>
  <si>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</si>
  <si>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</si>
  <si>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</si>
  <si>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</si>
  <si>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</si>
  <si>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</si>
  <si>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</si>
  <si>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</si>
  <si>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</si>
  <si>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</si>
  <si>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</si>
  <si>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</si>
  <si>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</si>
  <si>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</si>
  <si>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</si>
  <si>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</si>
  <si>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</si>
  <si>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</si>
  <si>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</si>
  <si>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</si>
  <si>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</si>
  <si>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</si>
  <si>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</si>
  <si>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</si>
  <si>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</si>
  <si>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</si>
  <si>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</si>
  <si>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</si>
  <si>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</si>
  <si>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</si>
  <si>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</si>
  <si>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</si>
  <si>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</si>
  <si>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</si>
  <si>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</si>
  <si>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</si>
  <si>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</si>
  <si>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</si>
  <si>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</si>
  <si>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</si>
  <si>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</si>
  <si>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</si>
  <si>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</si>
  <si>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</si>
  <si>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</si>
  <si>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</si>
  <si>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</si>
  <si>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</si>
  <si>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</si>
  <si>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</si>
  <si>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</si>
  <si>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</si>
  <si>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</si>
  <si>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</si>
  <si>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</si>
  <si>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</si>
  <si>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</si>
  <si>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</si>
  <si>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</si>
  <si>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</si>
  <si>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</si>
  <si>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</si>
  <si>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</si>
  <si>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</si>
  <si>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</si>
  <si>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</si>
  <si>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</si>
  <si>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</si>
  <si>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</si>
  <si>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</si>
  <si>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</si>
  <si>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</si>
  <si>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</si>
  <si>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</si>
  <si>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</si>
  <si>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</si>
  <si>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</si>
  <si>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</si>
  <si>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</si>
  <si>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</si>
  <si>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</si>
  <si>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</si>
  <si>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</si>
  <si>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</si>
  <si>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</si>
  <si>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</si>
  <si>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</si>
  <si>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</si>
  <si>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</si>
  <si>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</si>
  <si>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</si>
  <si>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</si>
  <si>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</si>
  <si>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</si>
  <si>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</si>
  <si>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</si>
  <si>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</si>
  <si>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</si>
  <si>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</si>
  <si>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</si>
  <si>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</si>
  <si>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</si>
  <si>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</si>
  <si>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</si>
  <si>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</si>
  <si>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</si>
  <si>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</si>
  <si>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</si>
  <si>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</si>
  <si>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</si>
  <si>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</si>
  <si>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</si>
  <si>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</si>
  <si>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</si>
  <si>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</si>
  <si>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</si>
  <si>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</si>
  <si>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</si>
  <si>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</si>
  <si>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</si>
  <si>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</si>
  <si>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</si>
  <si>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</si>
  <si>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</si>
  <si>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</si>
  <si>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</si>
  <si>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</si>
  <si>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</si>
  <si>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</si>
  <si>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</si>
  <si>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</si>
  <si>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</si>
  <si>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</si>
  <si>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37002</t>
  </si>
  <si>
    <t>DENTERGEM</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</si>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</sst>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4F9827A1-9CDE-4979-98AD-65CBE8E69FF1}"/>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37002</v>
      </c>
      <c r="B6" s="384"/>
      <c r="C6" s="385"/>
    </row>
    <row r="7" spans="1:7" s="382" customFormat="1" ht="15.75" customHeight="1">
      <c r="A7" s="386" t="str">
        <f>txtMunicipality</f>
        <v>DENTERGEM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8050.2918762814579</v>
      </c>
      <c r="D10" s="674">
        <f ca="1">tertiair!C16</f>
        <v>0</v>
      </c>
      <c r="E10" s="674">
        <f ca="1">tertiair!D16</f>
        <v>6514.0037598221716</v>
      </c>
      <c r="F10" s="674">
        <f>tertiair!E16</f>
        <v>70.21607390670134</v>
      </c>
      <c r="G10" s="674">
        <f ca="1">tertiair!F16</f>
        <v>1517.3289404007996</v>
      </c>
      <c r="H10" s="674">
        <f>tertiair!G16</f>
        <v>0</v>
      </c>
      <c r="I10" s="674">
        <f>tertiair!H16</f>
        <v>0</v>
      </c>
      <c r="J10" s="674">
        <f>tertiair!I16</f>
        <v>0</v>
      </c>
      <c r="K10" s="674">
        <f>tertiair!J16</f>
        <v>0</v>
      </c>
      <c r="L10" s="674">
        <f>tertiair!K16</f>
        <v>0</v>
      </c>
      <c r="M10" s="674">
        <f ca="1">tertiair!L16</f>
        <v>0</v>
      </c>
      <c r="N10" s="674">
        <f>tertiair!M16</f>
        <v>0</v>
      </c>
      <c r="O10" s="674">
        <f ca="1">tertiair!N16</f>
        <v>496.97884450759227</v>
      </c>
      <c r="P10" s="674">
        <f>tertiair!O16</f>
        <v>1.5633333333333335</v>
      </c>
      <c r="Q10" s="675">
        <f>tertiair!P16</f>
        <v>0</v>
      </c>
      <c r="R10" s="677">
        <f ca="1">SUM(C10:Q10)</f>
        <v>16650.382828252055</v>
      </c>
      <c r="S10" s="68"/>
    </row>
    <row r="11" spans="1:19" s="443" customFormat="1">
      <c r="A11" s="789" t="s">
        <v>214</v>
      </c>
      <c r="B11" s="794"/>
      <c r="C11" s="674">
        <f>huishoudens!B8</f>
        <v>14977.912478176037</v>
      </c>
      <c r="D11" s="674">
        <f>huishoudens!C8</f>
        <v>0</v>
      </c>
      <c r="E11" s="674">
        <f>huishoudens!D8</f>
        <v>20671.189538227591</v>
      </c>
      <c r="F11" s="674">
        <f>huishoudens!E8</f>
        <v>1006.1486479142089</v>
      </c>
      <c r="G11" s="674">
        <f>huishoudens!F8</f>
        <v>30674.551127698545</v>
      </c>
      <c r="H11" s="674">
        <f>huishoudens!G8</f>
        <v>0</v>
      </c>
      <c r="I11" s="674">
        <f>huishoudens!H8</f>
        <v>0</v>
      </c>
      <c r="J11" s="674">
        <f>huishoudens!I8</f>
        <v>0</v>
      </c>
      <c r="K11" s="674">
        <f>huishoudens!J8</f>
        <v>556.57904179254115</v>
      </c>
      <c r="L11" s="674">
        <f>huishoudens!K8</f>
        <v>0</v>
      </c>
      <c r="M11" s="674">
        <f>huishoudens!L8</f>
        <v>0</v>
      </c>
      <c r="N11" s="674">
        <f>huishoudens!M8</f>
        <v>0</v>
      </c>
      <c r="O11" s="674">
        <f>huishoudens!N8</f>
        <v>4907.7288112423921</v>
      </c>
      <c r="P11" s="674">
        <f>huishoudens!O8</f>
        <v>51.589999999999996</v>
      </c>
      <c r="Q11" s="675">
        <f>huishoudens!P8</f>
        <v>266.93333333333334</v>
      </c>
      <c r="R11" s="677">
        <f>SUM(C11:Q11)</f>
        <v>73112.63297838466</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20079.740876638807</v>
      </c>
      <c r="D13" s="674">
        <f>industrie!C18</f>
        <v>0</v>
      </c>
      <c r="E13" s="674">
        <f>industrie!D18</f>
        <v>1526.8011172895945</v>
      </c>
      <c r="F13" s="674">
        <f>industrie!E18</f>
        <v>167.73372046972742</v>
      </c>
      <c r="G13" s="674">
        <f>industrie!F18</f>
        <v>4697.8181588632124</v>
      </c>
      <c r="H13" s="674">
        <f>industrie!G18</f>
        <v>0</v>
      </c>
      <c r="I13" s="674">
        <f>industrie!H18</f>
        <v>0</v>
      </c>
      <c r="J13" s="674">
        <f>industrie!I18</f>
        <v>0</v>
      </c>
      <c r="K13" s="674">
        <f>industrie!J18</f>
        <v>85.306202165533676</v>
      </c>
      <c r="L13" s="674">
        <f>industrie!K18</f>
        <v>0</v>
      </c>
      <c r="M13" s="674">
        <f>industrie!L18</f>
        <v>0</v>
      </c>
      <c r="N13" s="674">
        <f>industrie!M18</f>
        <v>0</v>
      </c>
      <c r="O13" s="674">
        <f>industrie!N18</f>
        <v>663.04370393304384</v>
      </c>
      <c r="P13" s="674">
        <f>industrie!O18</f>
        <v>0</v>
      </c>
      <c r="Q13" s="675">
        <f>industrie!P18</f>
        <v>0</v>
      </c>
      <c r="R13" s="677">
        <f>SUM(C13:Q13)</f>
        <v>27220.443779359921</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43107.945231096302</v>
      </c>
      <c r="D16" s="707">
        <f t="shared" ref="D16:R16" ca="1" si="0">SUM(D9:D15)</f>
        <v>0</v>
      </c>
      <c r="E16" s="707">
        <f t="shared" ca="1" si="0"/>
        <v>28711.994415339355</v>
      </c>
      <c r="F16" s="707">
        <f t="shared" si="0"/>
        <v>1244.0984422906376</v>
      </c>
      <c r="G16" s="707">
        <f t="shared" ca="1" si="0"/>
        <v>36889.698226962559</v>
      </c>
      <c r="H16" s="707">
        <f t="shared" si="0"/>
        <v>0</v>
      </c>
      <c r="I16" s="707">
        <f t="shared" si="0"/>
        <v>0</v>
      </c>
      <c r="J16" s="707">
        <f t="shared" si="0"/>
        <v>0</v>
      </c>
      <c r="K16" s="707">
        <f t="shared" si="0"/>
        <v>641.88524395807485</v>
      </c>
      <c r="L16" s="707">
        <f t="shared" si="0"/>
        <v>0</v>
      </c>
      <c r="M16" s="707">
        <f t="shared" ca="1" si="0"/>
        <v>0</v>
      </c>
      <c r="N16" s="707">
        <f t="shared" si="0"/>
        <v>0</v>
      </c>
      <c r="O16" s="707">
        <f t="shared" ca="1" si="0"/>
        <v>6067.7513596830277</v>
      </c>
      <c r="P16" s="707">
        <f t="shared" si="0"/>
        <v>53.153333333333329</v>
      </c>
      <c r="Q16" s="707">
        <f t="shared" si="0"/>
        <v>266.93333333333334</v>
      </c>
      <c r="R16" s="707">
        <f t="shared" ca="1" si="0"/>
        <v>116983.45958599664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0.78282121493126822</v>
      </c>
      <c r="D19" s="674">
        <f>transport!C54</f>
        <v>0</v>
      </c>
      <c r="E19" s="674">
        <f>transport!D54</f>
        <v>0</v>
      </c>
      <c r="F19" s="674">
        <f>transport!E54</f>
        <v>0</v>
      </c>
      <c r="G19" s="674">
        <f>transport!F54</f>
        <v>0</v>
      </c>
      <c r="H19" s="674">
        <f>transport!G54</f>
        <v>156.13523470122243</v>
      </c>
      <c r="I19" s="674">
        <f>transport!H54</f>
        <v>0</v>
      </c>
      <c r="J19" s="674">
        <f>transport!I54</f>
        <v>0</v>
      </c>
      <c r="K19" s="674">
        <f>transport!J54</f>
        <v>0</v>
      </c>
      <c r="L19" s="674">
        <f>transport!K54</f>
        <v>0</v>
      </c>
      <c r="M19" s="674">
        <f>transport!L54</f>
        <v>0</v>
      </c>
      <c r="N19" s="674">
        <f>transport!M54</f>
        <v>6.9010110804344302</v>
      </c>
      <c r="O19" s="674">
        <f>transport!N54</f>
        <v>0</v>
      </c>
      <c r="P19" s="674">
        <f>transport!O54</f>
        <v>0</v>
      </c>
      <c r="Q19" s="675">
        <f>transport!P54</f>
        <v>0</v>
      </c>
      <c r="R19" s="677">
        <f>SUM(C19:Q19)</f>
        <v>163.81906699658813</v>
      </c>
      <c r="S19" s="68"/>
    </row>
    <row r="20" spans="1:19" s="443" customFormat="1">
      <c r="A20" s="789" t="s">
        <v>296</v>
      </c>
      <c r="B20" s="794"/>
      <c r="C20" s="674">
        <f>transport!B14</f>
        <v>1.2840163789942973</v>
      </c>
      <c r="D20" s="674">
        <f>transport!C14</f>
        <v>0</v>
      </c>
      <c r="E20" s="674">
        <f>transport!D14</f>
        <v>1.6919982716833726</v>
      </c>
      <c r="F20" s="674">
        <f>transport!E14</f>
        <v>107.3047259516716</v>
      </c>
      <c r="G20" s="674">
        <f>transport!F14</f>
        <v>0</v>
      </c>
      <c r="H20" s="674">
        <f>transport!G14</f>
        <v>29041.953462752703</v>
      </c>
      <c r="I20" s="674">
        <f>transport!H14</f>
        <v>4045.2519711948971</v>
      </c>
      <c r="J20" s="674">
        <f>transport!I14</f>
        <v>0</v>
      </c>
      <c r="K20" s="674">
        <f>transport!J14</f>
        <v>0</v>
      </c>
      <c r="L20" s="674">
        <f>transport!K14</f>
        <v>0</v>
      </c>
      <c r="M20" s="674">
        <f>transport!L14</f>
        <v>0</v>
      </c>
      <c r="N20" s="674">
        <f>transport!M14</f>
        <v>1477.5345848788018</v>
      </c>
      <c r="O20" s="674">
        <f>transport!N14</f>
        <v>0</v>
      </c>
      <c r="P20" s="674">
        <f>transport!O14</f>
        <v>0</v>
      </c>
      <c r="Q20" s="675">
        <f>transport!P14</f>
        <v>0</v>
      </c>
      <c r="R20" s="677">
        <f>SUM(C20:Q20)</f>
        <v>34675.020759428749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2.0668375939255657</v>
      </c>
      <c r="D22" s="792">
        <f t="shared" ref="D22:R22" si="1">SUM(D18:D21)</f>
        <v>0</v>
      </c>
      <c r="E22" s="792">
        <f t="shared" si="1"/>
        <v>1.6919982716833726</v>
      </c>
      <c r="F22" s="792">
        <f t="shared" si="1"/>
        <v>107.3047259516716</v>
      </c>
      <c r="G22" s="792">
        <f t="shared" si="1"/>
        <v>0</v>
      </c>
      <c r="H22" s="792">
        <f t="shared" si="1"/>
        <v>29198.088697453924</v>
      </c>
      <c r="I22" s="792">
        <f t="shared" si="1"/>
        <v>4045.2519711948971</v>
      </c>
      <c r="J22" s="792">
        <f t="shared" si="1"/>
        <v>0</v>
      </c>
      <c r="K22" s="792">
        <f t="shared" si="1"/>
        <v>0</v>
      </c>
      <c r="L22" s="792">
        <f t="shared" si="1"/>
        <v>0</v>
      </c>
      <c r="M22" s="792">
        <f t="shared" si="1"/>
        <v>0</v>
      </c>
      <c r="N22" s="792">
        <f t="shared" si="1"/>
        <v>1484.4355959592363</v>
      </c>
      <c r="O22" s="792">
        <f t="shared" si="1"/>
        <v>0</v>
      </c>
      <c r="P22" s="792">
        <f t="shared" si="1"/>
        <v>0</v>
      </c>
      <c r="Q22" s="792">
        <f t="shared" si="1"/>
        <v>0</v>
      </c>
      <c r="R22" s="792">
        <f t="shared" si="1"/>
        <v>34838.839826425341</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2473.756471006935</v>
      </c>
      <c r="D24" s="674">
        <f>+landbouw!C8</f>
        <v>7637.1428571428569</v>
      </c>
      <c r="E24" s="674">
        <f>+landbouw!D8</f>
        <v>0</v>
      </c>
      <c r="F24" s="674">
        <f>+landbouw!E8</f>
        <v>23.304443428091087</v>
      </c>
      <c r="G24" s="674">
        <f>+landbouw!F8</f>
        <v>8072.6883325682957</v>
      </c>
      <c r="H24" s="674">
        <f>+landbouw!G8</f>
        <v>0</v>
      </c>
      <c r="I24" s="674">
        <f>+landbouw!H8</f>
        <v>0</v>
      </c>
      <c r="J24" s="674">
        <f>+landbouw!I8</f>
        <v>0</v>
      </c>
      <c r="K24" s="674">
        <f>+landbouw!J8</f>
        <v>306.01570781272147</v>
      </c>
      <c r="L24" s="674">
        <f>+landbouw!K8</f>
        <v>0</v>
      </c>
      <c r="M24" s="674">
        <f>+landbouw!L8</f>
        <v>0</v>
      </c>
      <c r="N24" s="674">
        <f>+landbouw!M8</f>
        <v>0</v>
      </c>
      <c r="O24" s="674">
        <f>+landbouw!N8</f>
        <v>0</v>
      </c>
      <c r="P24" s="674">
        <f>+landbouw!O8</f>
        <v>0</v>
      </c>
      <c r="Q24" s="675">
        <f>+landbouw!P8</f>
        <v>0</v>
      </c>
      <c r="R24" s="677">
        <f>SUM(C24:Q24)</f>
        <v>18512.907811958903</v>
      </c>
      <c r="S24" s="68"/>
    </row>
    <row r="25" spans="1:19" s="443" customFormat="1" ht="15" thickBot="1">
      <c r="A25" s="811" t="s">
        <v>873</v>
      </c>
      <c r="B25" s="977"/>
      <c r="C25" s="978">
        <f>IF(Onbekend_ele_kWh="---",0,Onbekend_ele_kWh)/1000+IF(REST_rest_ele_kWh="---",0,REST_rest_ele_kWh)/1000</f>
        <v>1243.36134133311</v>
      </c>
      <c r="D25" s="978"/>
      <c r="E25" s="978">
        <f>IF(onbekend_gas_kWh="---",0,onbekend_gas_kWh)/1000+IF(REST_rest_gas_kWh="---",0,REST_rest_gas_kWh)/1000</f>
        <v>9451.5263739280799</v>
      </c>
      <c r="F25" s="978"/>
      <c r="G25" s="978"/>
      <c r="H25" s="978"/>
      <c r="I25" s="978"/>
      <c r="J25" s="978"/>
      <c r="K25" s="978"/>
      <c r="L25" s="978"/>
      <c r="M25" s="978"/>
      <c r="N25" s="978"/>
      <c r="O25" s="978"/>
      <c r="P25" s="978"/>
      <c r="Q25" s="979"/>
      <c r="R25" s="677">
        <f>SUM(C25:Q25)</f>
        <v>10694.887715261189</v>
      </c>
      <c r="S25" s="68"/>
    </row>
    <row r="26" spans="1:19" s="443" customFormat="1" ht="15.75" thickBot="1">
      <c r="A26" s="680" t="s">
        <v>874</v>
      </c>
      <c r="B26" s="797"/>
      <c r="C26" s="792">
        <f>SUM(C24:C25)</f>
        <v>3717.117812340045</v>
      </c>
      <c r="D26" s="792">
        <f t="shared" ref="D26:R26" si="2">SUM(D24:D25)</f>
        <v>7637.1428571428569</v>
      </c>
      <c r="E26" s="792">
        <f t="shared" si="2"/>
        <v>9451.5263739280799</v>
      </c>
      <c r="F26" s="792">
        <f t="shared" si="2"/>
        <v>23.304443428091087</v>
      </c>
      <c r="G26" s="792">
        <f t="shared" si="2"/>
        <v>8072.6883325682957</v>
      </c>
      <c r="H26" s="792">
        <f t="shared" si="2"/>
        <v>0</v>
      </c>
      <c r="I26" s="792">
        <f t="shared" si="2"/>
        <v>0</v>
      </c>
      <c r="J26" s="792">
        <f t="shared" si="2"/>
        <v>0</v>
      </c>
      <c r="K26" s="792">
        <f t="shared" si="2"/>
        <v>306.01570781272147</v>
      </c>
      <c r="L26" s="792">
        <f t="shared" si="2"/>
        <v>0</v>
      </c>
      <c r="M26" s="792">
        <f t="shared" si="2"/>
        <v>0</v>
      </c>
      <c r="N26" s="792">
        <f t="shared" si="2"/>
        <v>0</v>
      </c>
      <c r="O26" s="792">
        <f t="shared" si="2"/>
        <v>0</v>
      </c>
      <c r="P26" s="792">
        <f t="shared" si="2"/>
        <v>0</v>
      </c>
      <c r="Q26" s="792">
        <f t="shared" si="2"/>
        <v>0</v>
      </c>
      <c r="R26" s="792">
        <f t="shared" si="2"/>
        <v>29207.795527220092</v>
      </c>
      <c r="S26" s="68"/>
    </row>
    <row r="27" spans="1:19" s="443" customFormat="1" ht="17.25" thickTop="1" thickBot="1">
      <c r="A27" s="681" t="s">
        <v>109</v>
      </c>
      <c r="B27" s="784"/>
      <c r="C27" s="682">
        <f ca="1">C22+C16+C26</f>
        <v>46827.129881030276</v>
      </c>
      <c r="D27" s="682">
        <f t="shared" ref="D27:R27" ca="1" si="3">D22+D16+D26</f>
        <v>7637.1428571428569</v>
      </c>
      <c r="E27" s="682">
        <f t="shared" ca="1" si="3"/>
        <v>38165.212787539116</v>
      </c>
      <c r="F27" s="682">
        <f t="shared" si="3"/>
        <v>1374.7076116704004</v>
      </c>
      <c r="G27" s="682">
        <f t="shared" ca="1" si="3"/>
        <v>44962.386559530853</v>
      </c>
      <c r="H27" s="682">
        <f t="shared" si="3"/>
        <v>29198.088697453924</v>
      </c>
      <c r="I27" s="682">
        <f t="shared" si="3"/>
        <v>4045.2519711948971</v>
      </c>
      <c r="J27" s="682">
        <f t="shared" si="3"/>
        <v>0</v>
      </c>
      <c r="K27" s="682">
        <f t="shared" si="3"/>
        <v>947.90095177079638</v>
      </c>
      <c r="L27" s="682">
        <f t="shared" si="3"/>
        <v>0</v>
      </c>
      <c r="M27" s="682">
        <f t="shared" ca="1" si="3"/>
        <v>0</v>
      </c>
      <c r="N27" s="682">
        <f t="shared" si="3"/>
        <v>1484.4355959592363</v>
      </c>
      <c r="O27" s="682">
        <f t="shared" ca="1" si="3"/>
        <v>6067.7513596830277</v>
      </c>
      <c r="P27" s="682">
        <f t="shared" si="3"/>
        <v>53.153333333333329</v>
      </c>
      <c r="Q27" s="682">
        <f t="shared" si="3"/>
        <v>266.93333333333334</v>
      </c>
      <c r="R27" s="682">
        <f t="shared" ca="1" si="3"/>
        <v>181030.09493964206</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1706.2326373690375</v>
      </c>
      <c r="D40" s="674">
        <f ca="1">tertiair!C20</f>
        <v>0</v>
      </c>
      <c r="E40" s="674">
        <f ca="1">tertiair!D20</f>
        <v>1315.8287594840788</v>
      </c>
      <c r="F40" s="674">
        <f>tertiair!E20</f>
        <v>15.939048776821204</v>
      </c>
      <c r="G40" s="674">
        <f ca="1">tertiair!F20</f>
        <v>405.12682708701351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3443.1272727169508</v>
      </c>
    </row>
    <row r="41" spans="1:18">
      <c r="A41" s="802" t="s">
        <v>214</v>
      </c>
      <c r="B41" s="809"/>
      <c r="C41" s="674">
        <f ca="1">huishoudens!B12</f>
        <v>3174.518825238607</v>
      </c>
      <c r="D41" s="674">
        <f ca="1">huishoudens!C12</f>
        <v>0</v>
      </c>
      <c r="E41" s="674">
        <f>huishoudens!D12</f>
        <v>4175.5802867219736</v>
      </c>
      <c r="F41" s="674">
        <f>huishoudens!E12</f>
        <v>228.39574307652543</v>
      </c>
      <c r="G41" s="674">
        <f>huishoudens!F12</f>
        <v>8190.1051510955122</v>
      </c>
      <c r="H41" s="674">
        <f>huishoudens!G12</f>
        <v>0</v>
      </c>
      <c r="I41" s="674">
        <f>huishoudens!H12</f>
        <v>0</v>
      </c>
      <c r="J41" s="674">
        <f>huishoudens!I12</f>
        <v>0</v>
      </c>
      <c r="K41" s="674">
        <f>huishoudens!J12</f>
        <v>197.02898079455954</v>
      </c>
      <c r="L41" s="674">
        <f>huishoudens!K12</f>
        <v>0</v>
      </c>
      <c r="M41" s="674">
        <f>huishoudens!L12</f>
        <v>0</v>
      </c>
      <c r="N41" s="674">
        <f>huishoudens!M12</f>
        <v>0</v>
      </c>
      <c r="O41" s="674">
        <f>huishoudens!N12</f>
        <v>0</v>
      </c>
      <c r="P41" s="674">
        <f>huishoudens!O12</f>
        <v>0</v>
      </c>
      <c r="Q41" s="749">
        <f>huishoudens!P12</f>
        <v>0</v>
      </c>
      <c r="R41" s="830">
        <f t="shared" ca="1" si="4"/>
        <v>15965.628986927179</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4255.8344169577867</v>
      </c>
      <c r="D43" s="674">
        <f ca="1">industrie!C22</f>
        <v>0</v>
      </c>
      <c r="E43" s="674">
        <f>industrie!D22</f>
        <v>308.41382569249811</v>
      </c>
      <c r="F43" s="674">
        <f>industrie!E22</f>
        <v>38.075554546628126</v>
      </c>
      <c r="G43" s="674">
        <f>industrie!F22</f>
        <v>1254.3174484164779</v>
      </c>
      <c r="H43" s="674">
        <f>industrie!G22</f>
        <v>0</v>
      </c>
      <c r="I43" s="674">
        <f>industrie!H22</f>
        <v>0</v>
      </c>
      <c r="J43" s="674">
        <f>industrie!I22</f>
        <v>0</v>
      </c>
      <c r="K43" s="674">
        <f>industrie!J22</f>
        <v>30.198395566598919</v>
      </c>
      <c r="L43" s="674">
        <f>industrie!K22</f>
        <v>0</v>
      </c>
      <c r="M43" s="674">
        <f>industrie!L22</f>
        <v>0</v>
      </c>
      <c r="N43" s="674">
        <f>industrie!M22</f>
        <v>0</v>
      </c>
      <c r="O43" s="674">
        <f>industrie!N22</f>
        <v>0</v>
      </c>
      <c r="P43" s="674">
        <f>industrie!O22</f>
        <v>0</v>
      </c>
      <c r="Q43" s="749">
        <f>industrie!P22</f>
        <v>0</v>
      </c>
      <c r="R43" s="829">
        <f t="shared" ca="1" si="4"/>
        <v>5886.8396411799904</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9136.5858795654312</v>
      </c>
      <c r="D46" s="707">
        <f t="shared" ref="D46:Q46" ca="1" si="5">SUM(D39:D45)</f>
        <v>0</v>
      </c>
      <c r="E46" s="707">
        <f t="shared" ca="1" si="5"/>
        <v>5799.8228718985501</v>
      </c>
      <c r="F46" s="707">
        <f t="shared" si="5"/>
        <v>282.41034639997474</v>
      </c>
      <c r="G46" s="707">
        <f t="shared" ca="1" si="5"/>
        <v>9849.5494265990037</v>
      </c>
      <c r="H46" s="707">
        <f t="shared" si="5"/>
        <v>0</v>
      </c>
      <c r="I46" s="707">
        <f t="shared" si="5"/>
        <v>0</v>
      </c>
      <c r="J46" s="707">
        <f t="shared" si="5"/>
        <v>0</v>
      </c>
      <c r="K46" s="707">
        <f t="shared" si="5"/>
        <v>227.22737636115846</v>
      </c>
      <c r="L46" s="707">
        <f t="shared" si="5"/>
        <v>0</v>
      </c>
      <c r="M46" s="707">
        <f t="shared" ca="1" si="5"/>
        <v>0</v>
      </c>
      <c r="N46" s="707">
        <f t="shared" si="5"/>
        <v>0</v>
      </c>
      <c r="O46" s="707">
        <f t="shared" ca="1" si="5"/>
        <v>0</v>
      </c>
      <c r="P46" s="707">
        <f t="shared" si="5"/>
        <v>0</v>
      </c>
      <c r="Q46" s="707">
        <f t="shared" si="5"/>
        <v>0</v>
      </c>
      <c r="R46" s="707">
        <f ca="1">SUM(R39:R45)</f>
        <v>25295.595900824119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0.1659163576510693</v>
      </c>
      <c r="D49" s="674">
        <f ca="1">transport!C58</f>
        <v>0</v>
      </c>
      <c r="E49" s="674">
        <f>transport!D58</f>
        <v>0</v>
      </c>
      <c r="F49" s="674">
        <f>transport!E58</f>
        <v>0</v>
      </c>
      <c r="G49" s="674">
        <f>transport!F58</f>
        <v>0</v>
      </c>
      <c r="H49" s="674">
        <f>transport!G58</f>
        <v>41.68810766522639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41.854024022877461</v>
      </c>
    </row>
    <row r="50" spans="1:18">
      <c r="A50" s="805" t="s">
        <v>296</v>
      </c>
      <c r="B50" s="815"/>
      <c r="C50" s="984">
        <f ca="1">transport!B18</f>
        <v>0.2721430087785161</v>
      </c>
      <c r="D50" s="984">
        <f>transport!C18</f>
        <v>0</v>
      </c>
      <c r="E50" s="984">
        <f>transport!D18</f>
        <v>0.34178365088004126</v>
      </c>
      <c r="F50" s="984">
        <f>transport!E18</f>
        <v>24.358172791029453</v>
      </c>
      <c r="G50" s="984">
        <f>transport!F18</f>
        <v>0</v>
      </c>
      <c r="H50" s="984">
        <f>transport!G18</f>
        <v>7754.2015745549725</v>
      </c>
      <c r="I50" s="984">
        <f>transport!H18</f>
        <v>1007.2677408275293</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8786.4414148331889</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0.43805936642958543</v>
      </c>
      <c r="D52" s="707">
        <f t="shared" ref="D52:Q52" ca="1" si="6">SUM(D48:D51)</f>
        <v>0</v>
      </c>
      <c r="E52" s="707">
        <f t="shared" si="6"/>
        <v>0.34178365088004126</v>
      </c>
      <c r="F52" s="707">
        <f t="shared" si="6"/>
        <v>24.358172791029453</v>
      </c>
      <c r="G52" s="707">
        <f t="shared" si="6"/>
        <v>0</v>
      </c>
      <c r="H52" s="707">
        <f t="shared" si="6"/>
        <v>7795.8896822201987</v>
      </c>
      <c r="I52" s="707">
        <f t="shared" si="6"/>
        <v>1007.2677408275293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8828.2954388560665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524.30447151495503</v>
      </c>
      <c r="D54" s="984">
        <f ca="1">+landbouw!C12</f>
        <v>1814.9445378151263</v>
      </c>
      <c r="E54" s="984">
        <f>+landbouw!D12</f>
        <v>0</v>
      </c>
      <c r="F54" s="984">
        <f>+landbouw!E12</f>
        <v>5.2901086581766767</v>
      </c>
      <c r="G54" s="984">
        <f>+landbouw!F12</f>
        <v>2155.4077847957351</v>
      </c>
      <c r="H54" s="984">
        <f>+landbouw!G12</f>
        <v>0</v>
      </c>
      <c r="I54" s="984">
        <f>+landbouw!H12</f>
        <v>0</v>
      </c>
      <c r="J54" s="984">
        <f>+landbouw!I12</f>
        <v>0</v>
      </c>
      <c r="K54" s="984">
        <f>+landbouw!J12</f>
        <v>108.32956056570339</v>
      </c>
      <c r="L54" s="984">
        <f>+landbouw!K12</f>
        <v>0</v>
      </c>
      <c r="M54" s="984">
        <f>+landbouw!L12</f>
        <v>0</v>
      </c>
      <c r="N54" s="984">
        <f>+landbouw!M12</f>
        <v>0</v>
      </c>
      <c r="O54" s="984">
        <f>+landbouw!N12</f>
        <v>0</v>
      </c>
      <c r="P54" s="984">
        <f>+landbouw!O12</f>
        <v>0</v>
      </c>
      <c r="Q54" s="985">
        <f>+landbouw!P12</f>
        <v>0</v>
      </c>
      <c r="R54" s="706">
        <f ca="1">SUM(C54:Q54)</f>
        <v>4608.2764633496963</v>
      </c>
    </row>
    <row r="55" spans="1:18" ht="15" thickBot="1">
      <c r="A55" s="805" t="s">
        <v>873</v>
      </c>
      <c r="B55" s="815"/>
      <c r="C55" s="984">
        <f ca="1">C25*'EF ele_warmte'!B12</f>
        <v>263.52630851509326</v>
      </c>
      <c r="D55" s="984"/>
      <c r="E55" s="984">
        <f>E25*EF_CO2_aardgas</f>
        <v>1909.2083275334724</v>
      </c>
      <c r="F55" s="984"/>
      <c r="G55" s="984"/>
      <c r="H55" s="984"/>
      <c r="I55" s="984"/>
      <c r="J55" s="984"/>
      <c r="K55" s="984"/>
      <c r="L55" s="984"/>
      <c r="M55" s="984"/>
      <c r="N55" s="984"/>
      <c r="O55" s="984"/>
      <c r="P55" s="984"/>
      <c r="Q55" s="985"/>
      <c r="R55" s="706">
        <f ca="1">SUM(C55:Q55)</f>
        <v>2172.7346360485658</v>
      </c>
    </row>
    <row r="56" spans="1:18" ht="15.75" thickBot="1">
      <c r="A56" s="803" t="s">
        <v>874</v>
      </c>
      <c r="B56" s="816"/>
      <c r="C56" s="707">
        <f ca="1">SUM(C54:C55)</f>
        <v>787.83078003004834</v>
      </c>
      <c r="D56" s="707">
        <f t="shared" ref="D56:Q56" ca="1" si="7">SUM(D54:D55)</f>
        <v>1814.9445378151263</v>
      </c>
      <c r="E56" s="707">
        <f t="shared" si="7"/>
        <v>1909.2083275334724</v>
      </c>
      <c r="F56" s="707">
        <f t="shared" si="7"/>
        <v>5.2901086581766767</v>
      </c>
      <c r="G56" s="707">
        <f t="shared" si="7"/>
        <v>2155.4077847957351</v>
      </c>
      <c r="H56" s="707">
        <f t="shared" si="7"/>
        <v>0</v>
      </c>
      <c r="I56" s="707">
        <f t="shared" si="7"/>
        <v>0</v>
      </c>
      <c r="J56" s="707">
        <f t="shared" si="7"/>
        <v>0</v>
      </c>
      <c r="K56" s="707">
        <f t="shared" si="7"/>
        <v>108.32956056570339</v>
      </c>
      <c r="L56" s="707">
        <f t="shared" si="7"/>
        <v>0</v>
      </c>
      <c r="M56" s="707">
        <f t="shared" si="7"/>
        <v>0</v>
      </c>
      <c r="N56" s="707">
        <f t="shared" si="7"/>
        <v>0</v>
      </c>
      <c r="O56" s="707">
        <f t="shared" si="7"/>
        <v>0</v>
      </c>
      <c r="P56" s="707">
        <f t="shared" si="7"/>
        <v>0</v>
      </c>
      <c r="Q56" s="708">
        <f t="shared" si="7"/>
        <v>0</v>
      </c>
      <c r="R56" s="709">
        <f ca="1">SUM(R54:R55)</f>
        <v>6781.0110993982616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9924.8547189619094</v>
      </c>
      <c r="D61" s="715">
        <f t="shared" ref="D61:Q61" ca="1" si="8">D46+D52+D56</f>
        <v>1814.9445378151263</v>
      </c>
      <c r="E61" s="715">
        <f t="shared" ca="1" si="8"/>
        <v>7709.3729830829025</v>
      </c>
      <c r="F61" s="715">
        <f t="shared" si="8"/>
        <v>312.05862784918088</v>
      </c>
      <c r="G61" s="715">
        <f t="shared" ca="1" si="8"/>
        <v>12004.95721139474</v>
      </c>
      <c r="H61" s="715">
        <f t="shared" si="8"/>
        <v>7795.8896822201987</v>
      </c>
      <c r="I61" s="715">
        <f t="shared" si="8"/>
        <v>1007.2677408275293</v>
      </c>
      <c r="J61" s="715">
        <f t="shared" si="8"/>
        <v>0</v>
      </c>
      <c r="K61" s="715">
        <f t="shared" si="8"/>
        <v>335.55693692686185</v>
      </c>
      <c r="L61" s="715">
        <f t="shared" si="8"/>
        <v>0</v>
      </c>
      <c r="M61" s="715">
        <f t="shared" ca="1" si="8"/>
        <v>0</v>
      </c>
      <c r="N61" s="715">
        <f t="shared" si="8"/>
        <v>0</v>
      </c>
      <c r="O61" s="715">
        <f t="shared" ca="1" si="8"/>
        <v>0</v>
      </c>
      <c r="P61" s="715">
        <f t="shared" si="8"/>
        <v>0</v>
      </c>
      <c r="Q61" s="715">
        <f t="shared" si="8"/>
        <v>0</v>
      </c>
      <c r="R61" s="715">
        <f ca="1">R46+R52+R56</f>
        <v>40904.902439078447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0.21194668014412046</v>
      </c>
      <c r="D63" s="759">
        <f t="shared" ca="1" si="9"/>
        <v>0.23764705882352946</v>
      </c>
      <c r="E63" s="986">
        <f t="shared" ca="1" si="9"/>
        <v>0.20200000000000001</v>
      </c>
      <c r="F63" s="759">
        <f t="shared" si="9"/>
        <v>0.22699999999999998</v>
      </c>
      <c r="G63" s="759">
        <f t="shared" ca="1" si="9"/>
        <v>0.26700000000000007</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2320.9781050514403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5346</v>
      </c>
      <c r="D76" s="996">
        <f>'lokale energieproductie'!C8</f>
        <v>6289.4117647058838</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1270.4611764705885</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2320.9781050514403</v>
      </c>
      <c r="C78" s="730">
        <f>SUM(C72:C77)</f>
        <v>5346</v>
      </c>
      <c r="D78" s="731">
        <f t="shared" ref="D78:H78" si="10">SUM(D76:D77)</f>
        <v>6289.4117647058838</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1270.4611764705885</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7637.1428571428569</v>
      </c>
      <c r="D87" s="752">
        <f>'lokale energieproductie'!C17</f>
        <v>8984.8739495798327</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1814.9445378151263</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7637.1428571428569</v>
      </c>
      <c r="D90" s="730">
        <f t="shared" ref="D90:H90" si="12">SUM(D87:D89)</f>
        <v>8984.8739495798327</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1814.9445378151263</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14977.912478176037</v>
      </c>
      <c r="C4" s="447">
        <f>huishoudens!C8</f>
        <v>0</v>
      </c>
      <c r="D4" s="447">
        <f>huishoudens!D8</f>
        <v>20671.189538227591</v>
      </c>
      <c r="E4" s="447">
        <f>huishoudens!E8</f>
        <v>1006.1486479142089</v>
      </c>
      <c r="F4" s="447">
        <f>huishoudens!F8</f>
        <v>30674.551127698545</v>
      </c>
      <c r="G4" s="447">
        <f>huishoudens!G8</f>
        <v>0</v>
      </c>
      <c r="H4" s="447">
        <f>huishoudens!H8</f>
        <v>0</v>
      </c>
      <c r="I4" s="447">
        <f>huishoudens!I8</f>
        <v>0</v>
      </c>
      <c r="J4" s="447">
        <f>huishoudens!J8</f>
        <v>556.57904179254115</v>
      </c>
      <c r="K4" s="447">
        <f>huishoudens!K8</f>
        <v>0</v>
      </c>
      <c r="L4" s="447">
        <f>huishoudens!L8</f>
        <v>0</v>
      </c>
      <c r="M4" s="447">
        <f>huishoudens!M8</f>
        <v>0</v>
      </c>
      <c r="N4" s="447">
        <f>huishoudens!N8</f>
        <v>4907.7288112423921</v>
      </c>
      <c r="O4" s="447">
        <f>huishoudens!O8</f>
        <v>51.589999999999996</v>
      </c>
      <c r="P4" s="448">
        <f>huishoudens!P8</f>
        <v>266.93333333333334</v>
      </c>
      <c r="Q4" s="449">
        <f>SUM(B4:P4)</f>
        <v>73112.63297838466</v>
      </c>
    </row>
    <row r="5" spans="1:17">
      <c r="A5" s="446" t="s">
        <v>149</v>
      </c>
      <c r="B5" s="447">
        <f ca="1">tertiair!B16</f>
        <v>7437.8158762814583</v>
      </c>
      <c r="C5" s="447">
        <f ca="1">tertiair!C16</f>
        <v>0</v>
      </c>
      <c r="D5" s="447">
        <f ca="1">tertiair!D16</f>
        <v>6514.0037598221716</v>
      </c>
      <c r="E5" s="447">
        <f>tertiair!E16</f>
        <v>70.21607390670134</v>
      </c>
      <c r="F5" s="447">
        <f ca="1">tertiair!F16</f>
        <v>1517.3289404007996</v>
      </c>
      <c r="G5" s="447">
        <f>tertiair!G16</f>
        <v>0</v>
      </c>
      <c r="H5" s="447">
        <f>tertiair!H16</f>
        <v>0</v>
      </c>
      <c r="I5" s="447">
        <f>tertiair!I16</f>
        <v>0</v>
      </c>
      <c r="J5" s="447">
        <f>tertiair!J16</f>
        <v>0</v>
      </c>
      <c r="K5" s="447">
        <f>tertiair!K16</f>
        <v>0</v>
      </c>
      <c r="L5" s="447">
        <f ca="1">tertiair!L16</f>
        <v>0</v>
      </c>
      <c r="M5" s="447">
        <f>tertiair!M16</f>
        <v>0</v>
      </c>
      <c r="N5" s="447">
        <f ca="1">tertiair!N16</f>
        <v>496.97884450759227</v>
      </c>
      <c r="O5" s="447">
        <f>tertiair!O16</f>
        <v>1.5633333333333335</v>
      </c>
      <c r="P5" s="448">
        <f>tertiair!P16</f>
        <v>0</v>
      </c>
      <c r="Q5" s="446">
        <f t="shared" ref="Q5:Q14" ca="1" si="0">SUM(B5:P5)</f>
        <v>16037.906828252057</v>
      </c>
    </row>
    <row r="6" spans="1:17">
      <c r="A6" s="446" t="s">
        <v>187</v>
      </c>
      <c r="B6" s="447">
        <f>'openbare verlichting'!B8</f>
        <v>612.476</v>
      </c>
      <c r="C6" s="447"/>
      <c r="D6" s="447"/>
      <c r="E6" s="447"/>
      <c r="F6" s="447"/>
      <c r="G6" s="447"/>
      <c r="H6" s="447"/>
      <c r="I6" s="447"/>
      <c r="J6" s="447"/>
      <c r="K6" s="447"/>
      <c r="L6" s="447"/>
      <c r="M6" s="447"/>
      <c r="N6" s="447"/>
      <c r="O6" s="447"/>
      <c r="P6" s="448"/>
      <c r="Q6" s="446">
        <f t="shared" si="0"/>
        <v>612.476</v>
      </c>
    </row>
    <row r="7" spans="1:17">
      <c r="A7" s="446" t="s">
        <v>105</v>
      </c>
      <c r="B7" s="447">
        <f>landbouw!B8</f>
        <v>2473.756471006935</v>
      </c>
      <c r="C7" s="447">
        <f>landbouw!C8</f>
        <v>7637.1428571428569</v>
      </c>
      <c r="D7" s="447">
        <f>landbouw!D8</f>
        <v>0</v>
      </c>
      <c r="E7" s="447">
        <f>landbouw!E8</f>
        <v>23.304443428091087</v>
      </c>
      <c r="F7" s="447">
        <f>landbouw!F8</f>
        <v>8072.6883325682957</v>
      </c>
      <c r="G7" s="447">
        <f>landbouw!G8</f>
        <v>0</v>
      </c>
      <c r="H7" s="447">
        <f>landbouw!H8</f>
        <v>0</v>
      </c>
      <c r="I7" s="447">
        <f>landbouw!I8</f>
        <v>0</v>
      </c>
      <c r="J7" s="447">
        <f>landbouw!J8</f>
        <v>306.01570781272147</v>
      </c>
      <c r="K7" s="447">
        <f>landbouw!K8</f>
        <v>0</v>
      </c>
      <c r="L7" s="447">
        <f>landbouw!L8</f>
        <v>0</v>
      </c>
      <c r="M7" s="447">
        <f>landbouw!M8</f>
        <v>0</v>
      </c>
      <c r="N7" s="447">
        <f>landbouw!N8</f>
        <v>0</v>
      </c>
      <c r="O7" s="447">
        <f>landbouw!O8</f>
        <v>0</v>
      </c>
      <c r="P7" s="448">
        <f>landbouw!P8</f>
        <v>0</v>
      </c>
      <c r="Q7" s="446">
        <f t="shared" si="0"/>
        <v>18512.907811958903</v>
      </c>
    </row>
    <row r="8" spans="1:17">
      <c r="A8" s="446" t="s">
        <v>665</v>
      </c>
      <c r="B8" s="447">
        <f>industrie!B18</f>
        <v>20079.740876638807</v>
      </c>
      <c r="C8" s="447">
        <f>industrie!C18</f>
        <v>0</v>
      </c>
      <c r="D8" s="447">
        <f>industrie!D18</f>
        <v>1526.8011172895945</v>
      </c>
      <c r="E8" s="447">
        <f>industrie!E18</f>
        <v>167.73372046972742</v>
      </c>
      <c r="F8" s="447">
        <f>industrie!F18</f>
        <v>4697.8181588632124</v>
      </c>
      <c r="G8" s="447">
        <f>industrie!G18</f>
        <v>0</v>
      </c>
      <c r="H8" s="447">
        <f>industrie!H18</f>
        <v>0</v>
      </c>
      <c r="I8" s="447">
        <f>industrie!I18</f>
        <v>0</v>
      </c>
      <c r="J8" s="447">
        <f>industrie!J18</f>
        <v>85.306202165533676</v>
      </c>
      <c r="K8" s="447">
        <f>industrie!K18</f>
        <v>0</v>
      </c>
      <c r="L8" s="447">
        <f>industrie!L18</f>
        <v>0</v>
      </c>
      <c r="M8" s="447">
        <f>industrie!M18</f>
        <v>0</v>
      </c>
      <c r="N8" s="447">
        <f>industrie!N18</f>
        <v>663.04370393304384</v>
      </c>
      <c r="O8" s="447">
        <f>industrie!O18</f>
        <v>0</v>
      </c>
      <c r="P8" s="448">
        <f>industrie!P18</f>
        <v>0</v>
      </c>
      <c r="Q8" s="446">
        <f t="shared" si="0"/>
        <v>27220.443779359921</v>
      </c>
    </row>
    <row r="9" spans="1:17" s="452" customFormat="1">
      <c r="A9" s="450" t="s">
        <v>562</v>
      </c>
      <c r="B9" s="451">
        <f>transport!B14</f>
        <v>1.2840163789942973</v>
      </c>
      <c r="C9" s="451">
        <f>transport!C14</f>
        <v>0</v>
      </c>
      <c r="D9" s="451">
        <f>transport!D14</f>
        <v>1.6919982716833726</v>
      </c>
      <c r="E9" s="451">
        <f>transport!E14</f>
        <v>107.3047259516716</v>
      </c>
      <c r="F9" s="451">
        <f>transport!F14</f>
        <v>0</v>
      </c>
      <c r="G9" s="451">
        <f>transport!G14</f>
        <v>29041.953462752703</v>
      </c>
      <c r="H9" s="451">
        <f>transport!H14</f>
        <v>4045.2519711948971</v>
      </c>
      <c r="I9" s="451">
        <f>transport!I14</f>
        <v>0</v>
      </c>
      <c r="J9" s="451">
        <f>transport!J14</f>
        <v>0</v>
      </c>
      <c r="K9" s="451">
        <f>transport!K14</f>
        <v>0</v>
      </c>
      <c r="L9" s="451">
        <f>transport!L14</f>
        <v>0</v>
      </c>
      <c r="M9" s="451">
        <f>transport!M14</f>
        <v>1477.5345848788018</v>
      </c>
      <c r="N9" s="451">
        <f>transport!N14</f>
        <v>0</v>
      </c>
      <c r="O9" s="451">
        <f>transport!O14</f>
        <v>0</v>
      </c>
      <c r="P9" s="451">
        <f>transport!P14</f>
        <v>0</v>
      </c>
      <c r="Q9" s="450">
        <f>SUM(B9:P9)</f>
        <v>34675.020759428749</v>
      </c>
    </row>
    <row r="10" spans="1:17">
      <c r="A10" s="446" t="s">
        <v>552</v>
      </c>
      <c r="B10" s="447">
        <f>transport!B54</f>
        <v>0.78282121493126822</v>
      </c>
      <c r="C10" s="447">
        <f>transport!C54</f>
        <v>0</v>
      </c>
      <c r="D10" s="447">
        <f>transport!D54</f>
        <v>0</v>
      </c>
      <c r="E10" s="447">
        <f>transport!E54</f>
        <v>0</v>
      </c>
      <c r="F10" s="447">
        <f>transport!F54</f>
        <v>0</v>
      </c>
      <c r="G10" s="447">
        <f>transport!G54</f>
        <v>156.13523470122243</v>
      </c>
      <c r="H10" s="447">
        <f>transport!H54</f>
        <v>0</v>
      </c>
      <c r="I10" s="447">
        <f>transport!I54</f>
        <v>0</v>
      </c>
      <c r="J10" s="447">
        <f>transport!J54</f>
        <v>0</v>
      </c>
      <c r="K10" s="447">
        <f>transport!K54</f>
        <v>0</v>
      </c>
      <c r="L10" s="447">
        <f>transport!L54</f>
        <v>0</v>
      </c>
      <c r="M10" s="447">
        <f>transport!M54</f>
        <v>6.9010110804344302</v>
      </c>
      <c r="N10" s="447">
        <f>transport!N54</f>
        <v>0</v>
      </c>
      <c r="O10" s="447">
        <f>transport!O54</f>
        <v>0</v>
      </c>
      <c r="P10" s="448">
        <f>transport!P54</f>
        <v>0</v>
      </c>
      <c r="Q10" s="446">
        <f t="shared" si="0"/>
        <v>163.81906699658813</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1243.36134133311</v>
      </c>
      <c r="C14" s="454"/>
      <c r="D14" s="454">
        <f>'SEAP template'!E25</f>
        <v>9451.5263739280799</v>
      </c>
      <c r="E14" s="454"/>
      <c r="F14" s="454"/>
      <c r="G14" s="454"/>
      <c r="H14" s="454"/>
      <c r="I14" s="454"/>
      <c r="J14" s="454"/>
      <c r="K14" s="454"/>
      <c r="L14" s="454"/>
      <c r="M14" s="454"/>
      <c r="N14" s="454"/>
      <c r="O14" s="454"/>
      <c r="P14" s="455"/>
      <c r="Q14" s="446">
        <f t="shared" si="0"/>
        <v>10694.887715261189</v>
      </c>
    </row>
    <row r="15" spans="1:17" s="459" customFormat="1">
      <c r="A15" s="456" t="s">
        <v>556</v>
      </c>
      <c r="B15" s="457">
        <f ca="1">SUM(B4:B14)</f>
        <v>46827.129881030276</v>
      </c>
      <c r="C15" s="457">
        <f t="shared" ref="C15:Q15" ca="1" si="1">SUM(C4:C14)</f>
        <v>7637.1428571428569</v>
      </c>
      <c r="D15" s="457">
        <f t="shared" ca="1" si="1"/>
        <v>38165.212787539116</v>
      </c>
      <c r="E15" s="457">
        <f t="shared" si="1"/>
        <v>1374.7076116704004</v>
      </c>
      <c r="F15" s="457">
        <f t="shared" ca="1" si="1"/>
        <v>44962.386559530853</v>
      </c>
      <c r="G15" s="457">
        <f t="shared" si="1"/>
        <v>29198.088697453924</v>
      </c>
      <c r="H15" s="457">
        <f t="shared" si="1"/>
        <v>4045.2519711948971</v>
      </c>
      <c r="I15" s="457">
        <f t="shared" si="1"/>
        <v>0</v>
      </c>
      <c r="J15" s="457">
        <f t="shared" si="1"/>
        <v>947.90095177079638</v>
      </c>
      <c r="K15" s="457">
        <f t="shared" si="1"/>
        <v>0</v>
      </c>
      <c r="L15" s="457">
        <f t="shared" ca="1" si="1"/>
        <v>0</v>
      </c>
      <c r="M15" s="457">
        <f t="shared" si="1"/>
        <v>1484.4355959592363</v>
      </c>
      <c r="N15" s="457">
        <f t="shared" ca="1" si="1"/>
        <v>6067.7513596830277</v>
      </c>
      <c r="O15" s="457">
        <f t="shared" si="1"/>
        <v>53.153333333333329</v>
      </c>
      <c r="P15" s="457">
        <f t="shared" si="1"/>
        <v>266.93333333333334</v>
      </c>
      <c r="Q15" s="457">
        <f t="shared" ca="1" si="1"/>
        <v>181030.09493964209</v>
      </c>
    </row>
    <row r="17" spans="1:17">
      <c r="A17" s="460" t="s">
        <v>557</v>
      </c>
      <c r="B17" s="764">
        <f ca="1">huishoudens!B10</f>
        <v>0.21194668014412046</v>
      </c>
      <c r="C17" s="764">
        <f ca="1">huishoudens!C10</f>
        <v>0.23764705882352946</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3174.518825238607</v>
      </c>
      <c r="C22" s="447">
        <f t="shared" ref="C22:C32" ca="1" si="3">C4*$C$17</f>
        <v>0</v>
      </c>
      <c r="D22" s="447">
        <f t="shared" ref="D22:D32" si="4">D4*$D$17</f>
        <v>4175.5802867219736</v>
      </c>
      <c r="E22" s="447">
        <f t="shared" ref="E22:E32" si="5">E4*$E$17</f>
        <v>228.39574307652543</v>
      </c>
      <c r="F22" s="447">
        <f t="shared" ref="F22:F32" si="6">F4*$F$17</f>
        <v>8190.1051510955122</v>
      </c>
      <c r="G22" s="447">
        <f t="shared" ref="G22:G32" si="7">G4*$G$17</f>
        <v>0</v>
      </c>
      <c r="H22" s="447">
        <f t="shared" ref="H22:H32" si="8">H4*$H$17</f>
        <v>0</v>
      </c>
      <c r="I22" s="447">
        <f t="shared" ref="I22:I32" si="9">I4*$I$17</f>
        <v>0</v>
      </c>
      <c r="J22" s="447">
        <f t="shared" ref="J22:J32" si="10">J4*$J$17</f>
        <v>197.02898079455954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15965.628986927179</v>
      </c>
    </row>
    <row r="23" spans="1:17">
      <c r="A23" s="446" t="s">
        <v>149</v>
      </c>
      <c r="B23" s="447">
        <f t="shared" ca="1" si="2"/>
        <v>1576.4203825010873</v>
      </c>
      <c r="C23" s="447">
        <f t="shared" ca="1" si="3"/>
        <v>0</v>
      </c>
      <c r="D23" s="447">
        <f t="shared" ca="1" si="4"/>
        <v>1315.8287594840788</v>
      </c>
      <c r="E23" s="447">
        <f t="shared" si="5"/>
        <v>15.939048776821204</v>
      </c>
      <c r="F23" s="447">
        <f t="shared" ca="1" si="6"/>
        <v>405.12682708701351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3313.3150178490005</v>
      </c>
    </row>
    <row r="24" spans="1:17">
      <c r="A24" s="446" t="s">
        <v>187</v>
      </c>
      <c r="B24" s="447">
        <f t="shared" ca="1" si="2"/>
        <v>129.81225486795032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129.81225486795032</v>
      </c>
    </row>
    <row r="25" spans="1:17">
      <c r="A25" s="446" t="s">
        <v>105</v>
      </c>
      <c r="B25" s="447">
        <f t="shared" ca="1" si="2"/>
        <v>524.30447151495503</v>
      </c>
      <c r="C25" s="447">
        <f t="shared" ca="1" si="3"/>
        <v>1814.9445378151263</v>
      </c>
      <c r="D25" s="447">
        <f t="shared" si="4"/>
        <v>0</v>
      </c>
      <c r="E25" s="447">
        <f t="shared" si="5"/>
        <v>5.2901086581766767</v>
      </c>
      <c r="F25" s="447">
        <f t="shared" si="6"/>
        <v>2155.4077847957351</v>
      </c>
      <c r="G25" s="447">
        <f t="shared" si="7"/>
        <v>0</v>
      </c>
      <c r="H25" s="447">
        <f t="shared" si="8"/>
        <v>0</v>
      </c>
      <c r="I25" s="447">
        <f t="shared" si="9"/>
        <v>0</v>
      </c>
      <c r="J25" s="447">
        <f t="shared" si="10"/>
        <v>108.32956056570339</v>
      </c>
      <c r="K25" s="447">
        <f t="shared" si="11"/>
        <v>0</v>
      </c>
      <c r="L25" s="447">
        <f t="shared" si="12"/>
        <v>0</v>
      </c>
      <c r="M25" s="447">
        <f t="shared" si="13"/>
        <v>0</v>
      </c>
      <c r="N25" s="447">
        <f t="shared" si="14"/>
        <v>0</v>
      </c>
      <c r="O25" s="447">
        <f t="shared" si="15"/>
        <v>0</v>
      </c>
      <c r="P25" s="448">
        <f t="shared" si="16"/>
        <v>0</v>
      </c>
      <c r="Q25" s="446">
        <f t="shared" ca="1" si="17"/>
        <v>4608.2764633496963</v>
      </c>
    </row>
    <row r="26" spans="1:17">
      <c r="A26" s="446" t="s">
        <v>665</v>
      </c>
      <c r="B26" s="447">
        <f t="shared" ca="1" si="2"/>
        <v>4255.8344169577867</v>
      </c>
      <c r="C26" s="447">
        <f t="shared" ca="1" si="3"/>
        <v>0</v>
      </c>
      <c r="D26" s="447">
        <f t="shared" si="4"/>
        <v>308.41382569249811</v>
      </c>
      <c r="E26" s="447">
        <f t="shared" si="5"/>
        <v>38.075554546628126</v>
      </c>
      <c r="F26" s="447">
        <f t="shared" si="6"/>
        <v>1254.3174484164779</v>
      </c>
      <c r="G26" s="447">
        <f t="shared" si="7"/>
        <v>0</v>
      </c>
      <c r="H26" s="447">
        <f t="shared" si="8"/>
        <v>0</v>
      </c>
      <c r="I26" s="447">
        <f t="shared" si="9"/>
        <v>0</v>
      </c>
      <c r="J26" s="447">
        <f t="shared" si="10"/>
        <v>30.198395566598919</v>
      </c>
      <c r="K26" s="447">
        <f t="shared" si="11"/>
        <v>0</v>
      </c>
      <c r="L26" s="447">
        <f t="shared" si="12"/>
        <v>0</v>
      </c>
      <c r="M26" s="447">
        <f t="shared" si="13"/>
        <v>0</v>
      </c>
      <c r="N26" s="447">
        <f t="shared" si="14"/>
        <v>0</v>
      </c>
      <c r="O26" s="447">
        <f t="shared" si="15"/>
        <v>0</v>
      </c>
      <c r="P26" s="448">
        <f t="shared" si="16"/>
        <v>0</v>
      </c>
      <c r="Q26" s="446">
        <f t="shared" ca="1" si="17"/>
        <v>5886.8396411799904</v>
      </c>
    </row>
    <row r="27" spans="1:17" s="452" customFormat="1">
      <c r="A27" s="450" t="s">
        <v>562</v>
      </c>
      <c r="B27" s="758">
        <f t="shared" ca="1" si="2"/>
        <v>0.2721430087785161</v>
      </c>
      <c r="C27" s="451">
        <f t="shared" ca="1" si="3"/>
        <v>0</v>
      </c>
      <c r="D27" s="451">
        <f t="shared" si="4"/>
        <v>0.34178365088004126</v>
      </c>
      <c r="E27" s="451">
        <f t="shared" si="5"/>
        <v>24.358172791029453</v>
      </c>
      <c r="F27" s="451">
        <f t="shared" si="6"/>
        <v>0</v>
      </c>
      <c r="G27" s="451">
        <f t="shared" si="7"/>
        <v>7754.2015745549725</v>
      </c>
      <c r="H27" s="451">
        <f t="shared" si="8"/>
        <v>1007.2677408275293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8786.4414148331889</v>
      </c>
    </row>
    <row r="28" spans="1:17">
      <c r="A28" s="446" t="s">
        <v>552</v>
      </c>
      <c r="B28" s="447">
        <f t="shared" ca="1" si="2"/>
        <v>0.1659163576510693</v>
      </c>
      <c r="C28" s="447">
        <f t="shared" ca="1" si="3"/>
        <v>0</v>
      </c>
      <c r="D28" s="447">
        <f t="shared" si="4"/>
        <v>0</v>
      </c>
      <c r="E28" s="447">
        <f t="shared" si="5"/>
        <v>0</v>
      </c>
      <c r="F28" s="447">
        <f t="shared" si="6"/>
        <v>0</v>
      </c>
      <c r="G28" s="447">
        <f t="shared" si="7"/>
        <v>41.68810766522639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41.854024022877461</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263.52630851509326</v>
      </c>
      <c r="C32" s="447">
        <f t="shared" ca="1" si="3"/>
        <v>0</v>
      </c>
      <c r="D32" s="447">
        <f t="shared" si="4"/>
        <v>1909.2083275334724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2172.7346360485658</v>
      </c>
    </row>
    <row r="33" spans="1:17" s="459" customFormat="1">
      <c r="A33" s="456" t="s">
        <v>556</v>
      </c>
      <c r="B33" s="457">
        <f ca="1">SUM(B22:B32)</f>
        <v>9924.8547189619094</v>
      </c>
      <c r="C33" s="457">
        <f t="shared" ref="C33:Q33" ca="1" si="18">SUM(C22:C32)</f>
        <v>1814.9445378151263</v>
      </c>
      <c r="D33" s="457">
        <f t="shared" ca="1" si="18"/>
        <v>7709.3729830829025</v>
      </c>
      <c r="E33" s="457">
        <f t="shared" si="18"/>
        <v>312.05862784918088</v>
      </c>
      <c r="F33" s="457">
        <f t="shared" ca="1" si="18"/>
        <v>12004.95721139474</v>
      </c>
      <c r="G33" s="457">
        <f t="shared" si="18"/>
        <v>7795.8896822201987</v>
      </c>
      <c r="H33" s="457">
        <f t="shared" si="18"/>
        <v>1007.2677408275293</v>
      </c>
      <c r="I33" s="457">
        <f t="shared" si="18"/>
        <v>0</v>
      </c>
      <c r="J33" s="457">
        <f t="shared" si="18"/>
        <v>335.55693692686191</v>
      </c>
      <c r="K33" s="457">
        <f t="shared" si="18"/>
        <v>0</v>
      </c>
      <c r="L33" s="457">
        <f t="shared" ca="1" si="18"/>
        <v>0</v>
      </c>
      <c r="M33" s="457">
        <f t="shared" si="18"/>
        <v>0</v>
      </c>
      <c r="N33" s="457">
        <f t="shared" ca="1" si="18"/>
        <v>0</v>
      </c>
      <c r="O33" s="457">
        <f t="shared" si="18"/>
        <v>0</v>
      </c>
      <c r="P33" s="457">
        <f t="shared" si="18"/>
        <v>0</v>
      </c>
      <c r="Q33" s="457">
        <f t="shared" ca="1" si="18"/>
        <v>40904.902439078447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2320.9781050514403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5346</v>
      </c>
      <c r="D8" s="1013">
        <f>'SEAP template'!D76</f>
        <v>6289.4117647058838</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1270.4611764705885</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2320.9781050514403</v>
      </c>
      <c r="C10" s="1017">
        <f>SUM(C4:C9)</f>
        <v>5346</v>
      </c>
      <c r="D10" s="1017">
        <f t="shared" ref="D10:H10" si="0">SUM(D8:D9)</f>
        <v>6289.4117647058838</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1270.4611764705885</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0.21194668014412046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7637.1428571428569</v>
      </c>
      <c r="D17" s="1014">
        <f>'SEAP template'!D87</f>
        <v>8984.8739495798327</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1814.9445378151263</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7637.1428571428569</v>
      </c>
      <c r="D20" s="1017">
        <f t="shared" ref="D20:H20" si="2">SUM(D17:D19)</f>
        <v>8984.8739495798327</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1814.9445378151263</v>
      </c>
    </row>
    <row r="22" spans="1:16">
      <c r="A22" s="460" t="s">
        <v>893</v>
      </c>
      <c r="B22" s="764" t="s">
        <v>887</v>
      </c>
      <c r="C22" s="764">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0.21194668014412046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0.21194668014412046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0.21194668014412046</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3230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1789</v>
      </c>
      <c r="C14" s="327"/>
      <c r="D14" s="327"/>
      <c r="E14" s="327"/>
      <c r="F14" s="327"/>
    </row>
    <row r="15" spans="1:6">
      <c r="A15" s="1293" t="s">
        <v>177</v>
      </c>
      <c r="B15" s="1294">
        <v>20</v>
      </c>
      <c r="C15" s="327"/>
      <c r="D15" s="327"/>
      <c r="E15" s="327"/>
      <c r="F15" s="327"/>
    </row>
    <row r="16" spans="1:6">
      <c r="A16" s="1293" t="s">
        <v>6</v>
      </c>
      <c r="B16" s="1294">
        <v>688</v>
      </c>
      <c r="C16" s="327"/>
      <c r="D16" s="327"/>
      <c r="E16" s="327"/>
      <c r="F16" s="327"/>
    </row>
    <row r="17" spans="1:6">
      <c r="A17" s="1293" t="s">
        <v>7</v>
      </c>
      <c r="B17" s="1294">
        <v>897</v>
      </c>
      <c r="C17" s="327"/>
      <c r="D17" s="327"/>
      <c r="E17" s="327"/>
      <c r="F17" s="327"/>
    </row>
    <row r="18" spans="1:6">
      <c r="A18" s="1293" t="s">
        <v>8</v>
      </c>
      <c r="B18" s="1294">
        <v>1066</v>
      </c>
      <c r="C18" s="327"/>
      <c r="D18" s="327"/>
      <c r="E18" s="327"/>
      <c r="F18" s="327"/>
    </row>
    <row r="19" spans="1:6">
      <c r="A19" s="1293" t="s">
        <v>9</v>
      </c>
      <c r="B19" s="1294">
        <v>1051</v>
      </c>
      <c r="C19" s="327"/>
      <c r="D19" s="327"/>
      <c r="E19" s="327"/>
      <c r="F19" s="327"/>
    </row>
    <row r="20" spans="1:6">
      <c r="A20" s="1293" t="s">
        <v>10</v>
      </c>
      <c r="B20" s="1294">
        <v>599</v>
      </c>
      <c r="C20" s="327"/>
      <c r="D20" s="327"/>
      <c r="E20" s="327"/>
      <c r="F20" s="327"/>
    </row>
    <row r="21" spans="1:6">
      <c r="A21" s="1293" t="s">
        <v>11</v>
      </c>
      <c r="B21" s="1294">
        <v>11502</v>
      </c>
      <c r="C21" s="327"/>
      <c r="D21" s="327"/>
      <c r="E21" s="327"/>
      <c r="F21" s="327"/>
    </row>
    <row r="22" spans="1:6">
      <c r="A22" s="1293" t="s">
        <v>12</v>
      </c>
      <c r="B22" s="1294">
        <v>27490</v>
      </c>
      <c r="C22" s="327"/>
      <c r="D22" s="327"/>
      <c r="E22" s="327"/>
      <c r="F22" s="327"/>
    </row>
    <row r="23" spans="1:6">
      <c r="A23" s="1293" t="s">
        <v>13</v>
      </c>
      <c r="B23" s="1294">
        <v>628</v>
      </c>
      <c r="C23" s="327"/>
      <c r="D23" s="327"/>
      <c r="E23" s="327"/>
      <c r="F23" s="327"/>
    </row>
    <row r="24" spans="1:6">
      <c r="A24" s="1293" t="s">
        <v>14</v>
      </c>
      <c r="B24" s="1294">
        <v>35</v>
      </c>
      <c r="C24" s="327"/>
      <c r="D24" s="327"/>
      <c r="E24" s="327"/>
      <c r="F24" s="327"/>
    </row>
    <row r="25" spans="1:6">
      <c r="A25" s="1293" t="s">
        <v>15</v>
      </c>
      <c r="B25" s="1294">
        <v>3378</v>
      </c>
      <c r="C25" s="327"/>
      <c r="D25" s="327"/>
      <c r="E25" s="327"/>
      <c r="F25" s="327"/>
    </row>
    <row r="26" spans="1:6">
      <c r="A26" s="1293" t="s">
        <v>16</v>
      </c>
      <c r="B26" s="1294">
        <v>53</v>
      </c>
      <c r="C26" s="327"/>
      <c r="D26" s="327"/>
      <c r="E26" s="327"/>
      <c r="F26" s="327"/>
    </row>
    <row r="27" spans="1:6">
      <c r="A27" s="1293" t="s">
        <v>17</v>
      </c>
      <c r="B27" s="1294">
        <v>0</v>
      </c>
      <c r="C27" s="327"/>
      <c r="D27" s="327"/>
      <c r="E27" s="327"/>
      <c r="F27" s="327"/>
    </row>
    <row r="28" spans="1:6">
      <c r="A28" s="1293" t="s">
        <v>18</v>
      </c>
      <c r="B28" s="1295">
        <v>115357</v>
      </c>
      <c r="C28" s="327"/>
      <c r="D28" s="327"/>
      <c r="E28" s="327"/>
      <c r="F28" s="327"/>
    </row>
    <row r="29" spans="1:6">
      <c r="A29" s="1293" t="s">
        <v>955</v>
      </c>
      <c r="B29" s="1295">
        <v>113</v>
      </c>
      <c r="C29" s="327"/>
      <c r="D29" s="327"/>
      <c r="E29" s="327"/>
      <c r="F29" s="327"/>
    </row>
    <row r="30" spans="1:6">
      <c r="A30" s="1288" t="s">
        <v>956</v>
      </c>
      <c r="B30" s="1296">
        <v>41</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1349</v>
      </c>
      <c r="D39" s="1294">
        <v>22917061.5723144</v>
      </c>
      <c r="E39" s="1294">
        <v>3008</v>
      </c>
      <c r="F39" s="1294">
        <v>13398690.894854801</v>
      </c>
    </row>
    <row r="40" spans="1:6">
      <c r="A40" s="1293" t="s">
        <v>29</v>
      </c>
      <c r="B40" s="1293" t="s">
        <v>28</v>
      </c>
      <c r="C40" s="1294">
        <v>0</v>
      </c>
      <c r="D40" s="1294">
        <v>0</v>
      </c>
      <c r="E40" s="1294">
        <v>0</v>
      </c>
      <c r="F40" s="1294">
        <v>0</v>
      </c>
    </row>
    <row r="41" spans="1:6">
      <c r="A41" s="1293" t="s">
        <v>31</v>
      </c>
      <c r="B41" s="1293" t="s">
        <v>32</v>
      </c>
      <c r="C41" s="1294">
        <v>29</v>
      </c>
      <c r="D41" s="1294">
        <v>605986.18712625804</v>
      </c>
      <c r="E41" s="1294">
        <v>118</v>
      </c>
      <c r="F41" s="1294">
        <v>1707573.3992144901</v>
      </c>
    </row>
    <row r="42" spans="1:6">
      <c r="A42" s="1293" t="s">
        <v>31</v>
      </c>
      <c r="B42" s="1293" t="s">
        <v>33</v>
      </c>
      <c r="C42" s="1294">
        <v>0</v>
      </c>
      <c r="D42" s="1294">
        <v>0</v>
      </c>
      <c r="E42" s="1294">
        <v>3</v>
      </c>
      <c r="F42" s="1294">
        <v>359365.83623500803</v>
      </c>
    </row>
    <row r="43" spans="1:6">
      <c r="A43" s="1293" t="s">
        <v>31</v>
      </c>
      <c r="B43" s="1293" t="s">
        <v>34</v>
      </c>
      <c r="C43" s="1294">
        <v>0</v>
      </c>
      <c r="D43" s="1294">
        <v>0</v>
      </c>
      <c r="E43" s="1294">
        <v>0</v>
      </c>
      <c r="F43" s="1294">
        <v>0</v>
      </c>
    </row>
    <row r="44" spans="1:6">
      <c r="A44" s="1293" t="s">
        <v>31</v>
      </c>
      <c r="B44" s="1293" t="s">
        <v>35</v>
      </c>
      <c r="C44" s="1294">
        <v>0</v>
      </c>
      <c r="D44" s="1294">
        <v>0</v>
      </c>
      <c r="E44" s="1294">
        <v>16</v>
      </c>
      <c r="F44" s="1294">
        <v>142630.03348877301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33189.971969546998</v>
      </c>
    </row>
    <row r="48" spans="1:6">
      <c r="A48" s="1293" t="s">
        <v>31</v>
      </c>
      <c r="B48" s="1293" t="s">
        <v>28</v>
      </c>
      <c r="C48" s="1294">
        <v>15</v>
      </c>
      <c r="D48" s="1294">
        <v>579861.92226988601</v>
      </c>
      <c r="E48" s="1294">
        <v>24</v>
      </c>
      <c r="F48" s="1294">
        <v>16466195.3057795</v>
      </c>
    </row>
    <row r="49" spans="1:6">
      <c r="A49" s="1293" t="s">
        <v>31</v>
      </c>
      <c r="B49" s="1293" t="s">
        <v>39</v>
      </c>
      <c r="C49" s="1294">
        <v>0</v>
      </c>
      <c r="D49" s="1294">
        <v>0</v>
      </c>
      <c r="E49" s="1294">
        <v>11</v>
      </c>
      <c r="F49" s="1294">
        <v>1106004.3936066399</v>
      </c>
    </row>
    <row r="50" spans="1:6">
      <c r="A50" s="1293" t="s">
        <v>31</v>
      </c>
      <c r="B50" s="1293" t="s">
        <v>40</v>
      </c>
      <c r="C50" s="1294">
        <v>6</v>
      </c>
      <c r="D50" s="1294">
        <v>506836.05611338402</v>
      </c>
      <c r="E50" s="1294">
        <v>9</v>
      </c>
      <c r="F50" s="1294">
        <v>264781.93634484999</v>
      </c>
    </row>
    <row r="51" spans="1:6">
      <c r="A51" s="1293" t="s">
        <v>41</v>
      </c>
      <c r="B51" s="1293" t="s">
        <v>42</v>
      </c>
      <c r="C51" s="1294">
        <v>0</v>
      </c>
      <c r="D51" s="1294">
        <v>0</v>
      </c>
      <c r="E51" s="1294">
        <v>92</v>
      </c>
      <c r="F51" s="1294">
        <v>2237587.3297143602</v>
      </c>
    </row>
    <row r="52" spans="1:6">
      <c r="A52" s="1293" t="s">
        <v>41</v>
      </c>
      <c r="B52" s="1293" t="s">
        <v>28</v>
      </c>
      <c r="C52" s="1294">
        <v>1</v>
      </c>
      <c r="D52" s="1294">
        <v>17355.004311977998</v>
      </c>
      <c r="E52" s="1294">
        <v>11</v>
      </c>
      <c r="F52" s="1294">
        <v>236169.14129257499</v>
      </c>
    </row>
    <row r="53" spans="1:6">
      <c r="A53" s="1293" t="s">
        <v>43</v>
      </c>
      <c r="B53" s="1293" t="s">
        <v>44</v>
      </c>
      <c r="C53" s="1294">
        <v>30</v>
      </c>
      <c r="D53" s="1294">
        <v>9451526.3739280794</v>
      </c>
      <c r="E53" s="1294">
        <v>82</v>
      </c>
      <c r="F53" s="1294">
        <v>1243361.3413331099</v>
      </c>
    </row>
    <row r="54" spans="1:6">
      <c r="A54" s="1293" t="s">
        <v>45</v>
      </c>
      <c r="B54" s="1293" t="s">
        <v>46</v>
      </c>
      <c r="C54" s="1294">
        <v>0</v>
      </c>
      <c r="D54" s="1294">
        <v>0</v>
      </c>
      <c r="E54" s="1294">
        <v>1</v>
      </c>
      <c r="F54" s="1294">
        <v>612476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23</v>
      </c>
      <c r="D57" s="1294">
        <v>903196.992713338</v>
      </c>
      <c r="E57" s="1294">
        <v>51</v>
      </c>
      <c r="F57" s="1294">
        <v>553987.36494047602</v>
      </c>
    </row>
    <row r="58" spans="1:6">
      <c r="A58" s="1293" t="s">
        <v>48</v>
      </c>
      <c r="B58" s="1293" t="s">
        <v>50</v>
      </c>
      <c r="C58" s="1294">
        <v>0</v>
      </c>
      <c r="D58" s="1294">
        <v>0</v>
      </c>
      <c r="E58" s="1294">
        <v>3</v>
      </c>
      <c r="F58" s="1294">
        <v>35776.026706075303</v>
      </c>
    </row>
    <row r="59" spans="1:6">
      <c r="A59" s="1293" t="s">
        <v>48</v>
      </c>
      <c r="B59" s="1293" t="s">
        <v>51</v>
      </c>
      <c r="C59" s="1294">
        <v>12</v>
      </c>
      <c r="D59" s="1294">
        <v>651940.29306459206</v>
      </c>
      <c r="E59" s="1294">
        <v>73</v>
      </c>
      <c r="F59" s="1294">
        <v>3098175.8862552899</v>
      </c>
    </row>
    <row r="60" spans="1:6">
      <c r="A60" s="1293" t="s">
        <v>48</v>
      </c>
      <c r="B60" s="1293" t="s">
        <v>52</v>
      </c>
      <c r="C60" s="1294">
        <v>14</v>
      </c>
      <c r="D60" s="1294">
        <v>639902.20467384404</v>
      </c>
      <c r="E60" s="1294">
        <v>28</v>
      </c>
      <c r="F60" s="1294">
        <v>511301.27522267698</v>
      </c>
    </row>
    <row r="61" spans="1:6">
      <c r="A61" s="1293" t="s">
        <v>48</v>
      </c>
      <c r="B61" s="1293" t="s">
        <v>53</v>
      </c>
      <c r="C61" s="1294">
        <v>34</v>
      </c>
      <c r="D61" s="1294">
        <v>634976.38603486295</v>
      </c>
      <c r="E61" s="1294">
        <v>97</v>
      </c>
      <c r="F61" s="1294">
        <v>736435.94788171002</v>
      </c>
    </row>
    <row r="62" spans="1:6">
      <c r="A62" s="1293" t="s">
        <v>48</v>
      </c>
      <c r="B62" s="1293" t="s">
        <v>54</v>
      </c>
      <c r="C62" s="1294">
        <v>4</v>
      </c>
      <c r="D62" s="1294">
        <v>213136.06909294901</v>
      </c>
      <c r="E62" s="1294">
        <v>6</v>
      </c>
      <c r="F62" s="1294">
        <v>49404.686507579201</v>
      </c>
    </row>
    <row r="63" spans="1:6">
      <c r="A63" s="1293" t="s">
        <v>48</v>
      </c>
      <c r="B63" s="1293" t="s">
        <v>28</v>
      </c>
      <c r="C63" s="1294">
        <v>51</v>
      </c>
      <c r="D63" s="1294">
        <v>4178581.7127598501</v>
      </c>
      <c r="E63" s="1294">
        <v>86</v>
      </c>
      <c r="F63" s="1294">
        <v>2452734.6887676502</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4</v>
      </c>
      <c r="D68" s="1296">
        <v>43007.3501480095</v>
      </c>
      <c r="E68" s="1296">
        <v>12</v>
      </c>
      <c r="F68" s="1296">
        <v>151755.61300932901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21310175</v>
      </c>
      <c r="E73" s="445"/>
      <c r="F73" s="327"/>
    </row>
    <row r="74" spans="1:6">
      <c r="A74" s="1293" t="s">
        <v>63</v>
      </c>
      <c r="B74" s="1293" t="s">
        <v>749</v>
      </c>
      <c r="C74" s="1306" t="s">
        <v>743</v>
      </c>
      <c r="D74" s="1294">
        <v>3455968.0124864308</v>
      </c>
      <c r="E74" s="445"/>
      <c r="F74" s="327"/>
    </row>
    <row r="75" spans="1:6">
      <c r="A75" s="1293" t="s">
        <v>64</v>
      </c>
      <c r="B75" s="1293" t="s">
        <v>748</v>
      </c>
      <c r="C75" s="1306" t="s">
        <v>744</v>
      </c>
      <c r="D75" s="1294">
        <v>9347192</v>
      </c>
      <c r="E75" s="445"/>
      <c r="F75" s="327"/>
    </row>
    <row r="76" spans="1:6">
      <c r="A76" s="1293" t="s">
        <v>64</v>
      </c>
      <c r="B76" s="1293" t="s">
        <v>749</v>
      </c>
      <c r="C76" s="1306" t="s">
        <v>745</v>
      </c>
      <c r="D76" s="1294">
        <v>989143.01248643105</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43127.975027137931</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1579.2215833212351</v>
      </c>
      <c r="C91" s="327"/>
      <c r="D91" s="327"/>
      <c r="E91" s="327"/>
      <c r="F91" s="327"/>
    </row>
    <row r="92" spans="1:6">
      <c r="A92" s="1288" t="s">
        <v>68</v>
      </c>
      <c r="B92" s="1289">
        <v>741.75652173020524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645</v>
      </c>
      <c r="C97" s="327"/>
      <c r="D97" s="327"/>
      <c r="E97" s="327"/>
      <c r="F97" s="327"/>
    </row>
    <row r="98" spans="1:6">
      <c r="A98" s="1293" t="s">
        <v>71</v>
      </c>
      <c r="B98" s="1294">
        <v>1</v>
      </c>
      <c r="C98" s="327"/>
      <c r="D98" s="327"/>
      <c r="E98" s="327"/>
      <c r="F98" s="327"/>
    </row>
    <row r="99" spans="1:6">
      <c r="A99" s="1293" t="s">
        <v>72</v>
      </c>
      <c r="B99" s="1294">
        <v>67</v>
      </c>
      <c r="C99" s="327"/>
      <c r="D99" s="327"/>
      <c r="E99" s="327"/>
      <c r="F99" s="327"/>
    </row>
    <row r="100" spans="1:6">
      <c r="A100" s="1293" t="s">
        <v>73</v>
      </c>
      <c r="B100" s="1294">
        <v>257</v>
      </c>
      <c r="C100" s="327"/>
      <c r="D100" s="327"/>
      <c r="E100" s="327"/>
      <c r="F100" s="327"/>
    </row>
    <row r="101" spans="1:6">
      <c r="A101" s="1293" t="s">
        <v>74</v>
      </c>
      <c r="B101" s="1294">
        <v>74</v>
      </c>
      <c r="C101" s="327"/>
      <c r="D101" s="327"/>
      <c r="E101" s="327"/>
      <c r="F101" s="327"/>
    </row>
    <row r="102" spans="1:6">
      <c r="A102" s="1293" t="s">
        <v>75</v>
      </c>
      <c r="B102" s="1294">
        <v>67</v>
      </c>
      <c r="C102" s="327"/>
      <c r="D102" s="327"/>
      <c r="E102" s="327"/>
      <c r="F102" s="327"/>
    </row>
    <row r="103" spans="1:6">
      <c r="A103" s="1293" t="s">
        <v>76</v>
      </c>
      <c r="B103" s="1294">
        <v>73</v>
      </c>
      <c r="C103" s="327"/>
      <c r="D103" s="327"/>
      <c r="E103" s="327"/>
      <c r="F103" s="327"/>
    </row>
    <row r="104" spans="1:6">
      <c r="A104" s="1293" t="s">
        <v>77</v>
      </c>
      <c r="B104" s="1294">
        <v>1713</v>
      </c>
      <c r="C104" s="327"/>
      <c r="D104" s="327"/>
      <c r="E104" s="327"/>
      <c r="F104" s="327"/>
    </row>
    <row r="105" spans="1:6">
      <c r="A105" s="1288" t="s">
        <v>78</v>
      </c>
      <c r="B105" s="1296">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9</v>
      </c>
      <c r="C123" s="1294">
        <v>9</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24</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5</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46827.129881030276</v>
      </c>
      <c r="C3" s="44" t="s">
        <v>163</v>
      </c>
      <c r="D3" s="44"/>
      <c r="E3" s="157"/>
      <c r="F3" s="44"/>
      <c r="G3" s="44"/>
      <c r="H3" s="44"/>
      <c r="I3" s="44"/>
      <c r="J3" s="44"/>
      <c r="K3" s="97"/>
    </row>
    <row r="4" spans="1:11">
      <c r="A4" s="352" t="s">
        <v>164</v>
      </c>
      <c r="B4" s="50">
        <f>IF(ISERROR('SEAP template'!B78+'SEAP template'!C78),0,'SEAP template'!B78+'SEAP template'!C78)</f>
        <v>7666.9781050514403</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1270.4611764705885</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0.21194668014412046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1814.9445378151263</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7637.1428571428569</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0.23764705882352946</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612.476</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612.476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0.21194668014412046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129.81225486795032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13398.690894854801</v>
      </c>
      <c r="C5" s="18">
        <f>IF(ISERROR('Eigen informatie GS &amp; warmtenet'!B57),0,'Eigen informatie GS &amp; warmtenet'!B57)</f>
        <v>0</v>
      </c>
      <c r="D5" s="31">
        <f>(SUM(HH_hh_gas_kWh,HH_rest_gas_kWh)/1000)*0.902</f>
        <v>20671.189538227591</v>
      </c>
      <c r="E5" s="18">
        <f>B32*B41</f>
        <v>1006.1486479142089</v>
      </c>
      <c r="F5" s="18">
        <f>B36*B45</f>
        <v>30674.551127698545</v>
      </c>
      <c r="G5" s="19"/>
      <c r="H5" s="18"/>
      <c r="I5" s="18"/>
      <c r="J5" s="18">
        <f>B35*B44+C35*C44</f>
        <v>556.57904179254115</v>
      </c>
      <c r="K5" s="18"/>
      <c r="L5" s="18"/>
      <c r="M5" s="18"/>
      <c r="N5" s="18">
        <f>B34*B43+C34*C43</f>
        <v>4907.7288112423921</v>
      </c>
      <c r="O5" s="18">
        <f>B52*B53*B54</f>
        <v>51.589999999999996</v>
      </c>
      <c r="P5" s="18">
        <f>B60*B61*B62/1000-B60*B61*B62/1000/B63</f>
        <v>266.93333333333334</v>
      </c>
    </row>
    <row r="6" spans="1:16">
      <c r="A6" s="17" t="s">
        <v>622</v>
      </c>
      <c r="B6" s="766">
        <f>kWh_PV_kleiner_dan_10kW</f>
        <v>1579.2215833212351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14977.912478176037</v>
      </c>
      <c r="C8" s="22">
        <f>C5</f>
        <v>0</v>
      </c>
      <c r="D8" s="22">
        <f>D5</f>
        <v>20671.189538227591</v>
      </c>
      <c r="E8" s="22">
        <f>E5</f>
        <v>1006.1486479142089</v>
      </c>
      <c r="F8" s="22">
        <f>F5</f>
        <v>30674.551127698545</v>
      </c>
      <c r="G8" s="22"/>
      <c r="H8" s="22"/>
      <c r="I8" s="22"/>
      <c r="J8" s="22">
        <f>J5</f>
        <v>556.57904179254115</v>
      </c>
      <c r="K8" s="22"/>
      <c r="L8" s="22">
        <f>L5</f>
        <v>0</v>
      </c>
      <c r="M8" s="22">
        <f>M5</f>
        <v>0</v>
      </c>
      <c r="N8" s="22">
        <f>N5</f>
        <v>4907.7288112423921</v>
      </c>
      <c r="O8" s="22">
        <f>O5</f>
        <v>51.589999999999996</v>
      </c>
      <c r="P8" s="22">
        <f>P5</f>
        <v>266.93333333333334</v>
      </c>
    </row>
    <row r="9" spans="1:16">
      <c r="B9" s="20"/>
      <c r="C9" s="20"/>
      <c r="D9" s="258"/>
      <c r="E9" s="20"/>
      <c r="F9" s="20"/>
      <c r="G9" s="20"/>
      <c r="H9" s="20"/>
      <c r="I9" s="20"/>
      <c r="J9" s="20"/>
      <c r="K9" s="20"/>
      <c r="L9" s="20"/>
      <c r="M9" s="20"/>
      <c r="N9" s="20"/>
      <c r="O9" s="20"/>
      <c r="P9" s="20"/>
    </row>
    <row r="10" spans="1:16">
      <c r="A10" s="25" t="s">
        <v>207</v>
      </c>
      <c r="B10" s="26">
        <f ca="1">'EF ele_warmte'!B12</f>
        <v>0.21194668014412046</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3174.518825238607</v>
      </c>
      <c r="C12" s="24">
        <f ca="1">C10*C8</f>
        <v>0</v>
      </c>
      <c r="D12" s="24">
        <f>D8*D10</f>
        <v>4175.5802867219736</v>
      </c>
      <c r="E12" s="24">
        <f>E10*E8</f>
        <v>228.39574307652543</v>
      </c>
      <c r="F12" s="24">
        <f>F10*F8</f>
        <v>8190.1051510955122</v>
      </c>
      <c r="G12" s="24"/>
      <c r="H12" s="24"/>
      <c r="I12" s="24"/>
      <c r="J12" s="24">
        <f>J10*J8</f>
        <v>197.02898079455954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3230</v>
      </c>
      <c r="C26" s="37"/>
      <c r="D26" s="228"/>
    </row>
    <row r="27" spans="1:5" s="16" customFormat="1">
      <c r="A27" s="230" t="s">
        <v>648</v>
      </c>
      <c r="B27" s="38">
        <f>SUM(HH_hh_gas_aantal,HH_rest_gas_aantal)</f>
        <v>1349</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1281.55</v>
      </c>
      <c r="C31" s="35" t="s">
        <v>104</v>
      </c>
      <c r="D31" s="174"/>
    </row>
    <row r="32" spans="1:5">
      <c r="A32" s="171" t="s">
        <v>72</v>
      </c>
      <c r="B32" s="34">
        <f>IF((B21*($B$26-($B$27-0.05*$B$27)-$B$60))&lt;0,0,B21*($B$26-($B$27-0.05*$B$27)-$B$60))</f>
        <v>47.539748217980929</v>
      </c>
      <c r="C32" s="35" t="s">
        <v>104</v>
      </c>
      <c r="D32" s="174"/>
    </row>
    <row r="33" spans="1:6">
      <c r="A33" s="171" t="s">
        <v>73</v>
      </c>
      <c r="B33" s="34">
        <f>IF((B22*($B$26-($B$27-0.05*$B$27)-$B$60))&lt;0,0,B22*($B$26-($B$27-0.05*$B$27)-$B$60))</f>
        <v>319.99826200183526</v>
      </c>
      <c r="C33" s="35" t="s">
        <v>104</v>
      </c>
      <c r="D33" s="174"/>
    </row>
    <row r="34" spans="1:6">
      <c r="A34" s="171" t="s">
        <v>74</v>
      </c>
      <c r="B34" s="34">
        <f>IF((B24*($B$26-($B$27-0.05*$B$27)-$B$60))&lt;0,0,B24*($B$26-($B$27-0.05*$B$27)-$B$60))</f>
        <v>81.158304195865682</v>
      </c>
      <c r="C34" s="34">
        <f>B26*C24</f>
        <v>660.54251837110337</v>
      </c>
      <c r="D34" s="233"/>
    </row>
    <row r="35" spans="1:6">
      <c r="A35" s="171" t="s">
        <v>76</v>
      </c>
      <c r="B35" s="34">
        <f>IF((B19*($B$26-($B$27-0.05*$B$27)-$B$60))&lt;0,0,B19*($B$26-($B$27-0.05*$B$27)-$B$60))</f>
        <v>30.17208917250251</v>
      </c>
      <c r="C35" s="34">
        <f>B35/2</f>
        <v>15.086044586251255</v>
      </c>
      <c r="D35" s="233"/>
    </row>
    <row r="36" spans="1:6">
      <c r="A36" s="171" t="s">
        <v>77</v>
      </c>
      <c r="B36" s="34">
        <f>IF((B18*($B$26-($B$27-0.05*$B$27)-$B$60))&lt;0,0,B18*($B$26-($B$27-0.05*$B$27)-$B$60))</f>
        <v>1455.5815964118151</v>
      </c>
      <c r="C36" s="35" t="s">
        <v>104</v>
      </c>
      <c r="D36" s="174"/>
    </row>
    <row r="37" spans="1:6">
      <c r="A37" s="171" t="s">
        <v>78</v>
      </c>
      <c r="B37" s="34">
        <f>B60</f>
        <v>14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33</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7437.8158762814583</v>
      </c>
      <c r="C5" s="18">
        <f>IF(ISERROR('Eigen informatie GS &amp; warmtenet'!B58),0,'Eigen informatie GS &amp; warmtenet'!B58)</f>
        <v>0</v>
      </c>
      <c r="D5" s="31">
        <f>SUM(D6:D12)</f>
        <v>6514.0037598221716</v>
      </c>
      <c r="E5" s="18">
        <f>SUM(E6:E12)</f>
        <v>70.21607390670134</v>
      </c>
      <c r="F5" s="18">
        <f>SUM(F6:F12)</f>
        <v>1517.3289404007996</v>
      </c>
      <c r="G5" s="19"/>
      <c r="H5" s="18"/>
      <c r="I5" s="18"/>
      <c r="J5" s="18">
        <f>SUM(J6:J12)</f>
        <v>0</v>
      </c>
      <c r="K5" s="18"/>
      <c r="L5" s="18"/>
      <c r="M5" s="18"/>
      <c r="N5" s="18">
        <f>SUM(N6:N12)</f>
        <v>496.97884450759227</v>
      </c>
      <c r="O5" s="18">
        <f>B38*B39*B40</f>
        <v>1.5633333333333335</v>
      </c>
      <c r="P5" s="18">
        <f>B46*B47*B48/1000-B46*B47*B48/1000/B49</f>
        <v>0</v>
      </c>
      <c r="R5" s="33"/>
    </row>
    <row r="6" spans="1:18">
      <c r="A6" s="33" t="s">
        <v>53</v>
      </c>
      <c r="B6" s="38">
        <f>B26</f>
        <v>736.43594788171004</v>
      </c>
      <c r="C6" s="34"/>
      <c r="D6" s="38">
        <f>IF(ISERROR(TER_kantoor_gas_kWh/1000),0,TER_kantoor_gas_kWh/1000)*0.902</f>
        <v>572.74870020344633</v>
      </c>
      <c r="E6" s="34">
        <f>$C$26*'E Balans VL '!I12/100/3.6*1000000</f>
        <v>1.2086406482548422</v>
      </c>
      <c r="F6" s="34">
        <f>$C$26*('E Balans VL '!L12+'E Balans VL '!N12)/100/3.6*1000000</f>
        <v>86.80847085835633</v>
      </c>
      <c r="G6" s="35"/>
      <c r="H6" s="34"/>
      <c r="I6" s="34"/>
      <c r="J6" s="34">
        <f>$C$26*('E Balans VL '!D12+'E Balans VL '!E12)/100/3.6*1000000</f>
        <v>0</v>
      </c>
      <c r="K6" s="34"/>
      <c r="L6" s="34"/>
      <c r="M6" s="34"/>
      <c r="N6" s="34">
        <f>$C$26*'E Balans VL '!Y12/100/3.6*1000000</f>
        <v>0.14879339595978935</v>
      </c>
      <c r="O6" s="34"/>
      <c r="P6" s="34"/>
      <c r="R6" s="33"/>
    </row>
    <row r="7" spans="1:18">
      <c r="A7" s="33" t="s">
        <v>52</v>
      </c>
      <c r="B7" s="38">
        <f t="shared" ref="B7:B12" si="0">B27</f>
        <v>511.30127522267696</v>
      </c>
      <c r="C7" s="34"/>
      <c r="D7" s="38">
        <f>IF(ISERROR(TER_horeca_gas_kWh/1000),0,TER_horeca_gas_kWh/1000)*0.902</f>
        <v>577.19178861580735</v>
      </c>
      <c r="E7" s="34">
        <f>$C$27*'E Balans VL '!I9/100/3.6*1000000</f>
        <v>26.532836328855474</v>
      </c>
      <c r="F7" s="34">
        <f>$C$27*('E Balans VL '!L9+'E Balans VL '!N9)/100/3.6*1000000</f>
        <v>116.67932200785894</v>
      </c>
      <c r="G7" s="35"/>
      <c r="H7" s="34"/>
      <c r="I7" s="34"/>
      <c r="J7" s="34">
        <f>$C$27*('E Balans VL '!D9+'E Balans VL '!E9)/100/3.6*1000000</f>
        <v>0</v>
      </c>
      <c r="K7" s="34"/>
      <c r="L7" s="34"/>
      <c r="M7" s="34"/>
      <c r="N7" s="34">
        <f>$C$27*'E Balans VL '!Y9/100/3.6*1000000</f>
        <v>5.3993180349482812E-2</v>
      </c>
      <c r="O7" s="34"/>
      <c r="P7" s="34"/>
      <c r="R7" s="33"/>
    </row>
    <row r="8" spans="1:18">
      <c r="A8" s="6" t="s">
        <v>51</v>
      </c>
      <c r="B8" s="38">
        <f t="shared" si="0"/>
        <v>3098.1758862552897</v>
      </c>
      <c r="C8" s="34"/>
      <c r="D8" s="38">
        <f>IF(ISERROR(TER_handel_gas_kWh/1000),0,TER_handel_gas_kWh/1000)*0.902</f>
        <v>588.05014434426209</v>
      </c>
      <c r="E8" s="34">
        <f>$C$28*'E Balans VL '!I13/100/3.6*1000000</f>
        <v>16.684057862700012</v>
      </c>
      <c r="F8" s="34">
        <f>$C$28*('E Balans VL '!L13+'E Balans VL '!N13)/100/3.6*1000000</f>
        <v>631.81013270239157</v>
      </c>
      <c r="G8" s="35"/>
      <c r="H8" s="34"/>
      <c r="I8" s="34"/>
      <c r="J8" s="34">
        <f>$C$28*('E Balans VL '!D13+'E Balans VL '!E13)/100/3.6*1000000</f>
        <v>0</v>
      </c>
      <c r="K8" s="34"/>
      <c r="L8" s="34"/>
      <c r="M8" s="34"/>
      <c r="N8" s="34">
        <f>$C$28*'E Balans VL '!Y13/100/3.6*1000000</f>
        <v>15.405592582537231</v>
      </c>
      <c r="O8" s="34"/>
      <c r="P8" s="34"/>
      <c r="R8" s="33"/>
    </row>
    <row r="9" spans="1:18">
      <c r="A9" s="33" t="s">
        <v>50</v>
      </c>
      <c r="B9" s="38">
        <f t="shared" si="0"/>
        <v>35.776026706075307</v>
      </c>
      <c r="C9" s="34"/>
      <c r="D9" s="38">
        <f>IF(ISERROR(TER_gezond_gas_kWh/1000),0,TER_gezond_gas_kWh/1000)*0.902</f>
        <v>0</v>
      </c>
      <c r="E9" s="34">
        <f>$C$29*'E Balans VL '!I10/100/3.6*1000000</f>
        <v>3.5454449309012565E-2</v>
      </c>
      <c r="F9" s="34">
        <f>$C$29*('E Balans VL '!L10+'E Balans VL '!N10)/100/3.6*1000000</f>
        <v>12.413250062599822</v>
      </c>
      <c r="G9" s="35"/>
      <c r="H9" s="34"/>
      <c r="I9" s="34"/>
      <c r="J9" s="34">
        <f>$C$29*('E Balans VL '!D10+'E Balans VL '!E10)/100/3.6*1000000</f>
        <v>0</v>
      </c>
      <c r="K9" s="34"/>
      <c r="L9" s="34"/>
      <c r="M9" s="34"/>
      <c r="N9" s="34">
        <f>$C$29*'E Balans VL '!Y10/100/3.6*1000000</f>
        <v>0.30827892286391617</v>
      </c>
      <c r="O9" s="34"/>
      <c r="P9" s="34"/>
      <c r="R9" s="33"/>
    </row>
    <row r="10" spans="1:18">
      <c r="A10" s="33" t="s">
        <v>49</v>
      </c>
      <c r="B10" s="38">
        <f t="shared" si="0"/>
        <v>553.98736494047603</v>
      </c>
      <c r="C10" s="34"/>
      <c r="D10" s="38">
        <f>IF(ISERROR(TER_ander_gas_kWh/1000),0,TER_ander_gas_kWh/1000)*0.902</f>
        <v>814.68368742743087</v>
      </c>
      <c r="E10" s="34">
        <f>$C$30*'E Balans VL '!I14/100/3.6*1000000</f>
        <v>4.5321703161531053</v>
      </c>
      <c r="F10" s="34">
        <f>$C$30*('E Balans VL '!L14+'E Balans VL '!N14)/100/3.6*1000000</f>
        <v>161.96335174887071</v>
      </c>
      <c r="G10" s="35"/>
      <c r="H10" s="34"/>
      <c r="I10" s="34"/>
      <c r="J10" s="34">
        <f>$C$30*('E Balans VL '!D14+'E Balans VL '!E14)/100/3.6*1000000</f>
        <v>0</v>
      </c>
      <c r="K10" s="34"/>
      <c r="L10" s="34"/>
      <c r="M10" s="34"/>
      <c r="N10" s="34">
        <f>$C$30*'E Balans VL '!Y14/100/3.6*1000000</f>
        <v>319.57802028653492</v>
      </c>
      <c r="O10" s="34"/>
      <c r="P10" s="34"/>
      <c r="R10" s="33"/>
    </row>
    <row r="11" spans="1:18">
      <c r="A11" s="33" t="s">
        <v>54</v>
      </c>
      <c r="B11" s="38">
        <f t="shared" si="0"/>
        <v>49.4046865075792</v>
      </c>
      <c r="C11" s="34"/>
      <c r="D11" s="38">
        <f>IF(ISERROR(TER_onderwijs_gas_kWh/1000),0,TER_onderwijs_gas_kWh/1000)*0.902</f>
        <v>192.24873432184</v>
      </c>
      <c r="E11" s="34">
        <f>$C$31*'E Balans VL '!I11/100/3.6*1000000</f>
        <v>3.0450964172586113E-2</v>
      </c>
      <c r="F11" s="34">
        <f>$C$31*('E Balans VL '!L11+'E Balans VL '!N11)/100/3.6*1000000</f>
        <v>19.100651896390708</v>
      </c>
      <c r="G11" s="35"/>
      <c r="H11" s="34"/>
      <c r="I11" s="34"/>
      <c r="J11" s="34">
        <f>$C$31*('E Balans VL '!D11+'E Balans VL '!E11)/100/3.6*1000000</f>
        <v>0</v>
      </c>
      <c r="K11" s="34"/>
      <c r="L11" s="34"/>
      <c r="M11" s="34"/>
      <c r="N11" s="34">
        <f>$C$31*'E Balans VL '!Y11/100/3.6*1000000</f>
        <v>0.16070285801088852</v>
      </c>
      <c r="O11" s="34"/>
      <c r="P11" s="34"/>
      <c r="R11" s="33"/>
    </row>
    <row r="12" spans="1:18">
      <c r="A12" s="33" t="s">
        <v>249</v>
      </c>
      <c r="B12" s="38">
        <f t="shared" si="0"/>
        <v>2452.7346887676504</v>
      </c>
      <c r="C12" s="34"/>
      <c r="D12" s="38">
        <f>IF(ISERROR(TER_rest_gas_kWh/1000),0,TER_rest_gas_kWh/1000)*0.902</f>
        <v>3769.0807049093851</v>
      </c>
      <c r="E12" s="34">
        <f>$C$32*'E Balans VL '!I8/100/3.6*1000000</f>
        <v>21.19246333725631</v>
      </c>
      <c r="F12" s="34">
        <f>$C$32*('E Balans VL '!L8+'E Balans VL '!N8)/100/3.6*1000000</f>
        <v>488.5537611243318</v>
      </c>
      <c r="G12" s="35"/>
      <c r="H12" s="34"/>
      <c r="I12" s="34"/>
      <c r="J12" s="34">
        <f>$C$32*('E Balans VL '!D8+'E Balans VL '!E8)/100/3.6*1000000</f>
        <v>0</v>
      </c>
      <c r="K12" s="34"/>
      <c r="L12" s="34"/>
      <c r="M12" s="34"/>
      <c r="N12" s="34">
        <f>$C$32*'E Balans VL '!Y8/100/3.6*1000000</f>
        <v>161.32346328133602</v>
      </c>
      <c r="O12" s="34"/>
      <c r="P12" s="34"/>
      <c r="R12" s="33"/>
    </row>
    <row r="13" spans="1:18">
      <c r="A13" s="17" t="s">
        <v>489</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7437.8158762814583</v>
      </c>
      <c r="C16" s="22">
        <f t="shared" ca="1" si="1"/>
        <v>0</v>
      </c>
      <c r="D16" s="22">
        <f t="shared" ca="1" si="1"/>
        <v>6514.0037598221716</v>
      </c>
      <c r="E16" s="22">
        <f t="shared" si="1"/>
        <v>70.21607390670134</v>
      </c>
      <c r="F16" s="22">
        <f t="shared" ca="1" si="1"/>
        <v>1517.3289404007996</v>
      </c>
      <c r="G16" s="22">
        <f t="shared" si="1"/>
        <v>0</v>
      </c>
      <c r="H16" s="22">
        <f t="shared" si="1"/>
        <v>0</v>
      </c>
      <c r="I16" s="22">
        <f t="shared" si="1"/>
        <v>0</v>
      </c>
      <c r="J16" s="22">
        <f t="shared" si="1"/>
        <v>0</v>
      </c>
      <c r="K16" s="22">
        <f t="shared" si="1"/>
        <v>0</v>
      </c>
      <c r="L16" s="22">
        <f t="shared" ca="1" si="1"/>
        <v>0</v>
      </c>
      <c r="M16" s="22">
        <f t="shared" si="1"/>
        <v>0</v>
      </c>
      <c r="N16" s="22">
        <f t="shared" ca="1" si="1"/>
        <v>496.97884450759227</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0.21194668014412046</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1576.4203825010873</v>
      </c>
      <c r="C20" s="24">
        <f t="shared" ref="C20:P20" ca="1" si="2">C16*C18</f>
        <v>0</v>
      </c>
      <c r="D20" s="24">
        <f t="shared" ca="1" si="2"/>
        <v>1315.8287594840788</v>
      </c>
      <c r="E20" s="24">
        <f t="shared" si="2"/>
        <v>15.939048776821204</v>
      </c>
      <c r="F20" s="24">
        <f t="shared" ca="1" si="2"/>
        <v>405.12682708701351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736.43594788171004</v>
      </c>
      <c r="C26" s="40">
        <f>IF(ISERROR(B26*3.6/1000000/'E Balans VL '!Z12*100),0,B26*3.6/1000000/'E Balans VL '!Z12*100)</f>
        <v>1.5648735771406415E-2</v>
      </c>
      <c r="D26" s="236" t="s">
        <v>685</v>
      </c>
      <c r="F26" s="6"/>
    </row>
    <row r="27" spans="1:18">
      <c r="A27" s="231" t="s">
        <v>52</v>
      </c>
      <c r="B27" s="34">
        <f>IF(ISERROR(TER_horeca_ele_kWh/1000),0,TER_horeca_ele_kWh/1000)</f>
        <v>511.30127522267696</v>
      </c>
      <c r="C27" s="40">
        <f>IF(ISERROR(B27*3.6/1000000/'E Balans VL '!Z9*100),0,B27*3.6/1000000/'E Balans VL '!Z9*100)</f>
        <v>4.0243364235639366E-2</v>
      </c>
      <c r="D27" s="236" t="s">
        <v>685</v>
      </c>
      <c r="F27" s="6"/>
    </row>
    <row r="28" spans="1:18">
      <c r="A28" s="171" t="s">
        <v>51</v>
      </c>
      <c r="B28" s="34">
        <f>IF(ISERROR(TER_handel_ele_kWh/1000),0,TER_handel_ele_kWh/1000)</f>
        <v>3098.1758862552897</v>
      </c>
      <c r="C28" s="40">
        <f>IF(ISERROR(B28*3.6/1000000/'E Balans VL '!Z13*100),0,B28*3.6/1000000/'E Balans VL '!Z13*100)</f>
        <v>8.6781564652284537E-2</v>
      </c>
      <c r="D28" s="236" t="s">
        <v>685</v>
      </c>
      <c r="F28" s="6"/>
    </row>
    <row r="29" spans="1:18">
      <c r="A29" s="231" t="s">
        <v>50</v>
      </c>
      <c r="B29" s="34">
        <f>IF(ISERROR(TER_gezond_ele_kWh/1000),0,TER_gezond_ele_kWh/1000)</f>
        <v>35.776026706075307</v>
      </c>
      <c r="C29" s="40">
        <f>IF(ISERROR(B29*3.6/1000000/'E Balans VL '!Z10*100),0,B29*3.6/1000000/'E Balans VL '!Z10*100)</f>
        <v>4.5768356391848409E-3</v>
      </c>
      <c r="D29" s="236" t="s">
        <v>685</v>
      </c>
      <c r="F29" s="6"/>
    </row>
    <row r="30" spans="1:18">
      <c r="A30" s="231" t="s">
        <v>49</v>
      </c>
      <c r="B30" s="34">
        <f>IF(ISERROR(TER_ander_ele_kWh/1000),0,TER_ander_ele_kWh/1000)</f>
        <v>553.98736494047603</v>
      </c>
      <c r="C30" s="40">
        <f>IF(ISERROR(B30*3.6/1000000/'E Balans VL '!Z14*100),0,B30*3.6/1000000/'E Balans VL '!Z14*100)</f>
        <v>4.1433586918466159E-2</v>
      </c>
      <c r="D30" s="236" t="s">
        <v>685</v>
      </c>
      <c r="F30" s="6"/>
    </row>
    <row r="31" spans="1:18">
      <c r="A31" s="231" t="s">
        <v>54</v>
      </c>
      <c r="B31" s="34">
        <f>IF(ISERROR(TER_onderwijs_ele_kWh/1000),0,TER_onderwijs_ele_kWh/1000)</f>
        <v>49.4046865075792</v>
      </c>
      <c r="C31" s="40">
        <f>IF(ISERROR(B31*3.6/1000000/'E Balans VL '!Z11*100),0,B31*3.6/1000000/'E Balans VL '!Z11*100)</f>
        <v>1.0431863551502014E-2</v>
      </c>
      <c r="D31" s="236" t="s">
        <v>685</v>
      </c>
    </row>
    <row r="32" spans="1:18">
      <c r="A32" s="231" t="s">
        <v>249</v>
      </c>
      <c r="B32" s="34">
        <f>IF(ISERROR(TER_rest_ele_kWh/1000),0,TER_rest_ele_kWh/1000)</f>
        <v>2452.7346887676504</v>
      </c>
      <c r="C32" s="40">
        <f>IF(ISERROR(B32*3.6/1000000/'E Balans VL '!Z8*100),0,B32*3.6/1000000/'E Balans VL '!Z8*100)</f>
        <v>2.0205461740615206E-2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20079.740876638807</v>
      </c>
      <c r="C5" s="18">
        <f>IF(ISERROR('Eigen informatie GS &amp; warmtenet'!B59),0,'Eigen informatie GS &amp; warmtenet'!B59)</f>
        <v>0</v>
      </c>
      <c r="D5" s="31">
        <f>SUM(D6:D15)</f>
        <v>1526.8011172895945</v>
      </c>
      <c r="E5" s="18">
        <f>SUM(E6:E15)</f>
        <v>167.73372046972742</v>
      </c>
      <c r="F5" s="18">
        <f>SUM(F6:F15)</f>
        <v>4697.8181588632124</v>
      </c>
      <c r="G5" s="19"/>
      <c r="H5" s="18"/>
      <c r="I5" s="18"/>
      <c r="J5" s="18">
        <f>SUM(J6:J15)</f>
        <v>85.306202165533676</v>
      </c>
      <c r="K5" s="18"/>
      <c r="L5" s="18"/>
      <c r="M5" s="18"/>
      <c r="N5" s="18">
        <f>SUM(N6:N15)</f>
        <v>663.04370393304384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142.63003348877302</v>
      </c>
      <c r="C8" s="34"/>
      <c r="D8" s="38">
        <f>IF( ISERROR(IND_metaal_Gas_kWH/1000),0,IND_metaal_Gas_kWH/1000)*0.902</f>
        <v>0</v>
      </c>
      <c r="E8" s="34">
        <f>C30*'E Balans VL '!I18/100/3.6*1000000</f>
        <v>1.2989060112881079</v>
      </c>
      <c r="F8" s="34">
        <f>C30*'E Balans VL '!L18/100/3.6*1000000+C30*'E Balans VL '!N18/100/3.6*1000000</f>
        <v>18.811818266091141</v>
      </c>
      <c r="G8" s="35"/>
      <c r="H8" s="34"/>
      <c r="I8" s="34"/>
      <c r="J8" s="41">
        <f>C30*'E Balans VL '!D18/100/3.6*1000000+C30*'E Balans VL '!E18/100/3.6*1000000</f>
        <v>2.3389254578643879</v>
      </c>
      <c r="K8" s="34"/>
      <c r="L8" s="34"/>
      <c r="M8" s="34"/>
      <c r="N8" s="34">
        <f>C30*'E Balans VL '!Y18/100/3.6*1000000</f>
        <v>0.49016276546545234</v>
      </c>
      <c r="O8" s="34"/>
      <c r="P8" s="34"/>
      <c r="R8" s="33"/>
    </row>
    <row r="9" spans="1:18">
      <c r="A9" s="6" t="s">
        <v>32</v>
      </c>
      <c r="B9" s="38">
        <f t="shared" si="0"/>
        <v>1707.5733992144901</v>
      </c>
      <c r="C9" s="34"/>
      <c r="D9" s="38">
        <f>IF( ISERROR(IND_andere_gas_kWh/1000),0,IND_andere_gas_kWh/1000)*0.902</f>
        <v>546.59954078788485</v>
      </c>
      <c r="E9" s="34">
        <f>C31*'E Balans VL '!I19/100/3.6*1000000</f>
        <v>9.87002942319792</v>
      </c>
      <c r="F9" s="34">
        <f>C31*'E Balans VL '!L19/100/3.6*1000000+C31*'E Balans VL '!N19/100/3.6*1000000</f>
        <v>1358.4568042557016</v>
      </c>
      <c r="G9" s="35"/>
      <c r="H9" s="34"/>
      <c r="I9" s="34"/>
      <c r="J9" s="41">
        <f>C31*'E Balans VL '!D19/100/3.6*1000000+C31*'E Balans VL '!E19/100/3.6*1000000</f>
        <v>0.16151747637759512</v>
      </c>
      <c r="K9" s="34"/>
      <c r="L9" s="34"/>
      <c r="M9" s="34"/>
      <c r="N9" s="34">
        <f>C31*'E Balans VL '!Y19/100/3.6*1000000</f>
        <v>129.37452622340072</v>
      </c>
      <c r="O9" s="34"/>
      <c r="P9" s="34"/>
      <c r="R9" s="33"/>
    </row>
    <row r="10" spans="1:18">
      <c r="A10" s="6" t="s">
        <v>40</v>
      </c>
      <c r="B10" s="38">
        <f t="shared" si="0"/>
        <v>264.78193634485001</v>
      </c>
      <c r="C10" s="34"/>
      <c r="D10" s="38">
        <f>IF( ISERROR(IND_voed_gas_kWh/1000),0,IND_voed_gas_kWh/1000)*0.902</f>
        <v>457.16612261427241</v>
      </c>
      <c r="E10" s="34">
        <f>C32*'E Balans VL '!I20/100/3.6*1000000</f>
        <v>2.6034991438807555</v>
      </c>
      <c r="F10" s="34">
        <f>C32*'E Balans VL '!L20/100/3.6*1000000+C32*'E Balans VL '!N20/100/3.6*1000000</f>
        <v>29.407490135552013</v>
      </c>
      <c r="G10" s="35"/>
      <c r="H10" s="34"/>
      <c r="I10" s="34"/>
      <c r="J10" s="41">
        <f>C32*'E Balans VL '!D20/100/3.6*1000000+C32*'E Balans VL '!E20/100/3.6*1000000</f>
        <v>1.0436258149012167E-3</v>
      </c>
      <c r="K10" s="34"/>
      <c r="L10" s="34"/>
      <c r="M10" s="34"/>
      <c r="N10" s="34">
        <f>C32*'E Balans VL '!Y20/100/3.6*1000000</f>
        <v>3.9207976445015587</v>
      </c>
      <c r="O10" s="34"/>
      <c r="P10" s="34"/>
      <c r="R10" s="33"/>
    </row>
    <row r="11" spans="1:18">
      <c r="A11" s="6" t="s">
        <v>39</v>
      </c>
      <c r="B11" s="38">
        <f t="shared" si="0"/>
        <v>1106.00439360664</v>
      </c>
      <c r="C11" s="34"/>
      <c r="D11" s="38">
        <f>IF( ISERROR(IND_textiel_gas_kWh/1000),0,IND_textiel_gas_kWh/1000)*0.902</f>
        <v>0</v>
      </c>
      <c r="E11" s="34">
        <f>C33*'E Balans VL '!I21/100/3.6*1000000</f>
        <v>2.1536473761440682</v>
      </c>
      <c r="F11" s="34">
        <f>C33*'E Balans VL '!L21/100/3.6*1000000+C33*'E Balans VL '!N21/100/3.6*1000000</f>
        <v>36.479654258526665</v>
      </c>
      <c r="G11" s="35"/>
      <c r="H11" s="34"/>
      <c r="I11" s="34"/>
      <c r="J11" s="41">
        <f>C33*'E Balans VL '!D21/100/3.6*1000000+C33*'E Balans VL '!E21/100/3.6*1000000</f>
        <v>0</v>
      </c>
      <c r="K11" s="34"/>
      <c r="L11" s="34"/>
      <c r="M11" s="34"/>
      <c r="N11" s="34">
        <f>C33*'E Balans VL '!Y21/100/3.6*1000000</f>
        <v>11.472174549343695</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33.189971969546995</v>
      </c>
      <c r="C13" s="34"/>
      <c r="D13" s="38">
        <f>IF( ISERROR(IND_papier_gas_kWh/1000),0,IND_papier_gas_kWh/1000)*0.902</f>
        <v>0</v>
      </c>
      <c r="E13" s="34">
        <f>C35*'E Balans VL '!I23/100/3.6*1000000</f>
        <v>1.1304985676308965</v>
      </c>
      <c r="F13" s="34">
        <f>C35*'E Balans VL '!L23/100/3.6*1000000+C35*'E Balans VL '!N23/100/3.6*1000000</f>
        <v>5.4822044174944207</v>
      </c>
      <c r="G13" s="35"/>
      <c r="H13" s="34"/>
      <c r="I13" s="34"/>
      <c r="J13" s="41">
        <f>C35*'E Balans VL '!D23/100/3.6*1000000+C35*'E Balans VL '!E23/100/3.6*1000000</f>
        <v>0</v>
      </c>
      <c r="K13" s="34"/>
      <c r="L13" s="34"/>
      <c r="M13" s="34"/>
      <c r="N13" s="34">
        <f>C35*'E Balans VL '!Y23/100/3.6*1000000</f>
        <v>12.213019598744589</v>
      </c>
      <c r="O13" s="34"/>
      <c r="P13" s="34"/>
      <c r="R13" s="33"/>
    </row>
    <row r="14" spans="1:18">
      <c r="A14" s="6" t="s">
        <v>33</v>
      </c>
      <c r="B14" s="38">
        <f t="shared" si="0"/>
        <v>359.36583623500803</v>
      </c>
      <c r="C14" s="34"/>
      <c r="D14" s="38">
        <f>IF( ISERROR(IND_chemie_gas_kWh/1000),0,IND_chemie_gas_kWh/1000)*0.902</f>
        <v>0</v>
      </c>
      <c r="E14" s="34">
        <f>C36*'E Balans VL '!I24/100/3.6*1000000</f>
        <v>2.716997877309979</v>
      </c>
      <c r="F14" s="34">
        <f>C36*'E Balans VL '!L24/100/3.6*1000000+C36*'E Balans VL '!N24/100/3.6*1000000</f>
        <v>6.6492615499535423</v>
      </c>
      <c r="G14" s="35"/>
      <c r="H14" s="34"/>
      <c r="I14" s="34"/>
      <c r="J14" s="41">
        <f>C36*'E Balans VL '!D24/100/3.6*1000000+C36*'E Balans VL '!E24/100/3.6*1000000</f>
        <v>0</v>
      </c>
      <c r="K14" s="34"/>
      <c r="L14" s="34"/>
      <c r="M14" s="34"/>
      <c r="N14" s="34">
        <f>C36*'E Balans VL '!Y24/100/3.6*1000000</f>
        <v>0.104206825850939</v>
      </c>
      <c r="O14" s="34"/>
      <c r="P14" s="34"/>
      <c r="R14" s="33"/>
    </row>
    <row r="15" spans="1:18">
      <c r="A15" s="6" t="s">
        <v>259</v>
      </c>
      <c r="B15" s="38">
        <f t="shared" si="0"/>
        <v>16466.1953057795</v>
      </c>
      <c r="C15" s="34"/>
      <c r="D15" s="38">
        <f>IF( ISERROR(IND_rest_gas_kWh/1000),0,IND_rest_gas_kWh/1000)*0.902</f>
        <v>523.03545388743714</v>
      </c>
      <c r="E15" s="34">
        <f>C37*'E Balans VL '!I15/100/3.6*1000000</f>
        <v>147.96014207027568</v>
      </c>
      <c r="F15" s="34">
        <f>C37*'E Balans VL '!L15/100/3.6*1000000+C37*'E Balans VL '!N15/100/3.6*1000000</f>
        <v>3242.5309259798933</v>
      </c>
      <c r="G15" s="35"/>
      <c r="H15" s="34"/>
      <c r="I15" s="34"/>
      <c r="J15" s="41">
        <f>C37*'E Balans VL '!D15/100/3.6*1000000+C37*'E Balans VL '!E15/100/3.6*1000000</f>
        <v>82.804715605476787</v>
      </c>
      <c r="K15" s="34"/>
      <c r="L15" s="34"/>
      <c r="M15" s="34"/>
      <c r="N15" s="34">
        <f>C37*'E Balans VL '!Y15/100/3.6*1000000</f>
        <v>505.46881632573684</v>
      </c>
      <c r="O15" s="34"/>
      <c r="P15" s="34"/>
      <c r="R15" s="33"/>
    </row>
    <row r="16" spans="1:18">
      <c r="A16" s="17" t="s">
        <v>489</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20079.740876638807</v>
      </c>
      <c r="C18" s="22">
        <f>C5+C16</f>
        <v>0</v>
      </c>
      <c r="D18" s="22">
        <f>MAX((D5+D16),0)</f>
        <v>1526.8011172895945</v>
      </c>
      <c r="E18" s="22">
        <f>MAX((E5+E16),0)</f>
        <v>167.73372046972742</v>
      </c>
      <c r="F18" s="22">
        <f>MAX((F5+F16),0)</f>
        <v>4697.8181588632124</v>
      </c>
      <c r="G18" s="22"/>
      <c r="H18" s="22"/>
      <c r="I18" s="22"/>
      <c r="J18" s="22">
        <f>MAX((J5+J16),0)</f>
        <v>85.306202165533676</v>
      </c>
      <c r="K18" s="22"/>
      <c r="L18" s="22">
        <f>MAX((L5+L16),0)</f>
        <v>0</v>
      </c>
      <c r="M18" s="22"/>
      <c r="N18" s="22">
        <f>MAX((N5+N16),0)</f>
        <v>663.04370393304384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0.21194668014412046</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4255.8344169577867</v>
      </c>
      <c r="C22" s="24">
        <f ca="1">C18*C20</f>
        <v>0</v>
      </c>
      <c r="D22" s="24">
        <f>D18*D20</f>
        <v>308.41382569249811</v>
      </c>
      <c r="E22" s="24">
        <f>E18*E20</f>
        <v>38.075554546628126</v>
      </c>
      <c r="F22" s="24">
        <f>F18*F20</f>
        <v>1254.3174484164779</v>
      </c>
      <c r="G22" s="24"/>
      <c r="H22" s="24"/>
      <c r="I22" s="24"/>
      <c r="J22" s="24">
        <f>J18*J20</f>
        <v>30.198395566598919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142.63003348877302</v>
      </c>
      <c r="C30" s="40">
        <f>IF(ISERROR(B30*3.6/1000000/'E Balans VL '!Z18*100),0,B30*3.6/1000000/'E Balans VL '!Z18*100)</f>
        <v>7.9364076047992813E-3</v>
      </c>
      <c r="D30" s="236" t="s">
        <v>685</v>
      </c>
    </row>
    <row r="31" spans="1:18">
      <c r="A31" s="6" t="s">
        <v>32</v>
      </c>
      <c r="B31" s="38">
        <f>IF( ISERROR(IND_ander_ele_kWh/1000),0,IND_ander_ele_kWh/1000)</f>
        <v>1707.5733992144901</v>
      </c>
      <c r="C31" s="40">
        <f>IF(ISERROR(B31*3.6/1000000/'E Balans VL '!Z19*100),0,B31*3.6/1000000/'E Balans VL '!Z19*100)</f>
        <v>7.9380602724824903E-2</v>
      </c>
      <c r="D31" s="236" t="s">
        <v>685</v>
      </c>
    </row>
    <row r="32" spans="1:18">
      <c r="A32" s="171" t="s">
        <v>40</v>
      </c>
      <c r="B32" s="38">
        <f>IF( ISERROR(IND_voed_ele_kWh/1000),0,IND_voed_ele_kWh/1000)</f>
        <v>264.78193634485001</v>
      </c>
      <c r="C32" s="40">
        <f>IF(ISERROR(B32*3.6/1000000/'E Balans VL '!Z20*100),0,B32*3.6/1000000/'E Balans VL '!Z20*100)</f>
        <v>9.3595067000231125E-3</v>
      </c>
      <c r="D32" s="236" t="s">
        <v>685</v>
      </c>
    </row>
    <row r="33" spans="1:5">
      <c r="A33" s="171" t="s">
        <v>39</v>
      </c>
      <c r="B33" s="38">
        <f>IF( ISERROR(IND_textiel_ele_kWh/1000),0,IND_textiel_ele_kWh/1000)</f>
        <v>1106.00439360664</v>
      </c>
      <c r="C33" s="40">
        <f>IF(ISERROR(B33*3.6/1000000/'E Balans VL '!Z21*100),0,B33*3.6/1000000/'E Balans VL '!Z21*100)</f>
        <v>0.14938267579714726</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33.189971969546995</v>
      </c>
      <c r="C35" s="40">
        <f>IF(ISERROR(B35*3.6/1000000/'E Balans VL '!Z22*100),0,B35*3.6/1000000/'E Balans VL '!Z22*100)</f>
        <v>6.670248440288809E-3</v>
      </c>
      <c r="D35" s="236" t="s">
        <v>685</v>
      </c>
    </row>
    <row r="36" spans="1:5">
      <c r="A36" s="171" t="s">
        <v>33</v>
      </c>
      <c r="B36" s="38">
        <f>IF( ISERROR(IND_chemie_ele_kWh/1000),0,IND_chemie_ele_kWh/1000)</f>
        <v>359.36583623500803</v>
      </c>
      <c r="C36" s="40">
        <f>IF(ISERROR(B36*3.6/1000000/'E Balans VL '!Z24*100),0,B36*3.6/1000000/'E Balans VL '!Z24*100)</f>
        <v>8.8494641570965801E-3</v>
      </c>
      <c r="D36" s="236" t="s">
        <v>685</v>
      </c>
    </row>
    <row r="37" spans="1:5">
      <c r="A37" s="171" t="s">
        <v>259</v>
      </c>
      <c r="B37" s="38">
        <f>IF( ISERROR(IND_rest_ele_kWh/1000),0,IND_rest_ele_kWh/1000)</f>
        <v>16466.1953057795</v>
      </c>
      <c r="C37" s="40">
        <f>IF(ISERROR(B37*3.6/1000000/'E Balans VL '!Z15*100),0,B37*3.6/1000000/'E Balans VL '!Z15*100)</f>
        <v>0.12434409880729233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2473.756471006935</v>
      </c>
      <c r="C5" s="18">
        <f>'Eigen informatie GS &amp; warmtenet'!B60</f>
        <v>0</v>
      </c>
      <c r="D5" s="31">
        <f>IF(ISERROR(SUM(LB_lb_gas_kWh,LB_rest_gas_kWh)/1000),0,SUM(LB_lb_gas_kWh,LB_rest_gas_kWh)/1000)*0.902</f>
        <v>15.654213889404156</v>
      </c>
      <c r="E5" s="18">
        <f>B17*'E Balans VL '!I25/3.6*1000000/100</f>
        <v>23.304443428091087</v>
      </c>
      <c r="F5" s="18">
        <f>B17*('E Balans VL '!L25/3.6*1000000+'E Balans VL '!N25/3.6*1000000)/100</f>
        <v>8072.6883325682957</v>
      </c>
      <c r="G5" s="19"/>
      <c r="H5" s="18"/>
      <c r="I5" s="18"/>
      <c r="J5" s="18">
        <f>('E Balans VL '!D25+'E Balans VL '!E25)/3.6*1000000*landbouw!B17/100</f>
        <v>306.01570781272147</v>
      </c>
      <c r="K5" s="18"/>
      <c r="L5" s="18">
        <f>L6*(-1)</f>
        <v>0</v>
      </c>
      <c r="M5" s="18"/>
      <c r="N5" s="18">
        <f>N6*(-1)</f>
        <v>0</v>
      </c>
      <c r="O5" s="18"/>
      <c r="P5" s="18"/>
      <c r="R5" s="33"/>
    </row>
    <row r="6" spans="1:18">
      <c r="A6" s="17" t="s">
        <v>489</v>
      </c>
      <c r="B6" s="18" t="s">
        <v>204</v>
      </c>
      <c r="C6" s="18">
        <f>'lokale energieproductie'!O40+'lokale energieproductie'!O33</f>
        <v>7637.1428571428569</v>
      </c>
      <c r="D6" s="305">
        <f>('lokale energieproductie'!P33+'lokale energieproductie'!P40)*(-1)</f>
        <v>-15274.285714285716</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2473.756471006935</v>
      </c>
      <c r="C8" s="22">
        <f>C5+C6</f>
        <v>7637.1428571428569</v>
      </c>
      <c r="D8" s="22">
        <f>MAX((D5+D6),0)</f>
        <v>0</v>
      </c>
      <c r="E8" s="22">
        <f>MAX((E5+E6),0)</f>
        <v>23.304443428091087</v>
      </c>
      <c r="F8" s="22">
        <f>MAX((F5+F6),0)</f>
        <v>8072.6883325682957</v>
      </c>
      <c r="G8" s="22"/>
      <c r="H8" s="22"/>
      <c r="I8" s="22"/>
      <c r="J8" s="22">
        <f>MAX((J5+J6),0)</f>
        <v>306.01570781272147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0.21194668014412046</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524.30447151495503</v>
      </c>
      <c r="C12" s="24">
        <f ca="1">C8*C10</f>
        <v>1814.9445378151263</v>
      </c>
      <c r="D12" s="24">
        <f>D8*D10</f>
        <v>0</v>
      </c>
      <c r="E12" s="24">
        <f>E8*E10</f>
        <v>5.2901086581766767</v>
      </c>
      <c r="F12" s="24">
        <f>F8*F10</f>
        <v>2155.4077847957351</v>
      </c>
      <c r="G12" s="24"/>
      <c r="H12" s="24"/>
      <c r="I12" s="24"/>
      <c r="J12" s="24">
        <f>J8*J10</f>
        <v>108.32956056570339</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0.33490709680956626</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322.89297936574377</v>
      </c>
      <c r="C26" s="246">
        <f>B26*'GWP N2O_CH4'!B5</f>
        <v>6780.7525666806196</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230.92699174668135</v>
      </c>
      <c r="C27" s="246">
        <f>B27*'GWP N2O_CH4'!B5</f>
        <v>4849.4668266803083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5.5199931861663769</v>
      </c>
      <c r="C28" s="246">
        <f>B28*'GWP N2O_CH4'!B4</f>
        <v>1711.1978877115769</v>
      </c>
      <c r="D28" s="51"/>
    </row>
    <row r="29" spans="1:4">
      <c r="A29" s="42" t="s">
        <v>266</v>
      </c>
      <c r="B29" s="246">
        <f>B34*'ha_N2O bodem landbouw'!B4</f>
        <v>9.8669877240572958</v>
      </c>
      <c r="C29" s="246">
        <f>B29*'GWP N2O_CH4'!B4</f>
        <v>3058.7661944577617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2.6637760700890258E-3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4.6224589643794708E-6</v>
      </c>
      <c r="C5" s="433" t="s">
        <v>204</v>
      </c>
      <c r="D5" s="418">
        <f>SUM(D6:D11)</f>
        <v>6.0911937780601413E-6</v>
      </c>
      <c r="E5" s="418">
        <f>SUM(E6:E11)</f>
        <v>3.8629701342601775E-4</v>
      </c>
      <c r="F5" s="431" t="s">
        <v>204</v>
      </c>
      <c r="G5" s="418">
        <f>SUM(G6:G11)</f>
        <v>0.10455103246590973</v>
      </c>
      <c r="H5" s="418">
        <f>SUM(H6:H11)</f>
        <v>1.456290709630163E-2</v>
      </c>
      <c r="I5" s="433" t="s">
        <v>204</v>
      </c>
      <c r="J5" s="433" t="s">
        <v>204</v>
      </c>
      <c r="K5" s="433" t="s">
        <v>204</v>
      </c>
      <c r="L5" s="433" t="s">
        <v>204</v>
      </c>
      <c r="M5" s="418">
        <f>SUM(M6:M11)</f>
        <v>5.319124505563687E-3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2.9920192196383544E-6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3.484749350265765E-6</v>
      </c>
      <c r="E6" s="421">
        <f>vkm_GW_PW*SUMIFS(TableVerdeelsleutelVkm[LPG],TableVerdeelsleutelVkm[Voertuigtype],"Lichte voertuigen")*SUMIFS(TableECFTransport[EnergieConsumptieFactor (PJ per km)],TableECFTransport[Index],CONCATENATE($A6,"_LPG_LPG"))</f>
        <v>2.2608158306276557E-4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3.5272977510446057E-2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8.5007819992491285E-3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1.9588785888100643E-3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2.022941307171726E-7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3.3463913619276885E-2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8.9795604893466183E-7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1.4890349906148E-3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1.3702464016634842E-6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2.6064444277943764E-6</v>
      </c>
      <c r="E8" s="421">
        <f>vkm_NGW_PW*SUMIFS(TableVerdeelsleutelVkm[LPG],TableVerdeelsleutelVkm[Voertuigtype],"Lichte voertuigen")*SUMIFS(TableECFTransport[EnergieConsumptieFactor (PJ per km)],TableECFTransport[Index],CONCATENATE($A8,"_LPG_LPG"))</f>
        <v>1.6021543036325215E-4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2.3532083769940201E-2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6.0609169273563015E-3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1.324700317478339E-3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5.7899212360459777E-8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1.2282057566246573E-2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3.1021364726717025E-7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5.4651060866048437E-4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1.2840163789942973</v>
      </c>
      <c r="C14" s="22"/>
      <c r="D14" s="22">
        <f t="shared" ref="D14:M14" si="0">((D5)*10^9/3600)+D12</f>
        <v>1.6919982716833726</v>
      </c>
      <c r="E14" s="22">
        <f t="shared" si="0"/>
        <v>107.3047259516716</v>
      </c>
      <c r="F14" s="22"/>
      <c r="G14" s="22">
        <f t="shared" si="0"/>
        <v>29041.953462752703</v>
      </c>
      <c r="H14" s="22">
        <f t="shared" si="0"/>
        <v>4045.2519711948971</v>
      </c>
      <c r="I14" s="22"/>
      <c r="J14" s="22"/>
      <c r="K14" s="22"/>
      <c r="L14" s="22"/>
      <c r="M14" s="22">
        <f t="shared" si="0"/>
        <v>1477.5345848788018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0.21194668014412046</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0.2721430087785161</v>
      </c>
      <c r="C18" s="24"/>
      <c r="D18" s="24">
        <f t="shared" ref="D18:M18" si="1">D14*D16</f>
        <v>0.34178365088004126</v>
      </c>
      <c r="E18" s="24">
        <f t="shared" si="1"/>
        <v>24.358172791029453</v>
      </c>
      <c r="F18" s="24"/>
      <c r="G18" s="24">
        <f t="shared" si="1"/>
        <v>7754.2015745549725</v>
      </c>
      <c r="H18" s="24">
        <f t="shared" si="1"/>
        <v>1007.2677408275293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2.8181563737525659E-6</v>
      </c>
      <c r="C50" s="316">
        <f t="shared" ref="C50:P50" si="2">SUM(C51:C52)</f>
        <v>0</v>
      </c>
      <c r="D50" s="316">
        <f t="shared" si="2"/>
        <v>0</v>
      </c>
      <c r="E50" s="316">
        <f t="shared" si="2"/>
        <v>0</v>
      </c>
      <c r="F50" s="316">
        <f t="shared" si="2"/>
        <v>0</v>
      </c>
      <c r="G50" s="316">
        <f t="shared" si="2"/>
        <v>5.6208684492440079E-4</v>
      </c>
      <c r="H50" s="316">
        <f t="shared" si="2"/>
        <v>0</v>
      </c>
      <c r="I50" s="316">
        <f t="shared" si="2"/>
        <v>0</v>
      </c>
      <c r="J50" s="316">
        <f t="shared" si="2"/>
        <v>0</v>
      </c>
      <c r="K50" s="316">
        <f t="shared" si="2"/>
        <v>0</v>
      </c>
      <c r="L50" s="316">
        <f t="shared" si="2"/>
        <v>0</v>
      </c>
      <c r="M50" s="316">
        <f t="shared" si="2"/>
        <v>2.4843639889563949E-5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2.8181563737525659E-6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5.6208684492440079E-4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2.4843639889563949E-5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0.78282121493126822</v>
      </c>
      <c r="C54" s="22">
        <f t="shared" ref="C54:P54" si="3">(C50)*10^9/3600</f>
        <v>0</v>
      </c>
      <c r="D54" s="22">
        <f t="shared" si="3"/>
        <v>0</v>
      </c>
      <c r="E54" s="22">
        <f t="shared" si="3"/>
        <v>0</v>
      </c>
      <c r="F54" s="22">
        <f t="shared" si="3"/>
        <v>0</v>
      </c>
      <c r="G54" s="22">
        <f t="shared" si="3"/>
        <v>156.13523470122243</v>
      </c>
      <c r="H54" s="22">
        <f t="shared" si="3"/>
        <v>0</v>
      </c>
      <c r="I54" s="22">
        <f t="shared" si="3"/>
        <v>0</v>
      </c>
      <c r="J54" s="22">
        <f t="shared" si="3"/>
        <v>0</v>
      </c>
      <c r="K54" s="22">
        <f t="shared" si="3"/>
        <v>0</v>
      </c>
      <c r="L54" s="22">
        <f t="shared" si="3"/>
        <v>0</v>
      </c>
      <c r="M54" s="22">
        <f t="shared" si="3"/>
        <v>6.9010110804344302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0.21194668014412046</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0.1659163576510693</v>
      </c>
      <c r="C58" s="24">
        <f t="shared" ref="C58:P58" ca="1" si="4">C54*C56</f>
        <v>0</v>
      </c>
      <c r="D58" s="24">
        <f t="shared" si="4"/>
        <v>0</v>
      </c>
      <c r="E58" s="24">
        <f t="shared" si="4"/>
        <v>0</v>
      </c>
      <c r="F58" s="24">
        <f t="shared" si="4"/>
        <v>0</v>
      </c>
      <c r="G58" s="24">
        <f t="shared" si="4"/>
        <v>41.68810766522639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2320.9781050514403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N30</f>
        <v>5346</v>
      </c>
      <c r="C8" s="544">
        <f>B49</f>
        <v>6289.4117647058838</v>
      </c>
      <c r="D8" s="967"/>
      <c r="E8" s="967">
        <f>E49</f>
        <v>0</v>
      </c>
      <c r="F8" s="968"/>
      <c r="G8" s="545"/>
      <c r="H8" s="967">
        <f>I49</f>
        <v>0</v>
      </c>
      <c r="I8" s="967">
        <f>G49+F49</f>
        <v>0</v>
      </c>
      <c r="J8" s="967">
        <f>H49+D49+C49</f>
        <v>0</v>
      </c>
      <c r="K8" s="967"/>
      <c r="L8" s="967"/>
      <c r="M8" s="967"/>
      <c r="N8" s="546"/>
      <c r="O8" s="547">
        <f>C8*$C$12+D8*$D$12+E8*$E$12+F8*$F$12+G8*$G$12+H8*$H$12+I8*$I$12+J8*$J$12</f>
        <v>1270.4611764705885</v>
      </c>
      <c r="P8" s="1241"/>
      <c r="Q8" s="1242"/>
      <c r="S8" s="1004"/>
      <c r="T8" s="1262"/>
      <c r="U8" s="1262"/>
    </row>
    <row r="9" spans="1:21" s="532" customFormat="1" ht="17.45" customHeight="1" thickBot="1">
      <c r="A9" s="548" t="s">
        <v>237</v>
      </c>
      <c r="B9" s="969">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7666.9781050514403</v>
      </c>
      <c r="C10" s="556">
        <f t="shared" ref="C10:L10" si="0">SUM(C8:C9)</f>
        <v>6289.4117647058838</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1270.4611764705885</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O30</f>
        <v>7637.1428571428569</v>
      </c>
      <c r="C17" s="568">
        <f>B50</f>
        <v>8984.8739495798327</v>
      </c>
      <c r="D17" s="569"/>
      <c r="E17" s="569">
        <f>E50</f>
        <v>0</v>
      </c>
      <c r="F17" s="570"/>
      <c r="G17" s="571"/>
      <c r="H17" s="568">
        <f>I50</f>
        <v>0</v>
      </c>
      <c r="I17" s="569">
        <f>G50+F50</f>
        <v>0</v>
      </c>
      <c r="J17" s="569">
        <f>H50+D50+C50</f>
        <v>0</v>
      </c>
      <c r="K17" s="569"/>
      <c r="L17" s="569"/>
      <c r="M17" s="569"/>
      <c r="N17" s="974"/>
      <c r="O17" s="572">
        <f>C17*$C$22+E17*$E$22+H17*$H$22+I17*$I$22+J17*$J$22+D17*$D$22+F17*$F$22+G17*$G$22+K17*$K$22+L17*$L$22</f>
        <v>1814.9445378151263</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7637.1428571428569</v>
      </c>
      <c r="C20" s="555">
        <f>SUM(C17:C19)</f>
        <v>8984.8739495798327</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1814.9445378151263</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37002</v>
      </c>
      <c r="C28" s="775">
        <v>8720</v>
      </c>
      <c r="D28" s="628"/>
      <c r="E28" s="627"/>
      <c r="F28" s="627"/>
      <c r="G28" s="627" t="s">
        <v>959</v>
      </c>
      <c r="H28" s="627" t="s">
        <v>960</v>
      </c>
      <c r="I28" s="627"/>
      <c r="J28" s="774"/>
      <c r="K28" s="774"/>
      <c r="L28" s="627" t="s">
        <v>961</v>
      </c>
      <c r="M28" s="627">
        <v>182</v>
      </c>
      <c r="N28" s="627">
        <v>819</v>
      </c>
      <c r="O28" s="627">
        <v>1170</v>
      </c>
      <c r="P28" s="627">
        <v>2340</v>
      </c>
      <c r="Q28" s="627">
        <v>0</v>
      </c>
      <c r="R28" s="627">
        <v>0</v>
      </c>
      <c r="S28" s="627">
        <v>0</v>
      </c>
      <c r="T28" s="627">
        <v>0</v>
      </c>
      <c r="U28" s="627">
        <v>0</v>
      </c>
      <c r="V28" s="627">
        <v>0</v>
      </c>
      <c r="W28" s="627"/>
      <c r="X28" s="627">
        <v>10</v>
      </c>
      <c r="Y28" s="627" t="s">
        <v>105</v>
      </c>
      <c r="Z28" s="629" t="s">
        <v>105</v>
      </c>
    </row>
    <row r="29" spans="1:26" s="581" customFormat="1" ht="25.5" hidden="1">
      <c r="A29" s="580"/>
      <c r="B29" s="775">
        <v>37002</v>
      </c>
      <c r="C29" s="775">
        <v>8720</v>
      </c>
      <c r="D29" s="628"/>
      <c r="E29" s="627"/>
      <c r="F29" s="627"/>
      <c r="G29" s="627" t="s">
        <v>959</v>
      </c>
      <c r="H29" s="627" t="s">
        <v>960</v>
      </c>
      <c r="I29" s="627"/>
      <c r="J29" s="774"/>
      <c r="K29" s="774"/>
      <c r="L29" s="627" t="s">
        <v>961</v>
      </c>
      <c r="M29" s="627">
        <v>1006</v>
      </c>
      <c r="N29" s="627">
        <v>4527</v>
      </c>
      <c r="O29" s="627">
        <v>6467.1428571428569</v>
      </c>
      <c r="P29" s="627">
        <v>12934.285714285716</v>
      </c>
      <c r="Q29" s="627">
        <v>0</v>
      </c>
      <c r="R29" s="627">
        <v>0</v>
      </c>
      <c r="S29" s="627">
        <v>0</v>
      </c>
      <c r="T29" s="627">
        <v>0</v>
      </c>
      <c r="U29" s="627">
        <v>0</v>
      </c>
      <c r="V29" s="627">
        <v>0</v>
      </c>
      <c r="W29" s="627"/>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1188</v>
      </c>
      <c r="N30" s="585">
        <f>SUM(N28:N29)</f>
        <v>5346</v>
      </c>
      <c r="O30" s="585">
        <f>SUM(O28:O29)</f>
        <v>7637.1428571428569</v>
      </c>
      <c r="P30" s="585">
        <f>SUM(P28:P29)</f>
        <v>15274.285714285716</v>
      </c>
      <c r="Q30" s="585">
        <f>SUM(Q28:Q29)</f>
        <v>0</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1188</v>
      </c>
      <c r="N33" s="590">
        <f>SUMIF($Z$28:$Z$29,"landbouw",N28:N29)</f>
        <v>5346</v>
      </c>
      <c r="O33" s="590">
        <f>SUMIF($Z$28:$Z$29,"landbouw",O28:O29)</f>
        <v>7637.1428571428569</v>
      </c>
      <c r="P33" s="590">
        <f>SUMIF($Z$28:$Z$29,"landbouw",P28:P29)</f>
        <v>15274.285714285716</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535</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0.58823529411764708</v>
      </c>
      <c r="C46" s="610">
        <f>IF(ISERROR(N30/(O30+N30)),0,N30/(N30+O30))</f>
        <v>0.41176470588235298</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535</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6289.4117647058838</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8984.8739495798327</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2021-11-11T13:34:58Z</dcterms:modified>
</cp:coreProperties>
</file>