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3C397C3B-6383-4C5C-A47D-C351304CE47E}"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V41" i="18"/>
  <c r="U41" i="18"/>
  <c r="T41" i="18"/>
  <c r="I9" i="18" s="1"/>
  <c r="S41" i="18"/>
  <c r="E9" i="18" s="1"/>
  <c r="R41" i="18"/>
  <c r="Q41" i="18"/>
  <c r="P41" i="18"/>
  <c r="C9" i="18" s="1"/>
  <c r="O41" i="18"/>
  <c r="N41" i="18"/>
  <c r="B9" i="18" s="1"/>
  <c r="M41" i="18"/>
  <c r="W35" i="18"/>
  <c r="V35" i="18"/>
  <c r="U35" i="18"/>
  <c r="T35" i="18"/>
  <c r="S35" i="18"/>
  <c r="R35" i="18"/>
  <c r="Q35" i="18"/>
  <c r="P35" i="18"/>
  <c r="O35" i="18"/>
  <c r="N35" i="18"/>
  <c r="M35"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B50" i="18" s="1"/>
  <c r="N32" i="18"/>
  <c r="M32" i="18"/>
  <c r="G22" i="18"/>
  <c r="F22" i="18"/>
  <c r="E22" i="18"/>
  <c r="D22" i="18"/>
  <c r="C22" i="18"/>
  <c r="L20" i="18"/>
  <c r="D20" i="18"/>
  <c r="G12" i="18"/>
  <c r="F12" i="18"/>
  <c r="E12" i="18"/>
  <c r="D12" i="18"/>
  <c r="C12" i="18"/>
  <c r="L10" i="18"/>
  <c r="K10" i="18"/>
  <c r="G10" i="18"/>
  <c r="D10" i="18"/>
  <c r="B8" i="18"/>
  <c r="B6" i="18"/>
  <c r="B5" i="18"/>
  <c r="B4" i="18"/>
  <c r="J9" i="18" l="1"/>
  <c r="F20" i="18"/>
  <c r="B17" i="18"/>
  <c r="C50" i="18"/>
  <c r="B53" i="18" s="1"/>
  <c r="C8" i="18" s="1"/>
  <c r="G20" i="18"/>
  <c r="K20" i="18"/>
  <c r="B10" i="18"/>
  <c r="O9" i="18"/>
  <c r="O19" i="18"/>
  <c r="O18" i="18"/>
  <c r="B20" i="18"/>
  <c r="I54" i="18"/>
  <c r="H17" i="18" s="1"/>
  <c r="H20" i="18" s="1"/>
  <c r="E54" i="18"/>
  <c r="E17" i="18" s="1"/>
  <c r="E20" i="18" s="1"/>
  <c r="G54" i="18"/>
  <c r="C54" i="18"/>
  <c r="H54" i="18"/>
  <c r="D54" i="18"/>
  <c r="F54" i="18"/>
  <c r="B54" i="18"/>
  <c r="C17" i="18" s="1"/>
  <c r="I53" i="18"/>
  <c r="H8" i="18" s="1"/>
  <c r="H10" i="18" s="1"/>
  <c r="C53" i="18"/>
  <c r="H53" i="18"/>
  <c r="D53" i="18"/>
  <c r="N6" i="17"/>
  <c r="L6" i="17"/>
  <c r="F6" i="17"/>
  <c r="D6" i="17"/>
  <c r="C6" i="17"/>
  <c r="N16" i="16"/>
  <c r="L16" i="16"/>
  <c r="F16" i="16"/>
  <c r="D16" i="16"/>
  <c r="C16" i="16"/>
  <c r="B16" i="16"/>
  <c r="B13" i="15"/>
  <c r="F53" i="18" l="1"/>
  <c r="E53" i="18"/>
  <c r="E8" i="18" s="1"/>
  <c r="E10" i="18" s="1"/>
  <c r="G53"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O31" i="48" s="1"/>
  <c r="N13" i="48"/>
  <c r="L13" i="48"/>
  <c r="K13" i="48"/>
  <c r="J13" i="48"/>
  <c r="I13" i="48"/>
  <c r="F13" i="48"/>
  <c r="C13" i="48"/>
  <c r="M8" i="48"/>
  <c r="K8" i="48"/>
  <c r="I8" i="48"/>
  <c r="H8" i="48"/>
  <c r="G8" i="48"/>
  <c r="P17" i="48"/>
  <c r="P31" i="48" s="1"/>
  <c r="O17" i="48"/>
  <c r="O25" i="48" s="1"/>
  <c r="K4" i="48"/>
  <c r="I4" i="48"/>
  <c r="H4" i="48"/>
  <c r="G4" i="48"/>
  <c r="H11" i="48"/>
  <c r="G11" i="48"/>
  <c r="O32"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<sst xmlns="http://schemas.openxmlformats.org/spreadsheetml/2006/main" count="2588" uniqueCount="967">
  <si>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</si>
  <si>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</si>
  <si>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</si>
  <si>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</si>
  <si>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</si>
  <si>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</si>
  <si>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</si>
  <si>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</si>
  <si>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</si>
  <si>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</si>
  <si>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</si>
  <si>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</si>
  <si>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</si>
  <si>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</si>
  <si>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</si>
  <si>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</si>
  <si>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</si>
  <si>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</si>
  <si>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</si>
  <si>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</si>
  <si>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</si>
  <si>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</si>
  <si>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</si>
  <si>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</si>
  <si>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</si>
  <si>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</si>
  <si>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</si>
  <si>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</si>
  <si>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</si>
  <si>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</si>
  <si>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</si>
  <si>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</si>
  <si>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</si>
  <si>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</si>
  <si>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</si>
  <si>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</si>
  <si>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</si>
  <si>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</si>
  <si>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</si>
  <si>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</si>
  <si>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</si>
  <si>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</si>
  <si>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</si>
  <si>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</si>
  <si>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</si>
  <si>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</si>
  <si>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</si>
  <si>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</si>
  <si>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</si>
  <si>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</si>
  <si>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</si>
  <si>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</si>
  <si>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</si>
  <si>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</si>
  <si>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</si>
  <si>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</si>
  <si>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</si>
  <si>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</si>
  <si>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</si>
  <si>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</si>
  <si>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</si>
  <si>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</si>
  <si>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</si>
  <si>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</si>
  <si>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</si>
  <si>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</si>
  <si>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</si>
  <si>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</si>
  <si>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</si>
  <si>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</si>
  <si>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</si>
  <si>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</si>
  <si>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</si>
  <si>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</si>
  <si>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</si>
  <si>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</si>
  <si>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</si>
  <si>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</si>
  <si>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</si>
  <si>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</si>
  <si>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</si>
  <si>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</si>
  <si>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</si>
  <si>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</si>
  <si>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</si>
  <si>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</si>
  <si>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</si>
  <si>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</si>
  <si>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</si>
  <si>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</si>
  <si>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</si>
  <si>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</si>
  <si>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</si>
  <si>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</si>
  <si>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</si>
  <si>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</si>
  <si>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</si>
  <si>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</si>
  <si>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</si>
  <si>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</si>
  <si>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</si>
  <si>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</si>
  <si>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</si>
  <si>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</si>
  <si>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</si>
  <si>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</si>
  <si>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</si>
  <si>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</si>
  <si>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</si>
  <si>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</si>
  <si>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</si>
  <si>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</si>
  <si>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</si>
  <si>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</si>
  <si>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</si>
  <si>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</si>
  <si>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</si>
  <si>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</si>
  <si>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</si>
  <si>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</si>
  <si>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</si>
  <si>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</si>
  <si>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</si>
  <si>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</si>
  <si>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</si>
  <si>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</si>
  <si>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</si>
  <si>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</si>
  <si>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</si>
  <si>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</si>
  <si>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</si>
  <si>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</si>
  <si>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</si>
  <si>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</si>
  <si>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</si>
  <si>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</si>
  <si>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</si>
  <si>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</si>
  <si>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</si>
  <si>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</si>
  <si>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</si>
  <si>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</si>
  <si>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</si>
  <si>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</si>
  <si>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</si>
  <si>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</si>
  <si>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</si>
  <si>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</si>
  <si>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</si>
  <si>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</si>
  <si>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</si>
  <si>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</si>
  <si>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</si>
  <si>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</si>
  <si>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</si>
  <si>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</si>
  <si>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</si>
  <si>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</si>
  <si>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</si>
  <si>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</si>
  <si>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</si>
  <si>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</si>
  <si>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</si>
  <si>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</si>
  <si>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</si>
  <si>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</si>
  <si>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</si>
  <si>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</si>
  <si>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</si>
  <si>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</si>
  <si>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</si>
  <si>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</si>
  <si>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</si>
  <si>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</si>
  <si>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</si>
  <si>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</si>
  <si>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</si>
  <si>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</si>
  <si>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</si>
  <si>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</si>
  <si>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</si>
  <si>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</si>
  <si>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</si>
  <si>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</si>
  <si>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</si>
  <si>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</si>
  <si>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</si>
  <si>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</si>
  <si>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</si>
  <si>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</si>
  <si>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</si>
  <si>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</si>
  <si>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</si>
  <si>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</si>
  <si>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</si>
  <si>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</si>
  <si>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</si>
  <si>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</si>
  <si>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</si>
  <si>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</si>
  <si>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</si>
  <si>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</si>
  <si>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</si>
  <si>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</si>
  <si>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</si>
  <si>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</si>
  <si>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</si>
  <si>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</si>
  <si>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</si>
  <si>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</si>
  <si>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</si>
  <si>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</si>
  <si>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</si>
  <si>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</si>
  <si>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</si>
  <si>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</si>
  <si>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</si>
  <si>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</si>
  <si>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</si>
  <si>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</si>
  <si>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</si>
  <si>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</si>
  <si>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</si>
  <si>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</si>
  <si>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</si>
  <si>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</si>
  <si>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</si>
  <si>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</si>
  <si>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</si>
  <si>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</si>
  <si>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</si>
  <si>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</si>
  <si>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</si>
  <si>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</si>
  <si>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</si>
  <si>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</si>
  <si>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</si>
  <si>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</si>
  <si>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</si>
  <si>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</si>
  <si>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</si>
  <si>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</si>
  <si>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</si>
  <si>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</si>
  <si>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</si>
  <si>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</si>
  <si>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</si>
  <si>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</si>
  <si>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</si>
  <si>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</si>
  <si>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</si>
  <si>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</si>
  <si>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</si>
  <si>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</si>
  <si>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</si>
  <si>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</si>
  <si>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</si>
  <si>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</si>
  <si>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</si>
  <si>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</si>
  <si>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</si>
  <si>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</si>
  <si>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</si>
  <si>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</si>
  <si>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</si>
  <si>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</si>
  <si>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</si>
  <si>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</si>
  <si>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</si>
  <si>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</si>
  <si>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</si>
  <si>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</si>
  <si>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</si>
  <si>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</si>
  <si>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</si>
  <si>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</si>
  <si>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</si>
  <si>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</si>
  <si>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</si>
  <si>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</si>
  <si>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</si>
  <si>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</si>
  <si>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</si>
  <si>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</si>
  <si>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</si>
  <si>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</si>
  <si>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</si>
  <si>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</si>
  <si>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</si>
  <si>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</si>
  <si>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</si>
  <si>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</si>
  <si>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</si>
  <si>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</si>
  <si>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</si>
  <si>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</si>
  <si>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</si>
  <si>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</si>
  <si>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</si>
  <si>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</si>
  <si>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</si>
  <si>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</si>
  <si>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</si>
  <si>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</si>
  <si>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</si>
  <si>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</si>
  <si>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</si>
  <si>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</si>
  <si>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</si>
  <si>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</si>
  <si>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</si>
  <si>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</si>
  <si>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</si>
  <si>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</si>
  <si>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</si>
  <si>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</si>
  <si>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</si>
  <si>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</si>
  <si>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</si>
  <si>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</si>
  <si>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</si>
  <si>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</si>
  <si>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</si>
  <si>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</si>
  <si>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</si>
  <si>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</si>
  <si>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</si>
  <si>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</si>
  <si>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</si>
  <si>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</si>
  <si>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</si>
  <si>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</si>
  <si>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</si>
  <si>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</si>
  <si>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</si>
  <si>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</si>
  <si>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</si>
  <si>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</si>
  <si>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</si>
  <si>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</si>
  <si>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</si>
  <si>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</si>
  <si>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</si>
  <si>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</si>
  <si>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</si>
  <si>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</si>
  <si>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</si>
  <si>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</si>
  <si>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</si>
  <si>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</si>
  <si>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</si>
  <si>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</si>
  <si>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</si>
  <si>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</si>
  <si>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</si>
  <si>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</si>
  <si>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</si>
  <si>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</si>
  <si>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</si>
  <si>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</si>
  <si>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</si>
  <si>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</si>
  <si>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</si>
  <si>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</si>
  <si>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</si>
  <si>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</si>
  <si>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</si>
  <si>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</si>
  <si>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</si>
  <si>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</si>
  <si>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</si>
  <si>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</si>
  <si>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</si>
  <si>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</si>
  <si>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</si>
  <si>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</si>
  <si>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</si>
  <si>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</si>
  <si>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</si>
  <si>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</si>
  <si>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</si>
  <si>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</si>
  <si>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</si>
  <si>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</si>
  <si>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</si>
  <si>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</si>
  <si>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</si>
  <si>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</si>
  <si>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</si>
  <si>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</si>
  <si>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</si>
  <si>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</si>
  <si>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</si>
  <si>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</si>
  <si>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</si>
  <si>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</si>
  <si>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</si>
  <si>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</si>
  <si>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</si>
  <si>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</si>
  <si>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</si>
  <si>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</si>
  <si>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</si>
  <si>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</si>
  <si>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</si>
  <si>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</si>
  <si>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</si>
  <si>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</si>
  <si>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</si>
  <si>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</si>
  <si>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</si>
  <si>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</si>
  <si>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</si>
  <si>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</si>
  <si>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</si>
  <si>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</si>
  <si>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</si>
  <si>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</si>
  <si>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</si>
  <si>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</si>
  <si>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</si>
  <si>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</si>
  <si>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</si>
  <si>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</si>
  <si>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</si>
  <si>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</si>
  <si>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</si>
  <si>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</si>
  <si>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</si>
  <si>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</si>
  <si>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</si>
  <si>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</si>
  <si>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</si>
  <si>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</si>
  <si>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</si>
  <si>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</si>
  <si>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</si>
  <si>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</si>
  <si>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</si>
  <si>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</si>
  <si>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</si>
  <si>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</si>
  <si>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</si>
  <si>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</si>
  <si>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</si>
  <si>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</si>
  <si>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</si>
  <si>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</si>
  <si>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</si>
  <si>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</si>
  <si>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</si>
  <si>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</si>
  <si>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</si>
  <si>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</si>
  <si>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</si>
  <si>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</si>
  <si>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</si>
  <si>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</si>
  <si>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</si>
  <si>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</si>
  <si>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</si>
  <si>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</si>
  <si>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</si>
  <si>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</si>
  <si>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</si>
  <si>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</si>
  <si>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</si>
  <si>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</si>
  <si>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</si>
  <si>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</si>
  <si>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</si>
  <si>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</si>
  <si>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</si>
  <si>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</si>
  <si>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</si>
  <si>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</si>
  <si>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</si>
  <si>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</si>
  <si>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</si>
  <si>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</si>
  <si>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</si>
  <si>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</si>
  <si>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</si>
  <si>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</si>
  <si>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</si>
  <si>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</si>
  <si>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</si>
  <si>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</si>
  <si>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</si>
  <si>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</si>
  <si>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</si>
  <si>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</si>
  <si>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</si>
  <si>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</si>
  <si>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</si>
  <si>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</si>
  <si>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</si>
  <si>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</si>
  <si>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</si>
  <si>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</si>
  <si>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</si>
  <si>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</si>
  <si>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</si>
  <si>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</si>
  <si>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</si>
  <si>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</si>
  <si>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</si>
  <si>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</si>
  <si>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</si>
  <si>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</si>
  <si>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</si>
  <si>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</si>
  <si>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</si>
  <si>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</si>
  <si>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</si>
  <si>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</si>
  <si>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</si>
  <si>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</si>
  <si>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</si>
  <si>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</si>
  <si>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</si>
  <si>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</si>
  <si>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</si>
  <si>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</si>
  <si>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</si>
  <si>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</si>
  <si>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</si>
  <si>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</si>
  <si>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</si>
  <si>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</si>
  <si>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</si>
  <si>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</si>
  <si>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</si>
  <si>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</si>
  <si>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</si>
  <si>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</si>
  <si>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</si>
  <si>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</si>
  <si>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</si>
  <si>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</si>
  <si>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</si>
  <si>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</si>
  <si>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</si>
  <si>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</si>
  <si>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</si>
  <si>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</si>
  <si>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</si>
  <si>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</si>
  <si>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</si>
  <si>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</si>
  <si>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</si>
  <si>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</si>
  <si>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</si>
  <si>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</si>
  <si>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</si>
  <si>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</si>
  <si>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</si>
  <si>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</si>
  <si>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</si>
  <si>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</si>
  <si>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</si>
  <si>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</si>
  <si>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</si>
  <si>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</si>
  <si>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</si>
  <si>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</si>
  <si>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</si>
  <si>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</si>
  <si>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</si>
  <si>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</si>
  <si>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</si>
  <si>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</si>
  <si>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</si>
  <si>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</si>
  <si>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</si>
  <si>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</si>
  <si>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</si>
  <si>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</si>
  <si>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</si>
  <si>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</si>
  <si>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</si>
  <si>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</si>
  <si>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</si>
  <si>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</si>
  <si>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</si>
  <si>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</si>
  <si>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</si>
  <si>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</si>
  <si>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</si>
  <si>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</si>
  <si>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</si>
  <si>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</si>
  <si>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</si>
  <si>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</si>
  <si>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</si>
  <si>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</si>
  <si>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</si>
  <si>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</si>
  <si>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</si>
  <si>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</si>
  <si>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</si>
  <si>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</si>
  <si>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</si>
  <si>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</si>
  <si>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</si>
  <si>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</si>
  <si>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</si>
  <si>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</si>
  <si>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</si>
  <si>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</si>
  <si>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</si>
  <si>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</si>
  <si>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</si>
  <si>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</si>
  <si>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</si>
  <si>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</si>
  <si>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</si>
  <si>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</si>
  <si>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</si>
  <si>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</si>
  <si>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</si>
  <si>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</si>
  <si>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</si>
  <si>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</si>
  <si>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</si>
  <si>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</si>
  <si>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</si>
  <si>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</si>
  <si>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</si>
  <si>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</si>
  <si>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</si>
  <si>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</si>
  <si>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</si>
  <si>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</si>
  <si>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</si>
  <si>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</si>
  <si>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</si>
  <si>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</si>
  <si>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</si>
  <si>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</si>
  <si>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</si>
  <si>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</si>
  <si>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</si>
  <si>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</si>
  <si>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</si>
  <si>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</si>
  <si>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</si>
  <si>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</si>
  <si>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</si>
  <si>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</si>
  <si>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</si>
  <si>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</si>
  <si>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</si>
  <si>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</si>
  <si>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</si>
  <si>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</si>
  <si>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</si>
  <si>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</si>
  <si>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</si>
  <si>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</si>
  <si>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</si>
  <si>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</si>
  <si>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</si>
  <si>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</si>
  <si>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</si>
  <si>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</si>
  <si>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</si>
  <si>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</si>
  <si>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</si>
  <si>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</si>
  <si>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</si>
  <si>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</si>
  <si>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</si>
  <si>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</si>
  <si>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</si>
  <si>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</si>
  <si>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</si>
  <si>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</si>
  <si>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</si>
  <si>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</si>
  <si>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</si>
  <si>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</si>
  <si>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</si>
  <si>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</si>
  <si>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</si>
  <si>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</si>
  <si>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</si>
  <si>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</si>
  <si>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</si>
  <si>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</si>
  <si>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</si>
  <si>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</si>
  <si>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</si>
  <si>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</si>
  <si>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</si>
  <si>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</si>
  <si>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</si>
  <si>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</si>
  <si>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</si>
  <si>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</si>
  <si>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</si>
  <si>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</si>
  <si>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</si>
  <si>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</si>
  <si>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</si>
  <si>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</si>
  <si>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</si>
  <si>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</si>
  <si>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</si>
  <si>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</si>
  <si>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</si>
  <si>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</si>
  <si>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</si>
  <si>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</si>
  <si>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</si>
  <si>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</si>
  <si>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</si>
  <si>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</si>
  <si>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</si>
  <si>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</si>
  <si>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</si>
  <si>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</si>
  <si>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</si>
  <si>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</si>
  <si>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</si>
  <si>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</si>
  <si>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</si>
  <si>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</si>
  <si>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</si>
  <si>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</si>
  <si>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</si>
  <si>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</si>
  <si>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</si>
  <si>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</si>
  <si>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</si>
  <si>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</si>
  <si>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</si>
  <si>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</si>
  <si>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</si>
  <si>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</si>
  <si>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</si>
  <si>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</si>
  <si>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</si>
  <si>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</si>
  <si>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</si>
  <si>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</si>
  <si>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</si>
  <si>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</si>
  <si>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</si>
  <si>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</si>
  <si>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</si>
  <si>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</si>
  <si>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</si>
  <si>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</si>
  <si>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</si>
  <si>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</si>
  <si>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</si>
  <si>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</si>
  <si>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</si>
  <si>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</si>
  <si>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</si>
  <si>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</si>
  <si>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</si>
  <si>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</si>
  <si>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</si>
  <si>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</si>
  <si>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</si>
  <si>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</si>
  <si>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</si>
  <si>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</si>
  <si>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</si>
  <si>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</si>
  <si>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</si>
  <si>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</si>
  <si>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</si>
  <si>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</si>
  <si>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</si>
  <si>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</si>
  <si>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</si>
  <si>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</si>
  <si>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</si>
  <si>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</si>
  <si>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</si>
  <si>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</si>
  <si>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</si>
  <si>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</si>
  <si>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</si>
  <si>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</si>
  <si>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</si>
  <si>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</si>
  <si>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</si>
  <si>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</si>
  <si>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</si>
  <si>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</si>
  <si>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</si>
  <si>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</si>
  <si>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</si>
  <si>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</si>
  <si>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</si>
  <si>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</si>
  <si>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</si>
  <si>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</si>
  <si>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</si>
  <si>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</si>
  <si>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</si>
  <si>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</si>
  <si>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</si>
  <si>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</si>
  <si>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</si>
  <si>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</si>
  <si>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</si>
  <si>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</si>
  <si>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</si>
  <si>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</si>
  <si>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</si>
  <si>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</si>
  <si>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</si>
  <si>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</si>
  <si>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</si>
  <si>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</si>
  <si>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</si>
  <si>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</si>
  <si>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</si>
  <si>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</si>
  <si>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</si>
  <si>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</si>
  <si>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</si>
  <si>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</si>
  <si>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</si>
  <si>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</si>
  <si>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</si>
  <si>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</si>
  <si>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</si>
  <si>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</si>
  <si>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</si>
  <si>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</si>
  <si>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</si>
  <si>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</si>
  <si>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</si>
  <si>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</si>
  <si>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</si>
  <si>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</si>
  <si>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</si>
  <si>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</si>
  <si>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</si>
  <si>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</si>
  <si>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</si>
  <si>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</si>
  <si>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</si>
  <si>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</si>
  <si>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</si>
  <si>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</si>
  <si>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</si>
  <si>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</si>
  <si>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</si>
  <si>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</si>
  <si>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</si>
  <si>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</si>
  <si>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</si>
  <si>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</si>
  <si>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</si>
  <si>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</si>
  <si>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</si>
  <si>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</si>
  <si>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</si>
  <si>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</si>
  <si>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</si>
  <si>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</si>
  <si>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</si>
  <si>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</si>
  <si>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</si>
  <si>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</si>
  <si>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</si>
  <si>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</si>
  <si>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</si>
  <si>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</si>
  <si>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</si>
  <si>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</si>
  <si>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</si>
  <si>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</si>
  <si>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</si>
  <si>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</si>
  <si>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</si>
  <si>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</si>
  <si>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</si>
  <si>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</si>
  <si>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</si>
  <si>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</si>
  <si>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</si>
  <si>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</si>
  <si>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</si>
  <si>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</si>
  <si>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</si>
  <si>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</si>
  <si>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</si>
  <si>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</si>
  <si>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</si>
  <si>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</si>
  <si>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</si>
  <si>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</si>
  <si>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</si>
  <si>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</si>
  <si>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</si>
  <si>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</si>
  <si>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</si>
  <si>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</si>
  <si>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</si>
  <si>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</si>
  <si>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</si>
  <si>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</si>
  <si>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</si>
  <si>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</si>
  <si>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</si>
  <si>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</si>
  <si>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</si>
  <si>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</si>
  <si>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</si>
  <si>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</si>
  <si>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</si>
  <si>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</si>
  <si>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</si>
  <si>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</si>
  <si>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</si>
  <si>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</si>
  <si>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</si>
  <si>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</si>
  <si>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</si>
  <si>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</si>
  <si>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</si>
  <si>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</si>
  <si>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</si>
  <si>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</si>
  <si>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</si>
  <si>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</si>
  <si>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</si>
  <si>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</si>
  <si>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</si>
  <si>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</si>
  <si>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</si>
  <si>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</si>
  <si>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</si>
  <si>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</si>
  <si>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</si>
  <si>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</si>
  <si>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</si>
  <si>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</si>
  <si>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</si>
  <si>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</si>
  <si>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</si>
  <si>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</si>
  <si>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</si>
  <si>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</si>
  <si>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</si>
  <si>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36015</t>
  </si>
  <si>
    <t>ROESELARE</t>
  </si>
  <si>
    <t>Paarden&amp;pony's 200 - 600 kg</t>
  </si>
  <si>
    <t>Paarden&amp;pony's &lt; 200 kg</t>
  </si>
  <si>
    <t>Fluvius</t>
  </si>
  <si>
    <t>referentietaak LNE (2017); Jaarverslag De Lijn</t>
  </si>
  <si>
    <t>interne verbrandingsmotor</t>
  </si>
  <si>
    <t>WKK interne verbrandinsgmotor (gas)</t>
  </si>
  <si>
    <t>GASELWEST</t>
  </si>
  <si>
    <t>biogas - hoofdzakelijk agrarische stromen</t>
  </si>
  <si>
    <t>niet WKK interne verbrandingsmotor (gas)</t>
  </si>
  <si>
    <t>Gaselwest</t>
  </si>
  <si>
    <t>biogas - overig</t>
  </si>
  <si>
    <t>biogas - stortgas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</si>
</sst>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450808CC-0D05-45C9-A2E8-00E24EB95047}"/>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36015</v>
      </c>
      <c r="B6" s="384"/>
      <c r="C6" s="385"/>
    </row>
    <row r="7" spans="1:7" s="382" customFormat="1" ht="15.75" customHeight="1">
      <c r="A7" s="386" t="str">
        <f>txtMunicipality</f>
        <v>ROESELARE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174014.3971906527</v>
      </c>
      <c r="D10" s="674">
        <f ca="1">tertiair!C16</f>
        <v>41355.000000000007</v>
      </c>
      <c r="E10" s="674">
        <f ca="1">tertiair!D16</f>
        <v>193623.92629320611</v>
      </c>
      <c r="F10" s="674">
        <f>tertiair!E16</f>
        <v>1171.9081688514423</v>
      </c>
      <c r="G10" s="674">
        <f ca="1">tertiair!F16</f>
        <v>29242.484720132928</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3.1266666666666669</v>
      </c>
      <c r="Q10" s="675">
        <f>tertiair!P16</f>
        <v>171.6</v>
      </c>
      <c r="R10" s="677">
        <f ca="1">SUM(C10:Q10)</f>
        <v>439582.44303950988</v>
      </c>
      <c r="S10" s="68"/>
    </row>
    <row r="11" spans="1:19" s="443" customFormat="1">
      <c r="A11" s="789" t="s">
        <v>214</v>
      </c>
      <c r="B11" s="794"/>
      <c r="C11" s="674">
        <f>huishoudens!B8</f>
        <v>97021.455672218843</v>
      </c>
      <c r="D11" s="674">
        <f>huishoudens!C8</f>
        <v>0</v>
      </c>
      <c r="E11" s="674">
        <f>huishoudens!D8</f>
        <v>289896.08942123555</v>
      </c>
      <c r="F11" s="674">
        <f>huishoudens!E8</f>
        <v>3116.5148147727523</v>
      </c>
      <c r="G11" s="674">
        <f>huishoudens!F8</f>
        <v>95013.488537856741</v>
      </c>
      <c r="H11" s="674">
        <f>huishoudens!G8</f>
        <v>0</v>
      </c>
      <c r="I11" s="674">
        <f>huishoudens!H8</f>
        <v>0</v>
      </c>
      <c r="J11" s="674">
        <f>huishoudens!I8</f>
        <v>0</v>
      </c>
      <c r="K11" s="674">
        <f>huishoudens!J8</f>
        <v>1723.9866424651595</v>
      </c>
      <c r="L11" s="674">
        <f>huishoudens!K8</f>
        <v>0</v>
      </c>
      <c r="M11" s="674">
        <f>huishoudens!L8</f>
        <v>0</v>
      </c>
      <c r="N11" s="674">
        <f>huishoudens!M8</f>
        <v>0</v>
      </c>
      <c r="O11" s="674">
        <f>huishoudens!N8</f>
        <v>34030.900149878522</v>
      </c>
      <c r="P11" s="674">
        <f>huishoudens!O8</f>
        <v>398.65000000000003</v>
      </c>
      <c r="Q11" s="675">
        <f>huishoudens!P8</f>
        <v>552.93333333333339</v>
      </c>
      <c r="R11" s="677">
        <f>SUM(C11:Q11)</f>
        <v>521754.01857176097</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209665.29785189129</v>
      </c>
      <c r="D13" s="674">
        <f>industrie!C18</f>
        <v>0</v>
      </c>
      <c r="E13" s="674">
        <f>industrie!D18</f>
        <v>235145.90499515983</v>
      </c>
      <c r="F13" s="674">
        <f>industrie!E18</f>
        <v>3121.9062230894988</v>
      </c>
      <c r="G13" s="674">
        <f>industrie!F18</f>
        <v>41991.100447917706</v>
      </c>
      <c r="H13" s="674">
        <f>industrie!G18</f>
        <v>0</v>
      </c>
      <c r="I13" s="674">
        <f>industrie!H18</f>
        <v>0</v>
      </c>
      <c r="J13" s="674">
        <f>industrie!I18</f>
        <v>0</v>
      </c>
      <c r="K13" s="674">
        <f>industrie!J18</f>
        <v>893.32892224222837</v>
      </c>
      <c r="L13" s="674">
        <f>industrie!K18</f>
        <v>0</v>
      </c>
      <c r="M13" s="674">
        <f>industrie!L18</f>
        <v>0</v>
      </c>
      <c r="N13" s="674">
        <f>industrie!M18</f>
        <v>0</v>
      </c>
      <c r="O13" s="674">
        <f>industrie!N18</f>
        <v>12738.07802708081</v>
      </c>
      <c r="P13" s="674">
        <f>industrie!O18</f>
        <v>0</v>
      </c>
      <c r="Q13" s="675">
        <f>industrie!P18</f>
        <v>0</v>
      </c>
      <c r="R13" s="677">
        <f>SUM(C13:Q13)</f>
        <v>503555.6164673813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480701.15071476286</v>
      </c>
      <c r="D16" s="707">
        <f t="shared" ref="D16:R16" ca="1" si="0">SUM(D9:D15)</f>
        <v>41355.000000000007</v>
      </c>
      <c r="E16" s="707">
        <f t="shared" ca="1" si="0"/>
        <v>718665.92070960149</v>
      </c>
      <c r="F16" s="707">
        <f t="shared" si="0"/>
        <v>7410.3292067136936</v>
      </c>
      <c r="G16" s="707">
        <f t="shared" ca="1" si="0"/>
        <v>166247.07370590739</v>
      </c>
      <c r="H16" s="707">
        <f t="shared" si="0"/>
        <v>0</v>
      </c>
      <c r="I16" s="707">
        <f t="shared" si="0"/>
        <v>0</v>
      </c>
      <c r="J16" s="707">
        <f t="shared" si="0"/>
        <v>0</v>
      </c>
      <c r="K16" s="707">
        <f t="shared" si="0"/>
        <v>2617.3155647073881</v>
      </c>
      <c r="L16" s="707">
        <f t="shared" si="0"/>
        <v>0</v>
      </c>
      <c r="M16" s="707">
        <f t="shared" ca="1" si="0"/>
        <v>0</v>
      </c>
      <c r="N16" s="707">
        <f t="shared" si="0"/>
        <v>0</v>
      </c>
      <c r="O16" s="707">
        <f t="shared" ca="1" si="0"/>
        <v>46768.978176959332</v>
      </c>
      <c r="P16" s="707">
        <f t="shared" si="0"/>
        <v>401.7766666666667</v>
      </c>
      <c r="Q16" s="707">
        <f t="shared" si="0"/>
        <v>724.53333333333342</v>
      </c>
      <c r="R16" s="707">
        <f t="shared" ca="1" si="0"/>
        <v>1464892.0780786523</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27.220122775227281</v>
      </c>
      <c r="D19" s="674">
        <f>transport!C54</f>
        <v>0</v>
      </c>
      <c r="E19" s="674">
        <f>transport!D54</f>
        <v>0</v>
      </c>
      <c r="F19" s="674">
        <f>transport!E54</f>
        <v>0</v>
      </c>
      <c r="G19" s="674">
        <f>transport!F54</f>
        <v>0</v>
      </c>
      <c r="H19" s="674">
        <f>transport!G54</f>
        <v>5429.1071537699117</v>
      </c>
      <c r="I19" s="674">
        <f>transport!H54</f>
        <v>0</v>
      </c>
      <c r="J19" s="674">
        <f>transport!I54</f>
        <v>0</v>
      </c>
      <c r="K19" s="674">
        <f>transport!J54</f>
        <v>0</v>
      </c>
      <c r="L19" s="674">
        <f>transport!K54</f>
        <v>0</v>
      </c>
      <c r="M19" s="674">
        <f>transport!L54</f>
        <v>0</v>
      </c>
      <c r="N19" s="674">
        <f>transport!M54</f>
        <v>239.96075387292871</v>
      </c>
      <c r="O19" s="674">
        <f>transport!N54</f>
        <v>0</v>
      </c>
      <c r="P19" s="674">
        <f>transport!O54</f>
        <v>0</v>
      </c>
      <c r="Q19" s="675">
        <f>transport!P54</f>
        <v>0</v>
      </c>
      <c r="R19" s="677">
        <f>SUM(C19:Q19)</f>
        <v>5696.288030418068</v>
      </c>
      <c r="S19" s="68"/>
    </row>
    <row r="20" spans="1:19" s="443" customFormat="1">
      <c r="A20" s="789" t="s">
        <v>296</v>
      </c>
      <c r="B20" s="794"/>
      <c r="C20" s="674">
        <f>transport!B14</f>
        <v>10.851455376072018</v>
      </c>
      <c r="D20" s="674">
        <f>transport!C14</f>
        <v>0</v>
      </c>
      <c r="E20" s="674">
        <f>transport!D14</f>
        <v>13.768261117281732</v>
      </c>
      <c r="F20" s="674">
        <f>transport!E14</f>
        <v>919.94688633285023</v>
      </c>
      <c r="G20" s="674">
        <f>transport!F14</f>
        <v>0</v>
      </c>
      <c r="H20" s="674">
        <f>transport!G14</f>
        <v>228664.83392020743</v>
      </c>
      <c r="I20" s="674">
        <f>transport!H14</f>
        <v>33410.23505174437</v>
      </c>
      <c r="J20" s="674">
        <f>transport!I14</f>
        <v>0</v>
      </c>
      <c r="K20" s="674">
        <f>transport!J14</f>
        <v>0</v>
      </c>
      <c r="L20" s="674">
        <f>transport!K14</f>
        <v>0</v>
      </c>
      <c r="M20" s="674">
        <f>transport!L14</f>
        <v>0</v>
      </c>
      <c r="N20" s="674">
        <f>transport!M14</f>
        <v>11704.95790686798</v>
      </c>
      <c r="O20" s="674">
        <f>transport!N14</f>
        <v>0</v>
      </c>
      <c r="P20" s="674">
        <f>transport!O14</f>
        <v>0</v>
      </c>
      <c r="Q20" s="675">
        <f>transport!P14</f>
        <v>0</v>
      </c>
      <c r="R20" s="677">
        <f>SUM(C20:Q20)</f>
        <v>274724.59348164598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38.071578151299299</v>
      </c>
      <c r="D22" s="792">
        <f t="shared" ref="D22:R22" si="1">SUM(D18:D21)</f>
        <v>0</v>
      </c>
      <c r="E22" s="792">
        <f t="shared" si="1"/>
        <v>13.768261117281732</v>
      </c>
      <c r="F22" s="792">
        <f t="shared" si="1"/>
        <v>919.94688633285023</v>
      </c>
      <c r="G22" s="792">
        <f t="shared" si="1"/>
        <v>0</v>
      </c>
      <c r="H22" s="792">
        <f t="shared" si="1"/>
        <v>234093.94107397733</v>
      </c>
      <c r="I22" s="792">
        <f t="shared" si="1"/>
        <v>33410.23505174437</v>
      </c>
      <c r="J22" s="792">
        <f t="shared" si="1"/>
        <v>0</v>
      </c>
      <c r="K22" s="792">
        <f t="shared" si="1"/>
        <v>0</v>
      </c>
      <c r="L22" s="792">
        <f t="shared" si="1"/>
        <v>0</v>
      </c>
      <c r="M22" s="792">
        <f t="shared" si="1"/>
        <v>0</v>
      </c>
      <c r="N22" s="792">
        <f t="shared" si="1"/>
        <v>11944.918660740908</v>
      </c>
      <c r="O22" s="792">
        <f t="shared" si="1"/>
        <v>0</v>
      </c>
      <c r="P22" s="792">
        <f t="shared" si="1"/>
        <v>0</v>
      </c>
      <c r="Q22" s="792">
        <f t="shared" si="1"/>
        <v>0</v>
      </c>
      <c r="R22" s="792">
        <f t="shared" si="1"/>
        <v>280420.88151206402</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16418.231284187754</v>
      </c>
      <c r="D24" s="674">
        <f>+landbouw!C8</f>
        <v>0</v>
      </c>
      <c r="E24" s="674">
        <f>+landbouw!D8</f>
        <v>2827.053981431211</v>
      </c>
      <c r="F24" s="674">
        <f>+landbouw!E8</f>
        <v>154.67073927286197</v>
      </c>
      <c r="G24" s="674">
        <f>+landbouw!F8</f>
        <v>53578.137412742384</v>
      </c>
      <c r="H24" s="674">
        <f>+landbouw!G8</f>
        <v>0</v>
      </c>
      <c r="I24" s="674">
        <f>+landbouw!H8</f>
        <v>0</v>
      </c>
      <c r="J24" s="674">
        <f>+landbouw!I8</f>
        <v>0</v>
      </c>
      <c r="K24" s="674">
        <f>+landbouw!J8</f>
        <v>2031.0150681156508</v>
      </c>
      <c r="L24" s="674">
        <f>+landbouw!K8</f>
        <v>0</v>
      </c>
      <c r="M24" s="674">
        <f>+landbouw!L8</f>
        <v>0</v>
      </c>
      <c r="N24" s="674">
        <f>+landbouw!M8</f>
        <v>0</v>
      </c>
      <c r="O24" s="674">
        <f>+landbouw!N8</f>
        <v>0</v>
      </c>
      <c r="P24" s="674">
        <f>+landbouw!O8</f>
        <v>0</v>
      </c>
      <c r="Q24" s="675">
        <f>+landbouw!P8</f>
        <v>0</v>
      </c>
      <c r="R24" s="677">
        <f>SUM(C24:Q24)</f>
        <v>75009.108485749864</v>
      </c>
      <c r="S24" s="68"/>
    </row>
    <row r="25" spans="1:19" s="443" customFormat="1" ht="15" thickBot="1">
      <c r="A25" s="811" t="s">
        <v>873</v>
      </c>
      <c r="B25" s="977"/>
      <c r="C25" s="978">
        <f>IF(Onbekend_ele_kWh="---",0,Onbekend_ele_kWh)/1000+IF(REST_rest_ele_kWh="---",0,REST_rest_ele_kWh)/1000</f>
        <v>4892.3060425127596</v>
      </c>
      <c r="D25" s="978"/>
      <c r="E25" s="978">
        <f>IF(onbekend_gas_kWh="---",0,onbekend_gas_kWh)/1000+IF(REST_rest_gas_kWh="---",0,REST_rest_gas_kWh)/1000</f>
        <v>15433.852277283899</v>
      </c>
      <c r="F25" s="978"/>
      <c r="G25" s="978"/>
      <c r="H25" s="978"/>
      <c r="I25" s="978"/>
      <c r="J25" s="978"/>
      <c r="K25" s="978"/>
      <c r="L25" s="978"/>
      <c r="M25" s="978"/>
      <c r="N25" s="978"/>
      <c r="O25" s="978"/>
      <c r="P25" s="978"/>
      <c r="Q25" s="979"/>
      <c r="R25" s="677">
        <f>SUM(C25:Q25)</f>
        <v>20326.158319796657</v>
      </c>
      <c r="S25" s="68"/>
    </row>
    <row r="26" spans="1:19" s="443" customFormat="1" ht="15.75" thickBot="1">
      <c r="A26" s="680" t="s">
        <v>874</v>
      </c>
      <c r="B26" s="797"/>
      <c r="C26" s="792">
        <f>SUM(C24:C25)</f>
        <v>21310.537326700512</v>
      </c>
      <c r="D26" s="792">
        <f t="shared" ref="D26:R26" si="2">SUM(D24:D25)</f>
        <v>0</v>
      </c>
      <c r="E26" s="792">
        <f t="shared" si="2"/>
        <v>18260.906258715109</v>
      </c>
      <c r="F26" s="792">
        <f t="shared" si="2"/>
        <v>154.67073927286197</v>
      </c>
      <c r="G26" s="792">
        <f t="shared" si="2"/>
        <v>53578.137412742384</v>
      </c>
      <c r="H26" s="792">
        <f t="shared" si="2"/>
        <v>0</v>
      </c>
      <c r="I26" s="792">
        <f t="shared" si="2"/>
        <v>0</v>
      </c>
      <c r="J26" s="792">
        <f t="shared" si="2"/>
        <v>0</v>
      </c>
      <c r="K26" s="792">
        <f t="shared" si="2"/>
        <v>2031.0150681156508</v>
      </c>
      <c r="L26" s="792">
        <f t="shared" si="2"/>
        <v>0</v>
      </c>
      <c r="M26" s="792">
        <f t="shared" si="2"/>
        <v>0</v>
      </c>
      <c r="N26" s="792">
        <f t="shared" si="2"/>
        <v>0</v>
      </c>
      <c r="O26" s="792">
        <f t="shared" si="2"/>
        <v>0</v>
      </c>
      <c r="P26" s="792">
        <f t="shared" si="2"/>
        <v>0</v>
      </c>
      <c r="Q26" s="792">
        <f t="shared" si="2"/>
        <v>0</v>
      </c>
      <c r="R26" s="792">
        <f t="shared" si="2"/>
        <v>95335.266805546518</v>
      </c>
      <c r="S26" s="68"/>
    </row>
    <row r="27" spans="1:19" s="443" customFormat="1" ht="17.25" thickTop="1" thickBot="1">
      <c r="A27" s="681" t="s">
        <v>109</v>
      </c>
      <c r="B27" s="784"/>
      <c r="C27" s="682">
        <f ca="1">C22+C16+C26</f>
        <v>502049.75961961469</v>
      </c>
      <c r="D27" s="682">
        <f t="shared" ref="D27:R27" ca="1" si="3">D22+D16+D26</f>
        <v>41355.000000000007</v>
      </c>
      <c r="E27" s="682">
        <f t="shared" ca="1" si="3"/>
        <v>736940.59522943385</v>
      </c>
      <c r="F27" s="682">
        <f t="shared" si="3"/>
        <v>8484.9468323194069</v>
      </c>
      <c r="G27" s="682">
        <f t="shared" ca="1" si="3"/>
        <v>219825.21111864978</v>
      </c>
      <c r="H27" s="682">
        <f t="shared" si="3"/>
        <v>234093.94107397733</v>
      </c>
      <c r="I27" s="682">
        <f t="shared" si="3"/>
        <v>33410.23505174437</v>
      </c>
      <c r="J27" s="682">
        <f t="shared" si="3"/>
        <v>0</v>
      </c>
      <c r="K27" s="682">
        <f t="shared" si="3"/>
        <v>4648.3306328230392</v>
      </c>
      <c r="L27" s="682">
        <f t="shared" si="3"/>
        <v>0</v>
      </c>
      <c r="M27" s="682">
        <f t="shared" ca="1" si="3"/>
        <v>0</v>
      </c>
      <c r="N27" s="682">
        <f t="shared" si="3"/>
        <v>11944.918660740908</v>
      </c>
      <c r="O27" s="682">
        <f t="shared" ca="1" si="3"/>
        <v>46768.978176959332</v>
      </c>
      <c r="P27" s="682">
        <f t="shared" si="3"/>
        <v>401.7766666666667</v>
      </c>
      <c r="Q27" s="682">
        <f t="shared" si="3"/>
        <v>724.53333333333342</v>
      </c>
      <c r="R27" s="682">
        <f t="shared" ca="1" si="3"/>
        <v>1840648.2263962629</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33835.988908712687</v>
      </c>
      <c r="D40" s="674">
        <f ca="1">tertiair!C20</f>
        <v>2300.7630252100848</v>
      </c>
      <c r="E40" s="674">
        <f ca="1">tertiair!D20</f>
        <v>39112.03311122764</v>
      </c>
      <c r="F40" s="674">
        <f>tertiair!E20</f>
        <v>266.02315432927742</v>
      </c>
      <c r="G40" s="674">
        <f ca="1">tertiair!F20</f>
        <v>7807.7434202754921</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83322.551619755177</v>
      </c>
    </row>
    <row r="41" spans="1:18">
      <c r="A41" s="802" t="s">
        <v>214</v>
      </c>
      <c r="B41" s="809"/>
      <c r="C41" s="674">
        <f ca="1">huishoudens!B12</f>
        <v>18865.202828221474</v>
      </c>
      <c r="D41" s="674">
        <f ca="1">huishoudens!C12</f>
        <v>0</v>
      </c>
      <c r="E41" s="674">
        <f>huishoudens!D12</f>
        <v>58559.010063089583</v>
      </c>
      <c r="F41" s="674">
        <f>huishoudens!E12</f>
        <v>707.44886295341485</v>
      </c>
      <c r="G41" s="674">
        <f>huishoudens!F12</f>
        <v>25368.601439607752</v>
      </c>
      <c r="H41" s="674">
        <f>huishoudens!G12</f>
        <v>0</v>
      </c>
      <c r="I41" s="674">
        <f>huishoudens!H12</f>
        <v>0</v>
      </c>
      <c r="J41" s="674">
        <f>huishoudens!I12</f>
        <v>0</v>
      </c>
      <c r="K41" s="674">
        <f>huishoudens!J12</f>
        <v>610.29127143266646</v>
      </c>
      <c r="L41" s="674">
        <f>huishoudens!K12</f>
        <v>0</v>
      </c>
      <c r="M41" s="674">
        <f>huishoudens!L12</f>
        <v>0</v>
      </c>
      <c r="N41" s="674">
        <f>huishoudens!M12</f>
        <v>0</v>
      </c>
      <c r="O41" s="674">
        <f>huishoudens!N12</f>
        <v>0</v>
      </c>
      <c r="P41" s="674">
        <f>huishoudens!O12</f>
        <v>0</v>
      </c>
      <c r="Q41" s="749">
        <f>huishoudens!P12</f>
        <v>0</v>
      </c>
      <c r="R41" s="830">
        <f t="shared" ca="1" si="4"/>
        <v>104110.5544653049</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40768.079004899759</v>
      </c>
      <c r="D43" s="674">
        <f ca="1">industrie!C22</f>
        <v>0</v>
      </c>
      <c r="E43" s="674">
        <f>industrie!D22</f>
        <v>47499.472809022285</v>
      </c>
      <c r="F43" s="674">
        <f>industrie!E22</f>
        <v>708.67271264131625</v>
      </c>
      <c r="G43" s="674">
        <f>industrie!F22</f>
        <v>11211.623819594028</v>
      </c>
      <c r="H43" s="674">
        <f>industrie!G22</f>
        <v>0</v>
      </c>
      <c r="I43" s="674">
        <f>industrie!H22</f>
        <v>0</v>
      </c>
      <c r="J43" s="674">
        <f>industrie!I22</f>
        <v>0</v>
      </c>
      <c r="K43" s="674">
        <f>industrie!J22</f>
        <v>316.23843847374883</v>
      </c>
      <c r="L43" s="674">
        <f>industrie!K22</f>
        <v>0</v>
      </c>
      <c r="M43" s="674">
        <f>industrie!L22</f>
        <v>0</v>
      </c>
      <c r="N43" s="674">
        <f>industrie!M22</f>
        <v>0</v>
      </c>
      <c r="O43" s="674">
        <f>industrie!N22</f>
        <v>0</v>
      </c>
      <c r="P43" s="674">
        <f>industrie!O22</f>
        <v>0</v>
      </c>
      <c r="Q43" s="749">
        <f>industrie!P22</f>
        <v>0</v>
      </c>
      <c r="R43" s="829">
        <f t="shared" ca="1" si="4"/>
        <v>100504.08678463113</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93469.270741833927</v>
      </c>
      <c r="D46" s="707">
        <f t="shared" ref="D46:Q46" ca="1" si="5">SUM(D39:D45)</f>
        <v>2300.7630252100848</v>
      </c>
      <c r="E46" s="707">
        <f t="shared" ca="1" si="5"/>
        <v>145170.51598333952</v>
      </c>
      <c r="F46" s="707">
        <f t="shared" si="5"/>
        <v>1682.1447299240085</v>
      </c>
      <c r="G46" s="707">
        <f t="shared" ca="1" si="5"/>
        <v>44387.968679477272</v>
      </c>
      <c r="H46" s="707">
        <f t="shared" si="5"/>
        <v>0</v>
      </c>
      <c r="I46" s="707">
        <f t="shared" si="5"/>
        <v>0</v>
      </c>
      <c r="J46" s="707">
        <f t="shared" si="5"/>
        <v>0</v>
      </c>
      <c r="K46" s="707">
        <f t="shared" si="5"/>
        <v>926.52970990641529</v>
      </c>
      <c r="L46" s="707">
        <f t="shared" si="5"/>
        <v>0</v>
      </c>
      <c r="M46" s="707">
        <f t="shared" ca="1" si="5"/>
        <v>0</v>
      </c>
      <c r="N46" s="707">
        <f t="shared" si="5"/>
        <v>0</v>
      </c>
      <c r="O46" s="707">
        <f t="shared" ca="1" si="5"/>
        <v>0</v>
      </c>
      <c r="P46" s="707">
        <f t="shared" si="5"/>
        <v>0</v>
      </c>
      <c r="Q46" s="707">
        <f t="shared" si="5"/>
        <v>0</v>
      </c>
      <c r="R46" s="707">
        <f ca="1">SUM(R39:R45)</f>
        <v>287937.19286969118</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5.2927791446319539</v>
      </c>
      <c r="D49" s="674">
        <f ca="1">transport!C58</f>
        <v>0</v>
      </c>
      <c r="E49" s="674">
        <f>transport!D58</f>
        <v>0</v>
      </c>
      <c r="F49" s="674">
        <f>transport!E58</f>
        <v>0</v>
      </c>
      <c r="G49" s="674">
        <f>transport!F58</f>
        <v>0</v>
      </c>
      <c r="H49" s="674">
        <f>transport!G58</f>
        <v>1449.5716100565664</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1454.8643892011985</v>
      </c>
    </row>
    <row r="50" spans="1:18">
      <c r="A50" s="805" t="s">
        <v>296</v>
      </c>
      <c r="B50" s="815"/>
      <c r="C50" s="984">
        <f ca="1">transport!B18</f>
        <v>2.1099962398277134</v>
      </c>
      <c r="D50" s="984">
        <f>transport!C18</f>
        <v>0</v>
      </c>
      <c r="E50" s="984">
        <f>transport!D18</f>
        <v>2.7811887456909101</v>
      </c>
      <c r="F50" s="984">
        <f>transport!E18</f>
        <v>208.827943197557</v>
      </c>
      <c r="G50" s="984">
        <f>transport!F18</f>
        <v>0</v>
      </c>
      <c r="H50" s="984">
        <f>transport!G18</f>
        <v>61053.510656695384</v>
      </c>
      <c r="I50" s="984">
        <f>transport!H18</f>
        <v>8319.1485278843484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69586.378312762812</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7.4027753844596678</v>
      </c>
      <c r="D52" s="707">
        <f t="shared" ref="D52:Q52" ca="1" si="6">SUM(D48:D51)</f>
        <v>0</v>
      </c>
      <c r="E52" s="707">
        <f t="shared" si="6"/>
        <v>2.7811887456909101</v>
      </c>
      <c r="F52" s="707">
        <f t="shared" si="6"/>
        <v>208.827943197557</v>
      </c>
      <c r="G52" s="707">
        <f t="shared" si="6"/>
        <v>0</v>
      </c>
      <c r="H52" s="707">
        <f t="shared" si="6"/>
        <v>62503.082266751953</v>
      </c>
      <c r="I52" s="707">
        <f t="shared" si="6"/>
        <v>8319.1485278843484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71041.242701964016</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3192.4202859135439</v>
      </c>
      <c r="D54" s="984">
        <f ca="1">+landbouw!C12</f>
        <v>0</v>
      </c>
      <c r="E54" s="984">
        <f>+landbouw!D12</f>
        <v>571.06490424910464</v>
      </c>
      <c r="F54" s="984">
        <f>+landbouw!E12</f>
        <v>35.110257814939665</v>
      </c>
      <c r="G54" s="984">
        <f>+landbouw!F12</f>
        <v>14305.362689202217</v>
      </c>
      <c r="H54" s="984">
        <f>+landbouw!G12</f>
        <v>0</v>
      </c>
      <c r="I54" s="984">
        <f>+landbouw!H12</f>
        <v>0</v>
      </c>
      <c r="J54" s="984">
        <f>+landbouw!I12</f>
        <v>0</v>
      </c>
      <c r="K54" s="984">
        <f>+landbouw!J12</f>
        <v>718.97933411294036</v>
      </c>
      <c r="L54" s="984">
        <f>+landbouw!K12</f>
        <v>0</v>
      </c>
      <c r="M54" s="984">
        <f>+landbouw!L12</f>
        <v>0</v>
      </c>
      <c r="N54" s="984">
        <f>+landbouw!M12</f>
        <v>0</v>
      </c>
      <c r="O54" s="984">
        <f>+landbouw!N12</f>
        <v>0</v>
      </c>
      <c r="P54" s="984">
        <f>+landbouw!O12</f>
        <v>0</v>
      </c>
      <c r="Q54" s="985">
        <f>+landbouw!P12</f>
        <v>0</v>
      </c>
      <c r="R54" s="706">
        <f ca="1">SUM(C54:Q54)</f>
        <v>18822.937471292746</v>
      </c>
    </row>
    <row r="55" spans="1:18" ht="15" thickBot="1">
      <c r="A55" s="805" t="s">
        <v>873</v>
      </c>
      <c r="B55" s="815"/>
      <c r="C55" s="984">
        <f ca="1">C25*'EF ele_warmte'!B12</f>
        <v>951.27768543844184</v>
      </c>
      <c r="D55" s="984"/>
      <c r="E55" s="984">
        <f>E25*EF_CO2_aardgas</f>
        <v>3117.6381600113477</v>
      </c>
      <c r="F55" s="984"/>
      <c r="G55" s="984"/>
      <c r="H55" s="984"/>
      <c r="I55" s="984"/>
      <c r="J55" s="984"/>
      <c r="K55" s="984"/>
      <c r="L55" s="984"/>
      <c r="M55" s="984"/>
      <c r="N55" s="984"/>
      <c r="O55" s="984"/>
      <c r="P55" s="984"/>
      <c r="Q55" s="985"/>
      <c r="R55" s="706">
        <f ca="1">SUM(C55:Q55)</f>
        <v>4068.9158454497897</v>
      </c>
    </row>
    <row r="56" spans="1:18" ht="15.75" thickBot="1">
      <c r="A56" s="803" t="s">
        <v>874</v>
      </c>
      <c r="B56" s="816"/>
      <c r="C56" s="707">
        <f ca="1">SUM(C54:C55)</f>
        <v>4143.6979713519859</v>
      </c>
      <c r="D56" s="707">
        <f t="shared" ref="D56:Q56" ca="1" si="7">SUM(D54:D55)</f>
        <v>0</v>
      </c>
      <c r="E56" s="707">
        <f t="shared" si="7"/>
        <v>3688.7030642604523</v>
      </c>
      <c r="F56" s="707">
        <f t="shared" si="7"/>
        <v>35.110257814939665</v>
      </c>
      <c r="G56" s="707">
        <f t="shared" si="7"/>
        <v>14305.362689202217</v>
      </c>
      <c r="H56" s="707">
        <f t="shared" si="7"/>
        <v>0</v>
      </c>
      <c r="I56" s="707">
        <f t="shared" si="7"/>
        <v>0</v>
      </c>
      <c r="J56" s="707">
        <f t="shared" si="7"/>
        <v>0</v>
      </c>
      <c r="K56" s="707">
        <f t="shared" si="7"/>
        <v>718.97933411294036</v>
      </c>
      <c r="L56" s="707">
        <f t="shared" si="7"/>
        <v>0</v>
      </c>
      <c r="M56" s="707">
        <f t="shared" si="7"/>
        <v>0</v>
      </c>
      <c r="N56" s="707">
        <f t="shared" si="7"/>
        <v>0</v>
      </c>
      <c r="O56" s="707">
        <f t="shared" si="7"/>
        <v>0</v>
      </c>
      <c r="P56" s="707">
        <f t="shared" si="7"/>
        <v>0</v>
      </c>
      <c r="Q56" s="708">
        <f t="shared" si="7"/>
        <v>0</v>
      </c>
      <c r="R56" s="709">
        <f ca="1">SUM(R54:R55)</f>
        <v>22891.853316742534</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97620.371488570367</v>
      </c>
      <c r="D61" s="715">
        <f t="shared" ref="D61:Q61" ca="1" si="8">D46+D52+D56</f>
        <v>2300.7630252100848</v>
      </c>
      <c r="E61" s="715">
        <f t="shared" ca="1" si="8"/>
        <v>148862.00023634566</v>
      </c>
      <c r="F61" s="715">
        <f t="shared" si="8"/>
        <v>1926.0829309365051</v>
      </c>
      <c r="G61" s="715">
        <f t="shared" ca="1" si="8"/>
        <v>58693.331368679486</v>
      </c>
      <c r="H61" s="715">
        <f t="shared" si="8"/>
        <v>62503.082266751953</v>
      </c>
      <c r="I61" s="715">
        <f t="shared" si="8"/>
        <v>8319.1485278843484</v>
      </c>
      <c r="J61" s="715">
        <f t="shared" si="8"/>
        <v>0</v>
      </c>
      <c r="K61" s="715">
        <f t="shared" si="8"/>
        <v>1645.5090440193558</v>
      </c>
      <c r="L61" s="715">
        <f t="shared" si="8"/>
        <v>0</v>
      </c>
      <c r="M61" s="715">
        <f t="shared" ca="1" si="8"/>
        <v>0</v>
      </c>
      <c r="N61" s="715">
        <f t="shared" si="8"/>
        <v>0</v>
      </c>
      <c r="O61" s="715">
        <f t="shared" ca="1" si="8"/>
        <v>0</v>
      </c>
      <c r="P61" s="715">
        <f t="shared" si="8"/>
        <v>0</v>
      </c>
      <c r="Q61" s="715">
        <f t="shared" si="8"/>
        <v>0</v>
      </c>
      <c r="R61" s="715">
        <f ca="1">R46+R52+R56</f>
        <v>381870.28888839768</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0.19444361762573867</v>
      </c>
      <c r="D63" s="759">
        <f t="shared" ca="1" si="9"/>
        <v>5.56344583535264E-2</v>
      </c>
      <c r="E63" s="986">
        <f t="shared" ca="1" si="9"/>
        <v>0.20200000000000004</v>
      </c>
      <c r="F63" s="759">
        <f t="shared" si="9"/>
        <v>0.22699999999999998</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20046.606357518271</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22171.5</v>
      </c>
      <c r="C76" s="725">
        <f>'lokale energieproductie'!B8*IFERROR(SUM(D76:H76)/SUM(D76:O76),0)</f>
        <v>6777</v>
      </c>
      <c r="D76" s="996">
        <f>'lokale energieproductie'!C8</f>
        <v>7972.9411764705883</v>
      </c>
      <c r="E76" s="997">
        <f>'lokale energieproductie'!D8</f>
        <v>0</v>
      </c>
      <c r="F76" s="997">
        <f>'lokale energieproductie'!E8</f>
        <v>0</v>
      </c>
      <c r="G76" s="997">
        <f>'lokale energieproductie'!F8</f>
        <v>0</v>
      </c>
      <c r="H76" s="997">
        <f>'lokale energieproductie'!G8</f>
        <v>0</v>
      </c>
      <c r="I76" s="997">
        <f>'lokale energieproductie'!I8</f>
        <v>0</v>
      </c>
      <c r="J76" s="997">
        <f>'lokale energieproductie'!J8</f>
        <v>26084.117647058825</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1610.534117647059</v>
      </c>
      <c r="R76" s="832">
        <v>0</v>
      </c>
    </row>
    <row r="77" spans="1:18" ht="30.75" thickBot="1">
      <c r="A77" s="728" t="s">
        <v>340</v>
      </c>
      <c r="B77" s="725">
        <f>'lokale energieproductie'!B9*IFERROR(SUM(I77:O77)/SUM(D77:O77),0)</f>
        <v>18621</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53202.857142857145</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60839.106357518271</v>
      </c>
      <c r="C78" s="730">
        <f>SUM(C72:C77)</f>
        <v>6777</v>
      </c>
      <c r="D78" s="731">
        <f t="shared" ref="D78:H78" si="10">SUM(D76:D77)</f>
        <v>7972.9411764705883</v>
      </c>
      <c r="E78" s="731">
        <f t="shared" si="10"/>
        <v>0</v>
      </c>
      <c r="F78" s="731">
        <f t="shared" si="10"/>
        <v>0</v>
      </c>
      <c r="G78" s="731">
        <f t="shared" si="10"/>
        <v>0</v>
      </c>
      <c r="H78" s="731">
        <f t="shared" si="10"/>
        <v>0</v>
      </c>
      <c r="I78" s="731">
        <f>SUM(I76:I77)</f>
        <v>0</v>
      </c>
      <c r="J78" s="731">
        <f>SUM(J76:J77)</f>
        <v>79286.97478991597</v>
      </c>
      <c r="K78" s="731">
        <f t="shared" ref="K78:L78" si="11">SUM(K76:K77)</f>
        <v>0</v>
      </c>
      <c r="L78" s="731">
        <f t="shared" si="11"/>
        <v>0</v>
      </c>
      <c r="M78" s="731">
        <f>SUM(M76:M77)</f>
        <v>0</v>
      </c>
      <c r="N78" s="731">
        <f>SUM(N76:N77)</f>
        <v>0</v>
      </c>
      <c r="O78" s="840">
        <f>SUM(O76:O77)</f>
        <v>0</v>
      </c>
      <c r="P78" s="732">
        <v>0</v>
      </c>
      <c r="Q78" s="732">
        <f>SUM(Q76:Q77)</f>
        <v>1610.534117647059</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31673.571428571435</v>
      </c>
      <c r="C87" s="741">
        <f>'lokale energieproductie'!B17*IFERROR(SUM(D87:H87)/SUM(D87:O87),0)</f>
        <v>9681.4285714285725</v>
      </c>
      <c r="D87" s="752">
        <f>'lokale energieproductie'!C17</f>
        <v>11389.915966386558</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37263.025210084044</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2300.7630252100848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31673.571428571435</v>
      </c>
      <c r="C90" s="730">
        <f>SUM(C87:C89)</f>
        <v>9681.4285714285725</v>
      </c>
      <c r="D90" s="730">
        <f t="shared" ref="D90:H90" si="12">SUM(D87:D89)</f>
        <v>11389.915966386558</v>
      </c>
      <c r="E90" s="730">
        <f t="shared" si="12"/>
        <v>0</v>
      </c>
      <c r="F90" s="730">
        <f t="shared" si="12"/>
        <v>0</v>
      </c>
      <c r="G90" s="730">
        <f t="shared" si="12"/>
        <v>0</v>
      </c>
      <c r="H90" s="730">
        <f t="shared" si="12"/>
        <v>0</v>
      </c>
      <c r="I90" s="730">
        <f>SUM(I87:I89)</f>
        <v>0</v>
      </c>
      <c r="J90" s="730">
        <f>SUM(J87:J89)</f>
        <v>37263.025210084044</v>
      </c>
      <c r="K90" s="730">
        <f t="shared" ref="K90:L90" si="13">SUM(K87:K89)</f>
        <v>0</v>
      </c>
      <c r="L90" s="730">
        <f t="shared" si="13"/>
        <v>0</v>
      </c>
      <c r="M90" s="730">
        <f>SUM(M87:M89)</f>
        <v>0</v>
      </c>
      <c r="N90" s="730">
        <f>SUM(N87:N89)</f>
        <v>0</v>
      </c>
      <c r="O90" s="730">
        <f>SUM(O87:O89)</f>
        <v>0</v>
      </c>
      <c r="P90" s="730">
        <v>0</v>
      </c>
      <c r="Q90" s="730">
        <f>SUM(Q87:Q89)</f>
        <v>2300.7630252100848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97021.455672218843</v>
      </c>
      <c r="C4" s="447">
        <f>huishoudens!C8</f>
        <v>0</v>
      </c>
      <c r="D4" s="447">
        <f>huishoudens!D8</f>
        <v>289896.08942123555</v>
      </c>
      <c r="E4" s="447">
        <f>huishoudens!E8</f>
        <v>3116.5148147727523</v>
      </c>
      <c r="F4" s="447">
        <f>huishoudens!F8</f>
        <v>95013.488537856741</v>
      </c>
      <c r="G4" s="447">
        <f>huishoudens!G8</f>
        <v>0</v>
      </c>
      <c r="H4" s="447">
        <f>huishoudens!H8</f>
        <v>0</v>
      </c>
      <c r="I4" s="447">
        <f>huishoudens!I8</f>
        <v>0</v>
      </c>
      <c r="J4" s="447">
        <f>huishoudens!J8</f>
        <v>1723.9866424651595</v>
      </c>
      <c r="K4" s="447">
        <f>huishoudens!K8</f>
        <v>0</v>
      </c>
      <c r="L4" s="447">
        <f>huishoudens!L8</f>
        <v>0</v>
      </c>
      <c r="M4" s="447">
        <f>huishoudens!M8</f>
        <v>0</v>
      </c>
      <c r="N4" s="447">
        <f>huishoudens!N8</f>
        <v>34030.900149878522</v>
      </c>
      <c r="O4" s="447">
        <f>huishoudens!O8</f>
        <v>398.65000000000003</v>
      </c>
      <c r="P4" s="448">
        <f>huishoudens!P8</f>
        <v>552.93333333333339</v>
      </c>
      <c r="Q4" s="449">
        <f>SUM(B4:P4)</f>
        <v>521754.01857176097</v>
      </c>
    </row>
    <row r="5" spans="1:17">
      <c r="A5" s="446" t="s">
        <v>149</v>
      </c>
      <c r="B5" s="447">
        <f ca="1">tertiair!B16</f>
        <v>167958.05119065271</v>
      </c>
      <c r="C5" s="447">
        <f ca="1">tertiair!C16</f>
        <v>41355.000000000007</v>
      </c>
      <c r="D5" s="447">
        <f ca="1">tertiair!D16</f>
        <v>193623.92629320611</v>
      </c>
      <c r="E5" s="447">
        <f>tertiair!E16</f>
        <v>1171.9081688514423</v>
      </c>
      <c r="F5" s="447">
        <f ca="1">tertiair!F16</f>
        <v>29242.484720132928</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3.1266666666666669</v>
      </c>
      <c r="P5" s="448">
        <f>tertiair!P16</f>
        <v>171.6</v>
      </c>
      <c r="Q5" s="446">
        <f t="shared" ref="Q5:Q14" ca="1" si="0">SUM(B5:P5)</f>
        <v>433526.09703950986</v>
      </c>
    </row>
    <row r="6" spans="1:17">
      <c r="A6" s="446" t="s">
        <v>187</v>
      </c>
      <c r="B6" s="447">
        <f>'openbare verlichting'!B8</f>
        <v>6056.3459999999995</v>
      </c>
      <c r="C6" s="447"/>
      <c r="D6" s="447"/>
      <c r="E6" s="447"/>
      <c r="F6" s="447"/>
      <c r="G6" s="447"/>
      <c r="H6" s="447"/>
      <c r="I6" s="447"/>
      <c r="J6" s="447"/>
      <c r="K6" s="447"/>
      <c r="L6" s="447"/>
      <c r="M6" s="447"/>
      <c r="N6" s="447"/>
      <c r="O6" s="447"/>
      <c r="P6" s="448"/>
      <c r="Q6" s="446">
        <f t="shared" si="0"/>
        <v>6056.3459999999995</v>
      </c>
    </row>
    <row r="7" spans="1:17">
      <c r="A7" s="446" t="s">
        <v>105</v>
      </c>
      <c r="B7" s="447">
        <f>landbouw!B8</f>
        <v>16418.231284187754</v>
      </c>
      <c r="C7" s="447">
        <f>landbouw!C8</f>
        <v>0</v>
      </c>
      <c r="D7" s="447">
        <f>landbouw!D8</f>
        <v>2827.053981431211</v>
      </c>
      <c r="E7" s="447">
        <f>landbouw!E8</f>
        <v>154.67073927286197</v>
      </c>
      <c r="F7" s="447">
        <f>landbouw!F8</f>
        <v>53578.137412742384</v>
      </c>
      <c r="G7" s="447">
        <f>landbouw!G8</f>
        <v>0</v>
      </c>
      <c r="H7" s="447">
        <f>landbouw!H8</f>
        <v>0</v>
      </c>
      <c r="I7" s="447">
        <f>landbouw!I8</f>
        <v>0</v>
      </c>
      <c r="J7" s="447">
        <f>landbouw!J8</f>
        <v>2031.0150681156508</v>
      </c>
      <c r="K7" s="447">
        <f>landbouw!K8</f>
        <v>0</v>
      </c>
      <c r="L7" s="447">
        <f>landbouw!L8</f>
        <v>0</v>
      </c>
      <c r="M7" s="447">
        <f>landbouw!M8</f>
        <v>0</v>
      </c>
      <c r="N7" s="447">
        <f>landbouw!N8</f>
        <v>0</v>
      </c>
      <c r="O7" s="447">
        <f>landbouw!O8</f>
        <v>0</v>
      </c>
      <c r="P7" s="448">
        <f>landbouw!P8</f>
        <v>0</v>
      </c>
      <c r="Q7" s="446">
        <f t="shared" si="0"/>
        <v>75009.108485749864</v>
      </c>
    </row>
    <row r="8" spans="1:17">
      <c r="A8" s="446" t="s">
        <v>665</v>
      </c>
      <c r="B8" s="447">
        <f>industrie!B18</f>
        <v>209665.29785189129</v>
      </c>
      <c r="C8" s="447">
        <f>industrie!C18</f>
        <v>0</v>
      </c>
      <c r="D8" s="447">
        <f>industrie!D18</f>
        <v>235145.90499515983</v>
      </c>
      <c r="E8" s="447">
        <f>industrie!E18</f>
        <v>3121.9062230894988</v>
      </c>
      <c r="F8" s="447">
        <f>industrie!F18</f>
        <v>41991.100447917706</v>
      </c>
      <c r="G8" s="447">
        <f>industrie!G18</f>
        <v>0</v>
      </c>
      <c r="H8" s="447">
        <f>industrie!H18</f>
        <v>0</v>
      </c>
      <c r="I8" s="447">
        <f>industrie!I18</f>
        <v>0</v>
      </c>
      <c r="J8" s="447">
        <f>industrie!J18</f>
        <v>893.32892224222837</v>
      </c>
      <c r="K8" s="447">
        <f>industrie!K18</f>
        <v>0</v>
      </c>
      <c r="L8" s="447">
        <f>industrie!L18</f>
        <v>0</v>
      </c>
      <c r="M8" s="447">
        <f>industrie!M18</f>
        <v>0</v>
      </c>
      <c r="N8" s="447">
        <f>industrie!N18</f>
        <v>12738.07802708081</v>
      </c>
      <c r="O8" s="447">
        <f>industrie!O18</f>
        <v>0</v>
      </c>
      <c r="P8" s="448">
        <f>industrie!P18</f>
        <v>0</v>
      </c>
      <c r="Q8" s="446">
        <f t="shared" si="0"/>
        <v>503555.6164673813</v>
      </c>
    </row>
    <row r="9" spans="1:17" s="452" customFormat="1">
      <c r="A9" s="450" t="s">
        <v>562</v>
      </c>
      <c r="B9" s="451">
        <f>transport!B14</f>
        <v>10.851455376072018</v>
      </c>
      <c r="C9" s="451">
        <f>transport!C14</f>
        <v>0</v>
      </c>
      <c r="D9" s="451">
        <f>transport!D14</f>
        <v>13.768261117281732</v>
      </c>
      <c r="E9" s="451">
        <f>transport!E14</f>
        <v>919.94688633285023</v>
      </c>
      <c r="F9" s="451">
        <f>transport!F14</f>
        <v>0</v>
      </c>
      <c r="G9" s="451">
        <f>transport!G14</f>
        <v>228664.83392020743</v>
      </c>
      <c r="H9" s="451">
        <f>transport!H14</f>
        <v>33410.23505174437</v>
      </c>
      <c r="I9" s="451">
        <f>transport!I14</f>
        <v>0</v>
      </c>
      <c r="J9" s="451">
        <f>transport!J14</f>
        <v>0</v>
      </c>
      <c r="K9" s="451">
        <f>transport!K14</f>
        <v>0</v>
      </c>
      <c r="L9" s="451">
        <f>transport!L14</f>
        <v>0</v>
      </c>
      <c r="M9" s="451">
        <f>transport!M14</f>
        <v>11704.95790686798</v>
      </c>
      <c r="N9" s="451">
        <f>transport!N14</f>
        <v>0</v>
      </c>
      <c r="O9" s="451">
        <f>transport!O14</f>
        <v>0</v>
      </c>
      <c r="P9" s="451">
        <f>transport!P14</f>
        <v>0</v>
      </c>
      <c r="Q9" s="450">
        <f>SUM(B9:P9)</f>
        <v>274724.59348164598</v>
      </c>
    </row>
    <row r="10" spans="1:17">
      <c r="A10" s="446" t="s">
        <v>552</v>
      </c>
      <c r="B10" s="447">
        <f>transport!B54</f>
        <v>27.220122775227281</v>
      </c>
      <c r="C10" s="447">
        <f>transport!C54</f>
        <v>0</v>
      </c>
      <c r="D10" s="447">
        <f>transport!D54</f>
        <v>0</v>
      </c>
      <c r="E10" s="447">
        <f>transport!E54</f>
        <v>0</v>
      </c>
      <c r="F10" s="447">
        <f>transport!F54</f>
        <v>0</v>
      </c>
      <c r="G10" s="447">
        <f>transport!G54</f>
        <v>5429.1071537699117</v>
      </c>
      <c r="H10" s="447">
        <f>transport!H54</f>
        <v>0</v>
      </c>
      <c r="I10" s="447">
        <f>transport!I54</f>
        <v>0</v>
      </c>
      <c r="J10" s="447">
        <f>transport!J54</f>
        <v>0</v>
      </c>
      <c r="K10" s="447">
        <f>transport!K54</f>
        <v>0</v>
      </c>
      <c r="L10" s="447">
        <f>transport!L54</f>
        <v>0</v>
      </c>
      <c r="M10" s="447">
        <f>transport!M54</f>
        <v>239.96075387292871</v>
      </c>
      <c r="N10" s="447">
        <f>transport!N54</f>
        <v>0</v>
      </c>
      <c r="O10" s="447">
        <f>transport!O54</f>
        <v>0</v>
      </c>
      <c r="P10" s="448">
        <f>transport!P54</f>
        <v>0</v>
      </c>
      <c r="Q10" s="446">
        <f t="shared" si="0"/>
        <v>5696.288030418068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4892.3060425127596</v>
      </c>
      <c r="C14" s="454"/>
      <c r="D14" s="454">
        <f>'SEAP template'!E25</f>
        <v>15433.852277283899</v>
      </c>
      <c r="E14" s="454"/>
      <c r="F14" s="454"/>
      <c r="G14" s="454"/>
      <c r="H14" s="454"/>
      <c r="I14" s="454"/>
      <c r="J14" s="454"/>
      <c r="K14" s="454"/>
      <c r="L14" s="454"/>
      <c r="M14" s="454"/>
      <c r="N14" s="454"/>
      <c r="O14" s="454"/>
      <c r="P14" s="455"/>
      <c r="Q14" s="446">
        <f t="shared" si="0"/>
        <v>20326.158319796657</v>
      </c>
    </row>
    <row r="15" spans="1:17" s="459" customFormat="1">
      <c r="A15" s="456" t="s">
        <v>556</v>
      </c>
      <c r="B15" s="457">
        <f ca="1">SUM(B4:B14)</f>
        <v>502049.75961961469</v>
      </c>
      <c r="C15" s="457">
        <f t="shared" ref="C15:Q15" ca="1" si="1">SUM(C4:C14)</f>
        <v>41355.000000000007</v>
      </c>
      <c r="D15" s="457">
        <f t="shared" ca="1" si="1"/>
        <v>736940.59522943385</v>
      </c>
      <c r="E15" s="457">
        <f t="shared" si="1"/>
        <v>8484.9468323194051</v>
      </c>
      <c r="F15" s="457">
        <f t="shared" ca="1" si="1"/>
        <v>219825.21111864975</v>
      </c>
      <c r="G15" s="457">
        <f t="shared" si="1"/>
        <v>234093.94107397733</v>
      </c>
      <c r="H15" s="457">
        <f t="shared" si="1"/>
        <v>33410.23505174437</v>
      </c>
      <c r="I15" s="457">
        <f t="shared" si="1"/>
        <v>0</v>
      </c>
      <c r="J15" s="457">
        <f t="shared" si="1"/>
        <v>4648.3306328230383</v>
      </c>
      <c r="K15" s="457">
        <f t="shared" si="1"/>
        <v>0</v>
      </c>
      <c r="L15" s="457">
        <f t="shared" ca="1" si="1"/>
        <v>0</v>
      </c>
      <c r="M15" s="457">
        <f t="shared" si="1"/>
        <v>11944.918660740908</v>
      </c>
      <c r="N15" s="457">
        <f t="shared" ca="1" si="1"/>
        <v>46768.978176959332</v>
      </c>
      <c r="O15" s="457">
        <f t="shared" si="1"/>
        <v>401.7766666666667</v>
      </c>
      <c r="P15" s="457">
        <f t="shared" si="1"/>
        <v>724.53333333333342</v>
      </c>
      <c r="Q15" s="457">
        <f t="shared" ca="1" si="1"/>
        <v>1840648.2263962626</v>
      </c>
    </row>
    <row r="17" spans="1:17">
      <c r="A17" s="460" t="s">
        <v>557</v>
      </c>
      <c r="B17" s="764">
        <f ca="1">huishoudens!B10</f>
        <v>0.19444361762573867</v>
      </c>
      <c r="C17" s="764">
        <f ca="1">huishoudens!C10</f>
        <v>5.56344583535264E-2</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18865.202828221474</v>
      </c>
      <c r="C22" s="447">
        <f t="shared" ref="C22:C32" ca="1" si="3">C4*$C$17</f>
        <v>0</v>
      </c>
      <c r="D22" s="447">
        <f t="shared" ref="D22:D32" si="4">D4*$D$17</f>
        <v>58559.010063089583</v>
      </c>
      <c r="E22" s="447">
        <f t="shared" ref="E22:E32" si="5">E4*$E$17</f>
        <v>707.44886295341485</v>
      </c>
      <c r="F22" s="447">
        <f t="shared" ref="F22:F32" si="6">F4*$F$17</f>
        <v>25368.601439607752</v>
      </c>
      <c r="G22" s="447">
        <f t="shared" ref="G22:G32" si="7">G4*$G$17</f>
        <v>0</v>
      </c>
      <c r="H22" s="447">
        <f t="shared" ref="H22:H32" si="8">H4*$H$17</f>
        <v>0</v>
      </c>
      <c r="I22" s="447">
        <f t="shared" ref="I22:I32" si="9">I4*$I$17</f>
        <v>0</v>
      </c>
      <c r="J22" s="447">
        <f t="shared" ref="J22:J32" si="10">J4*$J$17</f>
        <v>610.29127143266646</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104110.5544653049</v>
      </c>
    </row>
    <row r="23" spans="1:17">
      <c r="A23" s="446" t="s">
        <v>149</v>
      </c>
      <c r="B23" s="447">
        <f t="shared" ca="1" si="2"/>
        <v>32658.371082879516</v>
      </c>
      <c r="C23" s="447">
        <f t="shared" ca="1" si="3"/>
        <v>2300.7630252100848</v>
      </c>
      <c r="D23" s="447">
        <f t="shared" ca="1" si="4"/>
        <v>39112.03311122764</v>
      </c>
      <c r="E23" s="447">
        <f t="shared" si="5"/>
        <v>266.02315432927742</v>
      </c>
      <c r="F23" s="447">
        <f t="shared" ca="1" si="6"/>
        <v>7807.7434202754921</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82144.933793922013</v>
      </c>
    </row>
    <row r="24" spans="1:17">
      <c r="A24" s="446" t="s">
        <v>187</v>
      </c>
      <c r="B24" s="447">
        <f t="shared" ca="1" si="2"/>
        <v>1177.6178258331718</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1177.6178258331718</v>
      </c>
    </row>
    <row r="25" spans="1:17">
      <c r="A25" s="446" t="s">
        <v>105</v>
      </c>
      <c r="B25" s="447">
        <f t="shared" ca="1" si="2"/>
        <v>3192.4202859135439</v>
      </c>
      <c r="C25" s="447">
        <f t="shared" ca="1" si="3"/>
        <v>0</v>
      </c>
      <c r="D25" s="447">
        <f t="shared" si="4"/>
        <v>571.06490424910464</v>
      </c>
      <c r="E25" s="447">
        <f t="shared" si="5"/>
        <v>35.110257814939665</v>
      </c>
      <c r="F25" s="447">
        <f t="shared" si="6"/>
        <v>14305.362689202217</v>
      </c>
      <c r="G25" s="447">
        <f t="shared" si="7"/>
        <v>0</v>
      </c>
      <c r="H25" s="447">
        <f t="shared" si="8"/>
        <v>0</v>
      </c>
      <c r="I25" s="447">
        <f t="shared" si="9"/>
        <v>0</v>
      </c>
      <c r="J25" s="447">
        <f t="shared" si="10"/>
        <v>718.97933411294036</v>
      </c>
      <c r="K25" s="447">
        <f t="shared" si="11"/>
        <v>0</v>
      </c>
      <c r="L25" s="447">
        <f t="shared" si="12"/>
        <v>0</v>
      </c>
      <c r="M25" s="447">
        <f t="shared" si="13"/>
        <v>0</v>
      </c>
      <c r="N25" s="447">
        <f t="shared" si="14"/>
        <v>0</v>
      </c>
      <c r="O25" s="447">
        <f t="shared" si="15"/>
        <v>0</v>
      </c>
      <c r="P25" s="448">
        <f t="shared" si="16"/>
        <v>0</v>
      </c>
      <c r="Q25" s="446">
        <f t="shared" ca="1" si="17"/>
        <v>18822.937471292746</v>
      </c>
    </row>
    <row r="26" spans="1:17">
      <c r="A26" s="446" t="s">
        <v>665</v>
      </c>
      <c r="B26" s="447">
        <f t="shared" ca="1" si="2"/>
        <v>40768.079004899759</v>
      </c>
      <c r="C26" s="447">
        <f t="shared" ca="1" si="3"/>
        <v>0</v>
      </c>
      <c r="D26" s="447">
        <f t="shared" si="4"/>
        <v>47499.472809022285</v>
      </c>
      <c r="E26" s="447">
        <f t="shared" si="5"/>
        <v>708.67271264131625</v>
      </c>
      <c r="F26" s="447">
        <f t="shared" si="6"/>
        <v>11211.623819594028</v>
      </c>
      <c r="G26" s="447">
        <f t="shared" si="7"/>
        <v>0</v>
      </c>
      <c r="H26" s="447">
        <f t="shared" si="8"/>
        <v>0</v>
      </c>
      <c r="I26" s="447">
        <f t="shared" si="9"/>
        <v>0</v>
      </c>
      <c r="J26" s="447">
        <f t="shared" si="10"/>
        <v>316.23843847374883</v>
      </c>
      <c r="K26" s="447">
        <f t="shared" si="11"/>
        <v>0</v>
      </c>
      <c r="L26" s="447">
        <f t="shared" si="12"/>
        <v>0</v>
      </c>
      <c r="M26" s="447">
        <f t="shared" si="13"/>
        <v>0</v>
      </c>
      <c r="N26" s="447">
        <f t="shared" si="14"/>
        <v>0</v>
      </c>
      <c r="O26" s="447">
        <f t="shared" si="15"/>
        <v>0</v>
      </c>
      <c r="P26" s="448">
        <f t="shared" si="16"/>
        <v>0</v>
      </c>
      <c r="Q26" s="446">
        <f t="shared" ca="1" si="17"/>
        <v>100504.08678463113</v>
      </c>
    </row>
    <row r="27" spans="1:17" s="452" customFormat="1">
      <c r="A27" s="450" t="s">
        <v>562</v>
      </c>
      <c r="B27" s="758">
        <f t="shared" ca="1" si="2"/>
        <v>2.1099962398277134</v>
      </c>
      <c r="C27" s="451">
        <f t="shared" ca="1" si="3"/>
        <v>0</v>
      </c>
      <c r="D27" s="451">
        <f t="shared" si="4"/>
        <v>2.7811887456909101</v>
      </c>
      <c r="E27" s="451">
        <f t="shared" si="5"/>
        <v>208.827943197557</v>
      </c>
      <c r="F27" s="451">
        <f t="shared" si="6"/>
        <v>0</v>
      </c>
      <c r="G27" s="451">
        <f t="shared" si="7"/>
        <v>61053.510656695384</v>
      </c>
      <c r="H27" s="451">
        <f t="shared" si="8"/>
        <v>8319.1485278843484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69586.378312762812</v>
      </c>
    </row>
    <row r="28" spans="1:17">
      <c r="A28" s="446" t="s">
        <v>552</v>
      </c>
      <c r="B28" s="447">
        <f t="shared" ca="1" si="2"/>
        <v>5.2927791446319539</v>
      </c>
      <c r="C28" s="447">
        <f t="shared" ca="1" si="3"/>
        <v>0</v>
      </c>
      <c r="D28" s="447">
        <f t="shared" si="4"/>
        <v>0</v>
      </c>
      <c r="E28" s="447">
        <f t="shared" si="5"/>
        <v>0</v>
      </c>
      <c r="F28" s="447">
        <f t="shared" si="6"/>
        <v>0</v>
      </c>
      <c r="G28" s="447">
        <f t="shared" si="7"/>
        <v>1449.5716100565664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1454.8643892011985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951.27768543844184</v>
      </c>
      <c r="C32" s="447">
        <f t="shared" ca="1" si="3"/>
        <v>0</v>
      </c>
      <c r="D32" s="447">
        <f t="shared" si="4"/>
        <v>3117.6381600113477</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4068.9158454497897</v>
      </c>
    </row>
    <row r="33" spans="1:17" s="459" customFormat="1">
      <c r="A33" s="456" t="s">
        <v>556</v>
      </c>
      <c r="B33" s="457">
        <f ca="1">SUM(B22:B32)</f>
        <v>97620.371488570367</v>
      </c>
      <c r="C33" s="457">
        <f t="shared" ref="C33:Q33" ca="1" si="18">SUM(C22:C32)</f>
        <v>2300.7630252100848</v>
      </c>
      <c r="D33" s="457">
        <f t="shared" ca="1" si="18"/>
        <v>148862.00023634566</v>
      </c>
      <c r="E33" s="457">
        <f t="shared" si="18"/>
        <v>1926.0829309365054</v>
      </c>
      <c r="F33" s="457">
        <f t="shared" ca="1" si="18"/>
        <v>58693.331368679486</v>
      </c>
      <c r="G33" s="457">
        <f t="shared" si="18"/>
        <v>62503.082266751953</v>
      </c>
      <c r="H33" s="457">
        <f t="shared" si="18"/>
        <v>8319.1485278843484</v>
      </c>
      <c r="I33" s="457">
        <f t="shared" si="18"/>
        <v>0</v>
      </c>
      <c r="J33" s="457">
        <f t="shared" si="18"/>
        <v>1645.5090440193558</v>
      </c>
      <c r="K33" s="457">
        <f t="shared" si="18"/>
        <v>0</v>
      </c>
      <c r="L33" s="457">
        <f t="shared" ca="1" si="18"/>
        <v>0</v>
      </c>
      <c r="M33" s="457">
        <f t="shared" si="18"/>
        <v>0</v>
      </c>
      <c r="N33" s="457">
        <f t="shared" ca="1" si="18"/>
        <v>0</v>
      </c>
      <c r="O33" s="457">
        <f t="shared" si="18"/>
        <v>0</v>
      </c>
      <c r="P33" s="457">
        <f t="shared" si="18"/>
        <v>0</v>
      </c>
      <c r="Q33" s="457">
        <f t="shared" ca="1" si="18"/>
        <v>381870.2888883978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20046.606357518271</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22171.5</v>
      </c>
      <c r="C8" s="1013">
        <f>'SEAP template'!C76</f>
        <v>6777</v>
      </c>
      <c r="D8" s="1013">
        <f>'SEAP template'!D76</f>
        <v>7972.9411764705883</v>
      </c>
      <c r="E8" s="1013">
        <f>'SEAP template'!E76</f>
        <v>0</v>
      </c>
      <c r="F8" s="1013">
        <f>'SEAP template'!F76</f>
        <v>0</v>
      </c>
      <c r="G8" s="1013">
        <f>'SEAP template'!G76</f>
        <v>0</v>
      </c>
      <c r="H8" s="1013">
        <f>'SEAP template'!H76</f>
        <v>0</v>
      </c>
      <c r="I8" s="1013">
        <f>'SEAP template'!I76</f>
        <v>0</v>
      </c>
      <c r="J8" s="1013">
        <f>'SEAP template'!J76</f>
        <v>26084.117647058825</v>
      </c>
      <c r="K8" s="1013">
        <f>'SEAP template'!K76</f>
        <v>0</v>
      </c>
      <c r="L8" s="1013">
        <f>'SEAP template'!L76</f>
        <v>0</v>
      </c>
      <c r="M8" s="1013">
        <f>'SEAP template'!M76</f>
        <v>0</v>
      </c>
      <c r="N8" s="1013">
        <f>'SEAP template'!N76</f>
        <v>0</v>
      </c>
      <c r="O8" s="1013">
        <f>'SEAP template'!O76</f>
        <v>0</v>
      </c>
      <c r="P8" s="1014">
        <f>'SEAP template'!Q76</f>
        <v>1610.534117647059</v>
      </c>
    </row>
    <row r="9" spans="1:16">
      <c r="A9" s="1016" t="s">
        <v>885</v>
      </c>
      <c r="B9" s="1013">
        <f>'SEAP template'!B77</f>
        <v>18621</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53202.857142857145</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60839.106357518271</v>
      </c>
      <c r="C10" s="1017">
        <f>SUM(C4:C9)</f>
        <v>6777</v>
      </c>
      <c r="D10" s="1017">
        <f t="shared" ref="D10:H10" si="0">SUM(D8:D9)</f>
        <v>7972.9411764705883</v>
      </c>
      <c r="E10" s="1017">
        <f t="shared" si="0"/>
        <v>0</v>
      </c>
      <c r="F10" s="1017">
        <f t="shared" si="0"/>
        <v>0</v>
      </c>
      <c r="G10" s="1017">
        <f t="shared" si="0"/>
        <v>0</v>
      </c>
      <c r="H10" s="1017">
        <f t="shared" si="0"/>
        <v>0</v>
      </c>
      <c r="I10" s="1017">
        <f>SUM(I8:I9)</f>
        <v>0</v>
      </c>
      <c r="J10" s="1017">
        <f>SUM(J8:J9)</f>
        <v>79286.97478991597</v>
      </c>
      <c r="K10" s="1017">
        <f t="shared" ref="K10:L10" si="1">SUM(K8:K9)</f>
        <v>0</v>
      </c>
      <c r="L10" s="1017">
        <f t="shared" si="1"/>
        <v>0</v>
      </c>
      <c r="M10" s="1017">
        <f>SUM(M8:M9)</f>
        <v>0</v>
      </c>
      <c r="N10" s="1017">
        <f>SUM(N8:N9)</f>
        <v>0</v>
      </c>
      <c r="O10" s="1017">
        <f>SUM(O8:O9)</f>
        <v>0</v>
      </c>
      <c r="P10" s="1017">
        <f>SUM(P8:P9)</f>
        <v>1610.534117647059</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0.19444361762573867</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31673.571428571435</v>
      </c>
      <c r="C17" s="1020">
        <f>'SEAP template'!C87</f>
        <v>9681.4285714285725</v>
      </c>
      <c r="D17" s="1014">
        <f>'SEAP template'!D87</f>
        <v>11389.915966386558</v>
      </c>
      <c r="E17" s="1014">
        <f>'SEAP template'!E87</f>
        <v>0</v>
      </c>
      <c r="F17" s="1014">
        <f>'SEAP template'!F87</f>
        <v>0</v>
      </c>
      <c r="G17" s="1014">
        <f>'SEAP template'!G87</f>
        <v>0</v>
      </c>
      <c r="H17" s="1014">
        <f>'SEAP template'!H87</f>
        <v>0</v>
      </c>
      <c r="I17" s="1014">
        <f>'SEAP template'!I87</f>
        <v>0</v>
      </c>
      <c r="J17" s="1014">
        <f>'SEAP template'!J87</f>
        <v>37263.025210084044</v>
      </c>
      <c r="K17" s="1014">
        <f>'SEAP template'!K87</f>
        <v>0</v>
      </c>
      <c r="L17" s="1014">
        <f>'SEAP template'!L87</f>
        <v>0</v>
      </c>
      <c r="M17" s="1014">
        <f>'SEAP template'!M87</f>
        <v>0</v>
      </c>
      <c r="N17" s="1014">
        <f>'SEAP template'!N87</f>
        <v>0</v>
      </c>
      <c r="O17" s="1014">
        <f>'SEAP template'!O87</f>
        <v>0</v>
      </c>
      <c r="P17" s="1014">
        <f>'SEAP template'!Q87</f>
        <v>2300.7630252100848</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31673.571428571435</v>
      </c>
      <c r="C20" s="1017">
        <f>SUM(C17:C19)</f>
        <v>9681.4285714285725</v>
      </c>
      <c r="D20" s="1017">
        <f t="shared" ref="D20:H20" si="2">SUM(D17:D19)</f>
        <v>11389.915966386558</v>
      </c>
      <c r="E20" s="1017">
        <f t="shared" si="2"/>
        <v>0</v>
      </c>
      <c r="F20" s="1017">
        <f t="shared" si="2"/>
        <v>0</v>
      </c>
      <c r="G20" s="1017">
        <f t="shared" si="2"/>
        <v>0</v>
      </c>
      <c r="H20" s="1017">
        <f t="shared" si="2"/>
        <v>0</v>
      </c>
      <c r="I20" s="1017">
        <f>SUM(I17:I19)</f>
        <v>0</v>
      </c>
      <c r="J20" s="1017">
        <f>SUM(J17:J19)</f>
        <v>37263.025210084044</v>
      </c>
      <c r="K20" s="1017">
        <f t="shared" ref="K20:L20" si="3">SUM(K17:K19)</f>
        <v>0</v>
      </c>
      <c r="L20" s="1017">
        <f t="shared" si="3"/>
        <v>0</v>
      </c>
      <c r="M20" s="1017">
        <f>SUM(M17:M19)</f>
        <v>0</v>
      </c>
      <c r="N20" s="1017">
        <f>SUM(N17:N19)</f>
        <v>0</v>
      </c>
      <c r="O20" s="1017">
        <f>SUM(O17:O19)</f>
        <v>0</v>
      </c>
      <c r="P20" s="1017">
        <f>SUM(P17:P19)</f>
        <v>2300.7630252100848</v>
      </c>
    </row>
    <row r="22" spans="1:16">
      <c r="A22" s="460" t="s">
        <v>893</v>
      </c>
      <c r="B22" s="764" t="s">
        <v>887</v>
      </c>
      <c r="C22" s="764">
        <f ca="1">'EF ele_warmte'!B22</f>
        <v>5.56344583535264E-2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0.19444361762573867</v>
      </c>
      <c r="C17" s="496">
        <f ca="1">'EF ele_warmte'!B22</f>
        <v>5.56344583535264E-2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0.19444361762573867</v>
      </c>
      <c r="C17" s="496">
        <f ca="1">'EF ele_warmte'!B22</f>
        <v>5.56344583535264E-2</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0.19444361762573867</v>
      </c>
      <c r="C29" s="497">
        <f ca="1">'EF ele_warmte'!B22</f>
        <v>5.56344583535264E-2</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24962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2492</v>
      </c>
      <c r="C14" s="327"/>
      <c r="D14" s="327"/>
      <c r="E14" s="327"/>
      <c r="F14" s="327"/>
    </row>
    <row r="15" spans="1:6">
      <c r="A15" s="1293" t="s">
        <v>177</v>
      </c>
      <c r="B15" s="1294">
        <v>16</v>
      </c>
      <c r="C15" s="327"/>
      <c r="D15" s="327"/>
      <c r="E15" s="327"/>
      <c r="F15" s="327"/>
    </row>
    <row r="16" spans="1:6">
      <c r="A16" s="1293" t="s">
        <v>6</v>
      </c>
      <c r="B16" s="1294">
        <v>432</v>
      </c>
      <c r="C16" s="327"/>
      <c r="D16" s="327"/>
      <c r="E16" s="327"/>
      <c r="F16" s="327"/>
    </row>
    <row r="17" spans="1:6">
      <c r="A17" s="1293" t="s">
        <v>7</v>
      </c>
      <c r="B17" s="1294">
        <v>514</v>
      </c>
      <c r="C17" s="327"/>
      <c r="D17" s="327"/>
      <c r="E17" s="327"/>
      <c r="F17" s="327"/>
    </row>
    <row r="18" spans="1:6">
      <c r="A18" s="1293" t="s">
        <v>8</v>
      </c>
      <c r="B18" s="1294">
        <v>704</v>
      </c>
      <c r="C18" s="327"/>
      <c r="D18" s="327"/>
      <c r="E18" s="327"/>
      <c r="F18" s="327"/>
    </row>
    <row r="19" spans="1:6">
      <c r="A19" s="1293" t="s">
        <v>9</v>
      </c>
      <c r="B19" s="1294">
        <v>835</v>
      </c>
      <c r="C19" s="327"/>
      <c r="D19" s="327"/>
      <c r="E19" s="327"/>
      <c r="F19" s="327"/>
    </row>
    <row r="20" spans="1:6">
      <c r="A20" s="1293" t="s">
        <v>10</v>
      </c>
      <c r="B20" s="1294">
        <v>408</v>
      </c>
      <c r="C20" s="327"/>
      <c r="D20" s="327"/>
      <c r="E20" s="327"/>
      <c r="F20" s="327"/>
    </row>
    <row r="21" spans="1:6">
      <c r="A21" s="1293" t="s">
        <v>11</v>
      </c>
      <c r="B21" s="1294">
        <v>17294</v>
      </c>
      <c r="C21" s="327"/>
      <c r="D21" s="327"/>
      <c r="E21" s="327"/>
      <c r="F21" s="327"/>
    </row>
    <row r="22" spans="1:6">
      <c r="A22" s="1293" t="s">
        <v>12</v>
      </c>
      <c r="B22" s="1294">
        <v>33992</v>
      </c>
      <c r="C22" s="327"/>
      <c r="D22" s="327"/>
      <c r="E22" s="327"/>
      <c r="F22" s="327"/>
    </row>
    <row r="23" spans="1:6">
      <c r="A23" s="1293" t="s">
        <v>13</v>
      </c>
      <c r="B23" s="1294">
        <v>715</v>
      </c>
      <c r="C23" s="327"/>
      <c r="D23" s="327"/>
      <c r="E23" s="327"/>
      <c r="F23" s="327"/>
    </row>
    <row r="24" spans="1:6">
      <c r="A24" s="1293" t="s">
        <v>14</v>
      </c>
      <c r="B24" s="1294">
        <v>79</v>
      </c>
      <c r="C24" s="327"/>
      <c r="D24" s="327"/>
      <c r="E24" s="327"/>
      <c r="F24" s="327"/>
    </row>
    <row r="25" spans="1:6">
      <c r="A25" s="1293" t="s">
        <v>15</v>
      </c>
      <c r="B25" s="1294">
        <v>4527</v>
      </c>
      <c r="C25" s="327"/>
      <c r="D25" s="327"/>
      <c r="E25" s="327"/>
      <c r="F25" s="327"/>
    </row>
    <row r="26" spans="1:6">
      <c r="A26" s="1293" t="s">
        <v>16</v>
      </c>
      <c r="B26" s="1294">
        <v>518</v>
      </c>
      <c r="C26" s="327"/>
      <c r="D26" s="327"/>
      <c r="E26" s="327"/>
      <c r="F26" s="327"/>
    </row>
    <row r="27" spans="1:6">
      <c r="A27" s="1293" t="s">
        <v>17</v>
      </c>
      <c r="B27" s="1294">
        <v>20</v>
      </c>
      <c r="C27" s="327"/>
      <c r="D27" s="327"/>
      <c r="E27" s="327"/>
      <c r="F27" s="327"/>
    </row>
    <row r="28" spans="1:6">
      <c r="A28" s="1293" t="s">
        <v>18</v>
      </c>
      <c r="B28" s="1295">
        <v>107412</v>
      </c>
      <c r="C28" s="327"/>
      <c r="D28" s="327"/>
      <c r="E28" s="327"/>
      <c r="F28" s="327"/>
    </row>
    <row r="29" spans="1:6">
      <c r="A29" s="1293" t="s">
        <v>955</v>
      </c>
      <c r="B29" s="1295">
        <v>62</v>
      </c>
      <c r="C29" s="327"/>
      <c r="D29" s="327"/>
      <c r="E29" s="327"/>
      <c r="F29" s="327"/>
    </row>
    <row r="30" spans="1:6">
      <c r="A30" s="1288" t="s">
        <v>956</v>
      </c>
      <c r="B30" s="1296">
        <v>10</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5</v>
      </c>
      <c r="D36" s="1294">
        <v>1073022.3139619799</v>
      </c>
      <c r="E36" s="1294">
        <v>15</v>
      </c>
      <c r="F36" s="1294">
        <v>281988.68408873398</v>
      </c>
    </row>
    <row r="37" spans="1:6">
      <c r="A37" s="1293" t="s">
        <v>24</v>
      </c>
      <c r="B37" s="1293" t="s">
        <v>27</v>
      </c>
      <c r="C37" s="1294">
        <v>0</v>
      </c>
      <c r="D37" s="1294">
        <v>0</v>
      </c>
      <c r="E37" s="1294">
        <v>0</v>
      </c>
      <c r="F37" s="1294">
        <v>0</v>
      </c>
    </row>
    <row r="38" spans="1:6">
      <c r="A38" s="1293" t="s">
        <v>24</v>
      </c>
      <c r="B38" s="1293" t="s">
        <v>28</v>
      </c>
      <c r="C38" s="1294">
        <v>3</v>
      </c>
      <c r="D38" s="1294">
        <v>23153.849540598501</v>
      </c>
      <c r="E38" s="1294">
        <v>0</v>
      </c>
      <c r="F38" s="1294">
        <v>0</v>
      </c>
    </row>
    <row r="39" spans="1:6">
      <c r="A39" s="1293" t="s">
        <v>29</v>
      </c>
      <c r="B39" s="1293" t="s">
        <v>30</v>
      </c>
      <c r="C39" s="1294">
        <v>19938</v>
      </c>
      <c r="D39" s="1294">
        <v>321392560.33396399</v>
      </c>
      <c r="E39" s="1294">
        <v>24399</v>
      </c>
      <c r="F39" s="1294">
        <v>87857179.31825</v>
      </c>
    </row>
    <row r="40" spans="1:6">
      <c r="A40" s="1293" t="s">
        <v>29</v>
      </c>
      <c r="B40" s="1293" t="s">
        <v>28</v>
      </c>
      <c r="C40" s="1294">
        <v>0</v>
      </c>
      <c r="D40" s="1294">
        <v>0</v>
      </c>
      <c r="E40" s="1294">
        <v>1</v>
      </c>
      <c r="F40" s="1294">
        <v>11216</v>
      </c>
    </row>
    <row r="41" spans="1:6">
      <c r="A41" s="1293" t="s">
        <v>31</v>
      </c>
      <c r="B41" s="1293" t="s">
        <v>32</v>
      </c>
      <c r="C41" s="1294">
        <v>280</v>
      </c>
      <c r="D41" s="1294">
        <v>9868881.9053338598</v>
      </c>
      <c r="E41" s="1294">
        <v>610</v>
      </c>
      <c r="F41" s="1294">
        <v>10256954.0925391</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45</v>
      </c>
      <c r="D44" s="1294">
        <v>23279940.6678969</v>
      </c>
      <c r="E44" s="1294">
        <v>144</v>
      </c>
      <c r="F44" s="1294">
        <v>25779045.976860899</v>
      </c>
    </row>
    <row r="45" spans="1:6">
      <c r="A45" s="1293" t="s">
        <v>31</v>
      </c>
      <c r="B45" s="1293" t="s">
        <v>36</v>
      </c>
      <c r="C45" s="1294">
        <v>13</v>
      </c>
      <c r="D45" s="1294">
        <v>1950980.3482689799</v>
      </c>
      <c r="E45" s="1294">
        <v>23</v>
      </c>
      <c r="F45" s="1294">
        <v>35447361.1037459</v>
      </c>
    </row>
    <row r="46" spans="1:6">
      <c r="A46" s="1293" t="s">
        <v>31</v>
      </c>
      <c r="B46" s="1293" t="s">
        <v>37</v>
      </c>
      <c r="C46" s="1294">
        <v>0</v>
      </c>
      <c r="D46" s="1294">
        <v>0</v>
      </c>
      <c r="E46" s="1294">
        <v>0</v>
      </c>
      <c r="F46" s="1294">
        <v>0</v>
      </c>
    </row>
    <row r="47" spans="1:6">
      <c r="A47" s="1293" t="s">
        <v>31</v>
      </c>
      <c r="B47" s="1293" t="s">
        <v>38</v>
      </c>
      <c r="C47" s="1294">
        <v>14</v>
      </c>
      <c r="D47" s="1294">
        <v>23639048.375120498</v>
      </c>
      <c r="E47" s="1294">
        <v>27</v>
      </c>
      <c r="F47" s="1294">
        <v>25739860.9859134</v>
      </c>
    </row>
    <row r="48" spans="1:6">
      <c r="A48" s="1293" t="s">
        <v>31</v>
      </c>
      <c r="B48" s="1293" t="s">
        <v>28</v>
      </c>
      <c r="C48" s="1294">
        <v>49</v>
      </c>
      <c r="D48" s="1294">
        <v>104041908.224749</v>
      </c>
      <c r="E48" s="1294">
        <v>50</v>
      </c>
      <c r="F48" s="1294">
        <v>46784055.724360198</v>
      </c>
    </row>
    <row r="49" spans="1:6">
      <c r="A49" s="1293" t="s">
        <v>31</v>
      </c>
      <c r="B49" s="1293" t="s">
        <v>39</v>
      </c>
      <c r="C49" s="1294">
        <v>10</v>
      </c>
      <c r="D49" s="1294">
        <v>692431.18568586896</v>
      </c>
      <c r="E49" s="1294">
        <v>22</v>
      </c>
      <c r="F49" s="1294">
        <v>1713736.6966918099</v>
      </c>
    </row>
    <row r="50" spans="1:6">
      <c r="A50" s="1293" t="s">
        <v>31</v>
      </c>
      <c r="B50" s="1293" t="s">
        <v>40</v>
      </c>
      <c r="C50" s="1294">
        <v>84</v>
      </c>
      <c r="D50" s="1294">
        <v>97220717.269840494</v>
      </c>
      <c r="E50" s="1294">
        <v>111</v>
      </c>
      <c r="F50" s="1294">
        <v>63944283.271779999</v>
      </c>
    </row>
    <row r="51" spans="1:6">
      <c r="A51" s="1293" t="s">
        <v>41</v>
      </c>
      <c r="B51" s="1293" t="s">
        <v>42</v>
      </c>
      <c r="C51" s="1294">
        <v>31</v>
      </c>
      <c r="D51" s="1294">
        <v>2878897.9777341699</v>
      </c>
      <c r="E51" s="1294">
        <v>192</v>
      </c>
      <c r="F51" s="1294">
        <v>15991173.7747257</v>
      </c>
    </row>
    <row r="52" spans="1:6">
      <c r="A52" s="1293" t="s">
        <v>41</v>
      </c>
      <c r="B52" s="1293" t="s">
        <v>28</v>
      </c>
      <c r="C52" s="1294">
        <v>4</v>
      </c>
      <c r="D52" s="1294">
        <v>255308.21010530999</v>
      </c>
      <c r="E52" s="1294">
        <v>7</v>
      </c>
      <c r="F52" s="1294">
        <v>427057.50946205301</v>
      </c>
    </row>
    <row r="53" spans="1:6">
      <c r="A53" s="1293" t="s">
        <v>43</v>
      </c>
      <c r="B53" s="1293" t="s">
        <v>44</v>
      </c>
      <c r="C53" s="1294">
        <v>568</v>
      </c>
      <c r="D53" s="1294">
        <v>15433852.277283899</v>
      </c>
      <c r="E53" s="1294">
        <v>905</v>
      </c>
      <c r="F53" s="1294">
        <v>4892306.0425127596</v>
      </c>
    </row>
    <row r="54" spans="1:6">
      <c r="A54" s="1293" t="s">
        <v>45</v>
      </c>
      <c r="B54" s="1293" t="s">
        <v>46</v>
      </c>
      <c r="C54" s="1294">
        <v>0</v>
      </c>
      <c r="D54" s="1294">
        <v>0</v>
      </c>
      <c r="E54" s="1294">
        <v>1</v>
      </c>
      <c r="F54" s="1294">
        <v>6056346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264</v>
      </c>
      <c r="D57" s="1294">
        <v>70505849.702073306</v>
      </c>
      <c r="E57" s="1294">
        <v>328</v>
      </c>
      <c r="F57" s="1294">
        <v>4380152.3733092798</v>
      </c>
    </row>
    <row r="58" spans="1:6">
      <c r="A58" s="1293" t="s">
        <v>48</v>
      </c>
      <c r="B58" s="1293" t="s">
        <v>50</v>
      </c>
      <c r="C58" s="1294">
        <v>247</v>
      </c>
      <c r="D58" s="1294">
        <v>18685026.4806947</v>
      </c>
      <c r="E58" s="1294">
        <v>301</v>
      </c>
      <c r="F58" s="1294">
        <v>21269586.6575878</v>
      </c>
    </row>
    <row r="59" spans="1:6">
      <c r="A59" s="1293" t="s">
        <v>48</v>
      </c>
      <c r="B59" s="1293" t="s">
        <v>51</v>
      </c>
      <c r="C59" s="1294">
        <v>695</v>
      </c>
      <c r="D59" s="1294">
        <v>33356286.704399001</v>
      </c>
      <c r="E59" s="1294">
        <v>1211</v>
      </c>
      <c r="F59" s="1294">
        <v>52870374.169355303</v>
      </c>
    </row>
    <row r="60" spans="1:6">
      <c r="A60" s="1293" t="s">
        <v>48</v>
      </c>
      <c r="B60" s="1293" t="s">
        <v>52</v>
      </c>
      <c r="C60" s="1294">
        <v>311</v>
      </c>
      <c r="D60" s="1294">
        <v>22120670.494217001</v>
      </c>
      <c r="E60" s="1294">
        <v>462</v>
      </c>
      <c r="F60" s="1294">
        <v>13608188.227479201</v>
      </c>
    </row>
    <row r="61" spans="1:6">
      <c r="A61" s="1293" t="s">
        <v>48</v>
      </c>
      <c r="B61" s="1293" t="s">
        <v>53</v>
      </c>
      <c r="C61" s="1294">
        <v>814</v>
      </c>
      <c r="D61" s="1294">
        <v>41635408.2698486</v>
      </c>
      <c r="E61" s="1294">
        <v>1638</v>
      </c>
      <c r="F61" s="1294">
        <v>29460971.299456</v>
      </c>
    </row>
    <row r="62" spans="1:6">
      <c r="A62" s="1293" t="s">
        <v>48</v>
      </c>
      <c r="B62" s="1293" t="s">
        <v>54</v>
      </c>
      <c r="C62" s="1294">
        <v>67</v>
      </c>
      <c r="D62" s="1294">
        <v>12199958.1855358</v>
      </c>
      <c r="E62" s="1294">
        <v>98</v>
      </c>
      <c r="F62" s="1294">
        <v>3961709.47575677</v>
      </c>
    </row>
    <row r="63" spans="1:6">
      <c r="A63" s="1293" t="s">
        <v>48</v>
      </c>
      <c r="B63" s="1293" t="s">
        <v>28</v>
      </c>
      <c r="C63" s="1294">
        <v>97</v>
      </c>
      <c r="D63" s="1294">
        <v>37624054.526938103</v>
      </c>
      <c r="E63" s="1294">
        <v>73</v>
      </c>
      <c r="F63" s="1294">
        <v>8486068.98770836</v>
      </c>
    </row>
    <row r="64" spans="1:6">
      <c r="A64" s="1293" t="s">
        <v>55</v>
      </c>
      <c r="B64" s="1293" t="s">
        <v>56</v>
      </c>
      <c r="C64" s="1294">
        <v>0</v>
      </c>
      <c r="D64" s="1294">
        <v>0</v>
      </c>
      <c r="E64" s="1294">
        <v>0</v>
      </c>
      <c r="F64" s="1294">
        <v>0</v>
      </c>
    </row>
    <row r="65" spans="1:6">
      <c r="A65" s="1293" t="s">
        <v>55</v>
      </c>
      <c r="B65" s="1293" t="s">
        <v>28</v>
      </c>
      <c r="C65" s="1294">
        <v>3</v>
      </c>
      <c r="D65" s="1294">
        <v>53728.7349905265</v>
      </c>
      <c r="E65" s="1294">
        <v>2</v>
      </c>
      <c r="F65" s="1294">
        <v>60202.864866990501</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19</v>
      </c>
      <c r="D68" s="1296">
        <v>1032347.10848466</v>
      </c>
      <c r="E68" s="1296">
        <v>50</v>
      </c>
      <c r="F68" s="1296">
        <v>1235541.8290175099</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131809667</v>
      </c>
      <c r="E73" s="445"/>
      <c r="F73" s="327"/>
    </row>
    <row r="74" spans="1:6">
      <c r="A74" s="1293" t="s">
        <v>63</v>
      </c>
      <c r="B74" s="1293" t="s">
        <v>749</v>
      </c>
      <c r="C74" s="1306" t="s">
        <v>743</v>
      </c>
      <c r="D74" s="1294">
        <v>17648142.786561396</v>
      </c>
      <c r="E74" s="445"/>
      <c r="F74" s="327"/>
    </row>
    <row r="75" spans="1:6">
      <c r="A75" s="1293" t="s">
        <v>64</v>
      </c>
      <c r="B75" s="1293" t="s">
        <v>748</v>
      </c>
      <c r="C75" s="1306" t="s">
        <v>744</v>
      </c>
      <c r="D75" s="1294">
        <v>62845414</v>
      </c>
      <c r="E75" s="445"/>
      <c r="F75" s="327"/>
    </row>
    <row r="76" spans="1:6">
      <c r="A76" s="1293" t="s">
        <v>64</v>
      </c>
      <c r="B76" s="1293" t="s">
        <v>749</v>
      </c>
      <c r="C76" s="1306" t="s">
        <v>745</v>
      </c>
      <c r="D76" s="1294">
        <v>3874881.7865613969</v>
      </c>
      <c r="E76" s="445"/>
      <c r="F76" s="327"/>
    </row>
    <row r="77" spans="1:6">
      <c r="A77" s="1293" t="s">
        <v>65</v>
      </c>
      <c r="B77" s="1293" t="s">
        <v>748</v>
      </c>
      <c r="C77" s="1306" t="s">
        <v>746</v>
      </c>
      <c r="D77" s="1294">
        <v>64984301</v>
      </c>
      <c r="E77" s="445"/>
      <c r="F77" s="327"/>
    </row>
    <row r="78" spans="1:6">
      <c r="A78" s="1288" t="s">
        <v>65</v>
      </c>
      <c r="B78" s="1288" t="s">
        <v>749</v>
      </c>
      <c r="C78" s="1288" t="s">
        <v>747</v>
      </c>
      <c r="D78" s="1296">
        <v>11675980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1499638.4268772064</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9153.06035396884</v>
      </c>
      <c r="C91" s="327"/>
      <c r="D91" s="327"/>
      <c r="E91" s="327"/>
      <c r="F91" s="327"/>
    </row>
    <row r="92" spans="1:6">
      <c r="A92" s="1288" t="s">
        <v>68</v>
      </c>
      <c r="B92" s="1289">
        <v>10893.546003549429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15096</v>
      </c>
      <c r="C97" s="327"/>
      <c r="D97" s="327"/>
      <c r="E97" s="327"/>
      <c r="F97" s="327"/>
    </row>
    <row r="98" spans="1:6">
      <c r="A98" s="1293" t="s">
        <v>71</v>
      </c>
      <c r="B98" s="1294">
        <v>2</v>
      </c>
      <c r="C98" s="327"/>
      <c r="D98" s="327"/>
      <c r="E98" s="327"/>
      <c r="F98" s="327"/>
    </row>
    <row r="99" spans="1:6">
      <c r="A99" s="1293" t="s">
        <v>72</v>
      </c>
      <c r="B99" s="1294">
        <v>218</v>
      </c>
      <c r="C99" s="327"/>
      <c r="D99" s="327"/>
      <c r="E99" s="327"/>
      <c r="F99" s="327"/>
    </row>
    <row r="100" spans="1:6">
      <c r="A100" s="1293" t="s">
        <v>73</v>
      </c>
      <c r="B100" s="1294">
        <v>1605</v>
      </c>
      <c r="C100" s="327"/>
      <c r="D100" s="327"/>
      <c r="E100" s="327"/>
      <c r="F100" s="327"/>
    </row>
    <row r="101" spans="1:6">
      <c r="A101" s="1293" t="s">
        <v>74</v>
      </c>
      <c r="B101" s="1294">
        <v>277</v>
      </c>
      <c r="C101" s="327"/>
      <c r="D101" s="327"/>
      <c r="E101" s="327"/>
      <c r="F101" s="327"/>
    </row>
    <row r="102" spans="1:6">
      <c r="A102" s="1293" t="s">
        <v>75</v>
      </c>
      <c r="B102" s="1294">
        <v>397</v>
      </c>
      <c r="C102" s="327"/>
      <c r="D102" s="327"/>
      <c r="E102" s="327"/>
      <c r="F102" s="327"/>
    </row>
    <row r="103" spans="1:6">
      <c r="A103" s="1293" t="s">
        <v>76</v>
      </c>
      <c r="B103" s="1294">
        <v>430</v>
      </c>
      <c r="C103" s="327"/>
      <c r="D103" s="327"/>
      <c r="E103" s="327"/>
      <c r="F103" s="327"/>
    </row>
    <row r="104" spans="1:6">
      <c r="A104" s="1293" t="s">
        <v>77</v>
      </c>
      <c r="B104" s="1294">
        <v>3828</v>
      </c>
      <c r="C104" s="327"/>
      <c r="D104" s="327"/>
      <c r="E104" s="327"/>
      <c r="F104" s="327"/>
    </row>
    <row r="105" spans="1:6">
      <c r="A105" s="1288" t="s">
        <v>78</v>
      </c>
      <c r="B105" s="1296">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15</v>
      </c>
      <c r="C123" s="1294">
        <v>40</v>
      </c>
      <c r="D123" s="327"/>
      <c r="E123" s="327"/>
      <c r="F123" s="327"/>
    </row>
    <row r="124" spans="1:6">
      <c r="A124" s="1293" t="s">
        <v>88</v>
      </c>
      <c r="B124" s="1294">
        <v>3</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215</v>
      </c>
      <c r="C129" s="327"/>
      <c r="D129" s="327"/>
      <c r="E129" s="327"/>
      <c r="F129" s="327"/>
    </row>
    <row r="130" spans="1:6">
      <c r="A130" s="1293" t="s">
        <v>284</v>
      </c>
      <c r="B130" s="1294">
        <v>2</v>
      </c>
      <c r="C130" s="327"/>
      <c r="D130" s="327"/>
      <c r="E130" s="327"/>
      <c r="F130" s="327"/>
    </row>
    <row r="131" spans="1:6">
      <c r="A131" s="1293" t="s">
        <v>285</v>
      </c>
      <c r="B131" s="1294">
        <v>9</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502049.75961961469</v>
      </c>
      <c r="C3" s="44" t="s">
        <v>163</v>
      </c>
      <c r="D3" s="44"/>
      <c r="E3" s="157"/>
      <c r="F3" s="44"/>
      <c r="G3" s="44"/>
      <c r="H3" s="44"/>
      <c r="I3" s="44"/>
      <c r="J3" s="44"/>
      <c r="K3" s="97"/>
    </row>
    <row r="4" spans="1:11">
      <c r="A4" s="352" t="s">
        <v>164</v>
      </c>
      <c r="B4" s="50">
        <f>IF(ISERROR('SEAP template'!B78+'SEAP template'!C78),0,'SEAP template'!B78+'SEAP template'!C78)</f>
        <v>67616.106357518263</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1610.534117647059</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0.19444361762573867</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2300.7630252100848</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41355.000000000007</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5.56344583535264E-2</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6056.3459999999995</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6056.3459999999995</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0.19444361762573867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1177.6178258331718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87868.395318249997</v>
      </c>
      <c r="C5" s="18">
        <f>IF(ISERROR('Eigen informatie GS &amp; warmtenet'!B57),0,'Eigen informatie GS &amp; warmtenet'!B57)</f>
        <v>0</v>
      </c>
      <c r="D5" s="31">
        <f>(SUM(HH_hh_gas_kWh,HH_rest_gas_kWh)/1000)*0.902</f>
        <v>289896.08942123555</v>
      </c>
      <c r="E5" s="18">
        <f>B32*B41</f>
        <v>3116.5148147727523</v>
      </c>
      <c r="F5" s="18">
        <f>B36*B45</f>
        <v>95013.488537856741</v>
      </c>
      <c r="G5" s="19"/>
      <c r="H5" s="18"/>
      <c r="I5" s="18"/>
      <c r="J5" s="18">
        <f>B35*B44+C35*C44</f>
        <v>1723.9866424651595</v>
      </c>
      <c r="K5" s="18"/>
      <c r="L5" s="18"/>
      <c r="M5" s="18"/>
      <c r="N5" s="18">
        <f>B34*B43+C34*C43</f>
        <v>34030.900149878522</v>
      </c>
      <c r="O5" s="18">
        <f>B52*B53*B54</f>
        <v>398.65000000000003</v>
      </c>
      <c r="P5" s="18">
        <f>B60*B61*B62/1000-B60*B61*B62/1000/B63</f>
        <v>552.93333333333339</v>
      </c>
    </row>
    <row r="6" spans="1:16">
      <c r="A6" s="17" t="s">
        <v>622</v>
      </c>
      <c r="B6" s="766">
        <f>kWh_PV_kleiner_dan_10kW</f>
        <v>9153.06035396884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97021.455672218843</v>
      </c>
      <c r="C8" s="22">
        <f>C5</f>
        <v>0</v>
      </c>
      <c r="D8" s="22">
        <f>D5</f>
        <v>289896.08942123555</v>
      </c>
      <c r="E8" s="22">
        <f>E5</f>
        <v>3116.5148147727523</v>
      </c>
      <c r="F8" s="22">
        <f>F5</f>
        <v>95013.488537856741</v>
      </c>
      <c r="G8" s="22"/>
      <c r="H8" s="22"/>
      <c r="I8" s="22"/>
      <c r="J8" s="22">
        <f>J5</f>
        <v>1723.9866424651595</v>
      </c>
      <c r="K8" s="22"/>
      <c r="L8" s="22">
        <f>L5</f>
        <v>0</v>
      </c>
      <c r="M8" s="22">
        <f>M5</f>
        <v>0</v>
      </c>
      <c r="N8" s="22">
        <f>N5</f>
        <v>34030.900149878522</v>
      </c>
      <c r="O8" s="22">
        <f>O5</f>
        <v>398.65000000000003</v>
      </c>
      <c r="P8" s="22">
        <f>P5</f>
        <v>552.93333333333339</v>
      </c>
    </row>
    <row r="9" spans="1:16">
      <c r="B9" s="20"/>
      <c r="C9" s="20"/>
      <c r="D9" s="258"/>
      <c r="E9" s="20"/>
      <c r="F9" s="20"/>
      <c r="G9" s="20"/>
      <c r="H9" s="20"/>
      <c r="I9" s="20"/>
      <c r="J9" s="20"/>
      <c r="K9" s="20"/>
      <c r="L9" s="20"/>
      <c r="M9" s="20"/>
      <c r="N9" s="20"/>
      <c r="O9" s="20"/>
      <c r="P9" s="20"/>
    </row>
    <row r="10" spans="1:16">
      <c r="A10" s="25" t="s">
        <v>207</v>
      </c>
      <c r="B10" s="26">
        <f ca="1">'EF ele_warmte'!B12</f>
        <v>0.19444361762573867</v>
      </c>
      <c r="C10" s="26">
        <f ca="1">'EF ele_warmte'!B22</f>
        <v>5.56344583535264E-2</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18865.202828221474</v>
      </c>
      <c r="C12" s="24">
        <f ca="1">C10*C8</f>
        <v>0</v>
      </c>
      <c r="D12" s="24">
        <f>D8*D10</f>
        <v>58559.010063089583</v>
      </c>
      <c r="E12" s="24">
        <f>E10*E8</f>
        <v>707.44886295341485</v>
      </c>
      <c r="F12" s="24">
        <f>F10*F8</f>
        <v>25368.601439607752</v>
      </c>
      <c r="G12" s="24"/>
      <c r="H12" s="24"/>
      <c r="I12" s="24"/>
      <c r="J12" s="24">
        <f>J10*J8</f>
        <v>610.29127143266646</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24962</v>
      </c>
      <c r="C26" s="37"/>
      <c r="D26" s="228"/>
    </row>
    <row r="27" spans="1:5" s="16" customFormat="1">
      <c r="A27" s="230" t="s">
        <v>648</v>
      </c>
      <c r="B27" s="38">
        <f>SUM(HH_hh_gas_aantal,HH_rest_gas_aantal)</f>
        <v>19938</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18941.099999999999</v>
      </c>
      <c r="C31" s="35" t="s">
        <v>104</v>
      </c>
      <c r="D31" s="174"/>
    </row>
    <row r="32" spans="1:5">
      <c r="A32" s="171" t="s">
        <v>72</v>
      </c>
      <c r="B32" s="34">
        <f>IF((B21*($B$26-($B$27-0.05*$B$27)-$B$60))&lt;0,0,B21*($B$26-($B$27-0.05*$B$27)-$B$60))</f>
        <v>147.25292323260877</v>
      </c>
      <c r="C32" s="35" t="s">
        <v>104</v>
      </c>
      <c r="D32" s="174"/>
    </row>
    <row r="33" spans="1:6">
      <c r="A33" s="171" t="s">
        <v>73</v>
      </c>
      <c r="B33" s="34">
        <f>IF((B22*($B$26-($B$27-0.05*$B$27)-$B$60))&lt;0,0,B22*($B$26-($B$27-0.05*$B$27)-$B$60))</f>
        <v>991.18487740122373</v>
      </c>
      <c r="C33" s="35" t="s">
        <v>104</v>
      </c>
      <c r="D33" s="174"/>
    </row>
    <row r="34" spans="1:6">
      <c r="A34" s="171" t="s">
        <v>74</v>
      </c>
      <c r="B34" s="34">
        <f>IF((B24*($B$26-($B$27-0.05*$B$27)-$B$60))&lt;0,0,B24*($B$26-($B$27-0.05*$B$27)-$B$60))</f>
        <v>251.38537719310796</v>
      </c>
      <c r="C34" s="34">
        <f>B26*C24</f>
        <v>5104.7871032753819</v>
      </c>
      <c r="D34" s="233"/>
    </row>
    <row r="35" spans="1:6">
      <c r="A35" s="171" t="s">
        <v>76</v>
      </c>
      <c r="B35" s="34">
        <f>IF((B19*($B$26-($B$27-0.05*$B$27)-$B$60))&lt;0,0,B19*($B$26-($B$27-0.05*$B$27)-$B$60))</f>
        <v>93.457127924070321</v>
      </c>
      <c r="C35" s="34">
        <f>B35/2</f>
        <v>46.72856396203516</v>
      </c>
      <c r="D35" s="233"/>
    </row>
    <row r="36" spans="1:6">
      <c r="A36" s="171" t="s">
        <v>77</v>
      </c>
      <c r="B36" s="34">
        <f>IF((B18*($B$26-($B$27-0.05*$B$27)-$B$60))&lt;0,0,B18*($B$26-($B$27-0.05*$B$27)-$B$60))</f>
        <v>4508.6196942489896</v>
      </c>
      <c r="C36" s="35" t="s">
        <v>104</v>
      </c>
      <c r="D36" s="174"/>
    </row>
    <row r="37" spans="1:6">
      <c r="A37" s="171" t="s">
        <v>78</v>
      </c>
      <c r="B37" s="34">
        <f>B60</f>
        <v>29</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255</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29</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134037.05119065271</v>
      </c>
      <c r="C5" s="18">
        <f>IF(ISERROR('Eigen informatie GS &amp; warmtenet'!B58),0,'Eigen informatie GS &amp; warmtenet'!B58)</f>
        <v>0</v>
      </c>
      <c r="D5" s="31">
        <f>SUM(D6:D12)</f>
        <v>212986.78343606324</v>
      </c>
      <c r="E5" s="18">
        <f>SUM(E6:E12)</f>
        <v>1171.9081688514423</v>
      </c>
      <c r="F5" s="18">
        <f>SUM(F6:F12)</f>
        <v>29242.484720132928</v>
      </c>
      <c r="G5" s="19"/>
      <c r="H5" s="18"/>
      <c r="I5" s="18"/>
      <c r="J5" s="18">
        <f>SUM(J6:J12)</f>
        <v>0</v>
      </c>
      <c r="K5" s="18"/>
      <c r="L5" s="18"/>
      <c r="M5" s="18"/>
      <c r="N5" s="18">
        <f>SUM(N6:N12)</f>
        <v>3551.3772232056772</v>
      </c>
      <c r="O5" s="18">
        <f>B38*B39*B40</f>
        <v>3.1266666666666669</v>
      </c>
      <c r="P5" s="18">
        <f>B46*B47*B48/1000-B46*B47*B48/1000/B49</f>
        <v>171.6</v>
      </c>
      <c r="R5" s="33"/>
    </row>
    <row r="6" spans="1:18">
      <c r="A6" s="33" t="s">
        <v>53</v>
      </c>
      <c r="B6" s="38">
        <f>B26</f>
        <v>29460.971299456</v>
      </c>
      <c r="C6" s="34"/>
      <c r="D6" s="38">
        <f>IF(ISERROR(TER_kantoor_gas_kWh/1000),0,TER_kantoor_gas_kWh/1000)*0.902</f>
        <v>37555.138259403437</v>
      </c>
      <c r="E6" s="34">
        <f>$C$26*'E Balans VL '!I12/100/3.6*1000000</f>
        <v>48.351424929777174</v>
      </c>
      <c r="F6" s="34">
        <f>$C$26*('E Balans VL '!L12+'E Balans VL '!N12)/100/3.6*1000000</f>
        <v>3472.7553371939571</v>
      </c>
      <c r="G6" s="35"/>
      <c r="H6" s="34"/>
      <c r="I6" s="34"/>
      <c r="J6" s="34">
        <f>$C$26*('E Balans VL '!D12+'E Balans VL '!E12)/100/3.6*1000000</f>
        <v>0</v>
      </c>
      <c r="K6" s="34"/>
      <c r="L6" s="34"/>
      <c r="M6" s="34"/>
      <c r="N6" s="34">
        <f>$C$26*'E Balans VL '!Y12/100/3.6*1000000</f>
        <v>5.9524497419347329</v>
      </c>
      <c r="O6" s="34"/>
      <c r="P6" s="34"/>
      <c r="R6" s="33"/>
    </row>
    <row r="7" spans="1:18">
      <c r="A7" s="33" t="s">
        <v>52</v>
      </c>
      <c r="B7" s="38">
        <f t="shared" ref="B7:B12" si="0">B27</f>
        <v>13608.188227479201</v>
      </c>
      <c r="C7" s="34"/>
      <c r="D7" s="38">
        <f>IF(ISERROR(TER_horeca_gas_kWh/1000),0,TER_horeca_gas_kWh/1000)*0.902</f>
        <v>19952.844785783735</v>
      </c>
      <c r="E7" s="34">
        <f>$C$27*'E Balans VL '!I9/100/3.6*1000000</f>
        <v>706.16649804895656</v>
      </c>
      <c r="F7" s="34">
        <f>$C$27*('E Balans VL '!L9+'E Balans VL '!N9)/100/3.6*1000000</f>
        <v>3105.3984276610699</v>
      </c>
      <c r="G7" s="35"/>
      <c r="H7" s="34"/>
      <c r="I7" s="34"/>
      <c r="J7" s="34">
        <f>$C$27*('E Balans VL '!D9+'E Balans VL '!E9)/100/3.6*1000000</f>
        <v>0</v>
      </c>
      <c r="K7" s="34"/>
      <c r="L7" s="34"/>
      <c r="M7" s="34"/>
      <c r="N7" s="34">
        <f>$C$27*'E Balans VL '!Y9/100/3.6*1000000</f>
        <v>1.4370184405974782</v>
      </c>
      <c r="O7" s="34"/>
      <c r="P7" s="34"/>
      <c r="R7" s="33"/>
    </row>
    <row r="8" spans="1:18">
      <c r="A8" s="6" t="s">
        <v>51</v>
      </c>
      <c r="B8" s="38">
        <f t="shared" si="0"/>
        <v>52870.374169355302</v>
      </c>
      <c r="C8" s="34"/>
      <c r="D8" s="38">
        <f>IF(ISERROR(TER_handel_gas_kWh/1000),0,TER_handel_gas_kWh/1000)*0.902</f>
        <v>30087.370607367895</v>
      </c>
      <c r="E8" s="34">
        <f>$C$28*'E Balans VL '!I13/100/3.6*1000000</f>
        <v>284.71346180745513</v>
      </c>
      <c r="F8" s="34">
        <f>$C$28*('E Balans VL '!L13+'E Balans VL '!N13)/100/3.6*1000000</f>
        <v>10781.840459142022</v>
      </c>
      <c r="G8" s="35"/>
      <c r="H8" s="34"/>
      <c r="I8" s="34"/>
      <c r="J8" s="34">
        <f>$C$28*('E Balans VL '!D13+'E Balans VL '!E13)/100/3.6*1000000</f>
        <v>0</v>
      </c>
      <c r="K8" s="34"/>
      <c r="L8" s="34"/>
      <c r="M8" s="34"/>
      <c r="N8" s="34">
        <f>$C$28*'E Balans VL '!Y13/100/3.6*1000000</f>
        <v>262.89645069953059</v>
      </c>
      <c r="O8" s="34"/>
      <c r="P8" s="34"/>
      <c r="R8" s="33"/>
    </row>
    <row r="9" spans="1:18">
      <c r="A9" s="33" t="s">
        <v>50</v>
      </c>
      <c r="B9" s="38">
        <f t="shared" si="0"/>
        <v>21269.586657587799</v>
      </c>
      <c r="C9" s="34"/>
      <c r="D9" s="38">
        <f>IF(ISERROR(TER_gezond_gas_kWh/1000),0,TER_gezond_gas_kWh/1000)*0.902</f>
        <v>16853.893885586622</v>
      </c>
      <c r="E9" s="34">
        <f>$C$29*'E Balans VL '!I10/100/3.6*1000000</f>
        <v>21.078402254407944</v>
      </c>
      <c r="F9" s="34">
        <f>$C$29*('E Balans VL '!L10+'E Balans VL '!N10)/100/3.6*1000000</f>
        <v>7379.9334978676861</v>
      </c>
      <c r="G9" s="35"/>
      <c r="H9" s="34"/>
      <c r="I9" s="34"/>
      <c r="J9" s="34">
        <f>$C$29*('E Balans VL '!D10+'E Balans VL '!E10)/100/3.6*1000000</f>
        <v>0</v>
      </c>
      <c r="K9" s="34"/>
      <c r="L9" s="34"/>
      <c r="M9" s="34"/>
      <c r="N9" s="34">
        <f>$C$29*'E Balans VL '!Y10/100/3.6*1000000</f>
        <v>183.27818565297582</v>
      </c>
      <c r="O9" s="34"/>
      <c r="P9" s="34"/>
      <c r="R9" s="33"/>
    </row>
    <row r="10" spans="1:18">
      <c r="A10" s="33" t="s">
        <v>49</v>
      </c>
      <c r="B10" s="38">
        <f t="shared" si="0"/>
        <v>4380.1523733092799</v>
      </c>
      <c r="C10" s="34"/>
      <c r="D10" s="38">
        <f>IF(ISERROR(TER_ander_gas_kWh/1000),0,TER_ander_gas_kWh/1000)*0.902</f>
        <v>63596.276431270126</v>
      </c>
      <c r="E10" s="34">
        <f>$C$30*'E Balans VL '!I14/100/3.6*1000000</f>
        <v>35.834024064200229</v>
      </c>
      <c r="F10" s="34">
        <f>$C$30*('E Balans VL '!L14+'E Balans VL '!N14)/100/3.6*1000000</f>
        <v>1280.5782305669854</v>
      </c>
      <c r="G10" s="35"/>
      <c r="H10" s="34"/>
      <c r="I10" s="34"/>
      <c r="J10" s="34">
        <f>$C$30*('E Balans VL '!D14+'E Balans VL '!E14)/100/3.6*1000000</f>
        <v>0</v>
      </c>
      <c r="K10" s="34"/>
      <c r="L10" s="34"/>
      <c r="M10" s="34"/>
      <c r="N10" s="34">
        <f>$C$30*'E Balans VL '!Y14/100/3.6*1000000</f>
        <v>2526.7731948470532</v>
      </c>
      <c r="O10" s="34"/>
      <c r="P10" s="34"/>
      <c r="R10" s="33"/>
    </row>
    <row r="11" spans="1:18">
      <c r="A11" s="33" t="s">
        <v>54</v>
      </c>
      <c r="B11" s="38">
        <f t="shared" si="0"/>
        <v>3961.7094757567702</v>
      </c>
      <c r="C11" s="34"/>
      <c r="D11" s="38">
        <f>IF(ISERROR(TER_onderwijs_gas_kWh/1000),0,TER_onderwijs_gas_kWh/1000)*0.902</f>
        <v>11004.362283353292</v>
      </c>
      <c r="E11" s="34">
        <f>$C$31*'E Balans VL '!I11/100/3.6*1000000</f>
        <v>2.4418305597376313</v>
      </c>
      <c r="F11" s="34">
        <f>$C$31*('E Balans VL '!L11+'E Balans VL '!N11)/100/3.6*1000000</f>
        <v>1531.6610419024487</v>
      </c>
      <c r="G11" s="35"/>
      <c r="H11" s="34"/>
      <c r="I11" s="34"/>
      <c r="J11" s="34">
        <f>$C$31*('E Balans VL '!D11+'E Balans VL '!E11)/100/3.6*1000000</f>
        <v>0</v>
      </c>
      <c r="K11" s="34"/>
      <c r="L11" s="34"/>
      <c r="M11" s="34"/>
      <c r="N11" s="34">
        <f>$C$31*'E Balans VL '!Y11/100/3.6*1000000</f>
        <v>12.886591948422986</v>
      </c>
      <c r="O11" s="34"/>
      <c r="P11" s="34"/>
      <c r="R11" s="33"/>
    </row>
    <row r="12" spans="1:18">
      <c r="A12" s="33" t="s">
        <v>249</v>
      </c>
      <c r="B12" s="38">
        <f t="shared" si="0"/>
        <v>8486.0689877083605</v>
      </c>
      <c r="C12" s="34"/>
      <c r="D12" s="38">
        <f>IF(ISERROR(TER_rest_gas_kWh/1000),0,TER_rest_gas_kWh/1000)*0.902</f>
        <v>33936.89718329817</v>
      </c>
      <c r="E12" s="34">
        <f>$C$32*'E Balans VL '!I8/100/3.6*1000000</f>
        <v>73.322527186907507</v>
      </c>
      <c r="F12" s="34">
        <f>$C$32*('E Balans VL '!L8+'E Balans VL '!N8)/100/3.6*1000000</f>
        <v>1690.3177257987625</v>
      </c>
      <c r="G12" s="35"/>
      <c r="H12" s="34"/>
      <c r="I12" s="34"/>
      <c r="J12" s="34">
        <f>$C$32*('E Balans VL '!D8+'E Balans VL '!E8)/100/3.6*1000000</f>
        <v>0</v>
      </c>
      <c r="K12" s="34"/>
      <c r="L12" s="34"/>
      <c r="M12" s="34"/>
      <c r="N12" s="34">
        <f>$C$32*'E Balans VL '!Y8/100/3.6*1000000</f>
        <v>558.15333187516262</v>
      </c>
      <c r="O12" s="34"/>
      <c r="P12" s="34"/>
      <c r="R12" s="33"/>
    </row>
    <row r="13" spans="1:18">
      <c r="A13" s="17" t="s">
        <v>489</v>
      </c>
      <c r="B13" s="246">
        <f ca="1">'lokale energieproductie'!N43+'lokale energieproductie'!N34</f>
        <v>33921</v>
      </c>
      <c r="C13" s="246">
        <f ca="1">'lokale energieproductie'!O43+'lokale energieproductie'!O34</f>
        <v>41355.000000000007</v>
      </c>
      <c r="D13" s="305">
        <f ca="1">('lokale energieproductie'!P34+'lokale energieproductie'!P43)*(-1)</f>
        <v>-19362.857142857145</v>
      </c>
      <c r="E13" s="247"/>
      <c r="F13" s="305">
        <f ca="1">('lokale energieproductie'!S34+'lokale energieproductie'!S43)*(-1)</f>
        <v>0</v>
      </c>
      <c r="G13" s="248"/>
      <c r="H13" s="247"/>
      <c r="I13" s="247"/>
      <c r="J13" s="247"/>
      <c r="K13" s="247"/>
      <c r="L13" s="305">
        <f ca="1">('lokale energieproductie'!U34+'lokale energieproductie'!T34+'lokale energieproductie'!U43+'lokale energieproductie'!T43)*(-1)</f>
        <v>0</v>
      </c>
      <c r="M13" s="247"/>
      <c r="N13" s="305">
        <f ca="1">('lokale energieproductie'!Q34+'lokale energieproductie'!R34+'lokale energieproductie'!V34+'lokale energieproductie'!Q43+'lokale energieproductie'!R43+'lokale energieproductie'!V43)*(-1)</f>
        <v>-77554.285714285725</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167958.05119065271</v>
      </c>
      <c r="C16" s="22">
        <f t="shared" ca="1" si="1"/>
        <v>41355.000000000007</v>
      </c>
      <c r="D16" s="22">
        <f t="shared" ca="1" si="1"/>
        <v>193623.92629320611</v>
      </c>
      <c r="E16" s="22">
        <f t="shared" si="1"/>
        <v>1171.9081688514423</v>
      </c>
      <c r="F16" s="22">
        <f t="shared" ca="1" si="1"/>
        <v>29242.484720132928</v>
      </c>
      <c r="G16" s="22">
        <f t="shared" si="1"/>
        <v>0</v>
      </c>
      <c r="H16" s="22">
        <f t="shared" si="1"/>
        <v>0</v>
      </c>
      <c r="I16" s="22">
        <f t="shared" si="1"/>
        <v>0</v>
      </c>
      <c r="J16" s="22">
        <f t="shared" si="1"/>
        <v>0</v>
      </c>
      <c r="K16" s="22">
        <f t="shared" si="1"/>
        <v>0</v>
      </c>
      <c r="L16" s="22">
        <f t="shared" ca="1" si="1"/>
        <v>0</v>
      </c>
      <c r="M16" s="22">
        <f t="shared" si="1"/>
        <v>0</v>
      </c>
      <c r="N16" s="22">
        <f t="shared" ca="1" si="1"/>
        <v>0</v>
      </c>
      <c r="O16" s="22">
        <f>O5</f>
        <v>3.1266666666666669</v>
      </c>
      <c r="P16" s="22">
        <f>P5</f>
        <v>171.6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0.19444361762573867</v>
      </c>
      <c r="C18" s="26">
        <f ca="1">'EF ele_warmte'!B22</f>
        <v>5.56344583535264E-2</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32658.371082879516</v>
      </c>
      <c r="C20" s="24">
        <f t="shared" ref="C20:P20" ca="1" si="2">C16*C18</f>
        <v>2300.7630252100848</v>
      </c>
      <c r="D20" s="24">
        <f t="shared" ca="1" si="2"/>
        <v>39112.03311122764</v>
      </c>
      <c r="E20" s="24">
        <f t="shared" si="2"/>
        <v>266.02315432927742</v>
      </c>
      <c r="F20" s="24">
        <f t="shared" ca="1" si="2"/>
        <v>7807.7434202754921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29460.971299456</v>
      </c>
      <c r="C26" s="40">
        <f>IF(ISERROR(B26*3.6/1000000/'E Balans VL '!Z12*100),0,B26*3.6/1000000/'E Balans VL '!Z12*100)</f>
        <v>0.62602451273634363</v>
      </c>
      <c r="D26" s="236" t="s">
        <v>685</v>
      </c>
      <c r="F26" s="6"/>
    </row>
    <row r="27" spans="1:18">
      <c r="A27" s="231" t="s">
        <v>52</v>
      </c>
      <c r="B27" s="34">
        <f>IF(ISERROR(TER_horeca_ele_kWh/1000),0,TER_horeca_ele_kWh/1000)</f>
        <v>13608.188227479201</v>
      </c>
      <c r="C27" s="40">
        <f>IF(ISERROR(B27*3.6/1000000/'E Balans VL '!Z9*100),0,B27*3.6/1000000/'E Balans VL '!Z9*100)</f>
        <v>1.0710696451658224</v>
      </c>
      <c r="D27" s="236" t="s">
        <v>685</v>
      </c>
      <c r="F27" s="6"/>
    </row>
    <row r="28" spans="1:18">
      <c r="A28" s="171" t="s">
        <v>51</v>
      </c>
      <c r="B28" s="34">
        <f>IF(ISERROR(TER_handel_ele_kWh/1000),0,TER_handel_ele_kWh/1000)</f>
        <v>52870.374169355302</v>
      </c>
      <c r="C28" s="40">
        <f>IF(ISERROR(B28*3.6/1000000/'E Balans VL '!Z13*100),0,B28*3.6/1000000/'E Balans VL '!Z13*100)</f>
        <v>1.4809274755908148</v>
      </c>
      <c r="D28" s="236" t="s">
        <v>685</v>
      </c>
      <c r="F28" s="6"/>
    </row>
    <row r="29" spans="1:18">
      <c r="A29" s="231" t="s">
        <v>50</v>
      </c>
      <c r="B29" s="34">
        <f>IF(ISERROR(TER_gezond_ele_kWh/1000),0,TER_gezond_ele_kWh/1000)</f>
        <v>21269.586657587799</v>
      </c>
      <c r="C29" s="40">
        <f>IF(ISERROR(B29*3.6/1000000/'E Balans VL '!Z10*100),0,B29*3.6/1000000/'E Balans VL '!Z10*100)</f>
        <v>2.7210232999028698</v>
      </c>
      <c r="D29" s="236" t="s">
        <v>685</v>
      </c>
      <c r="F29" s="6"/>
    </row>
    <row r="30" spans="1:18">
      <c r="A30" s="231" t="s">
        <v>49</v>
      </c>
      <c r="B30" s="34">
        <f>IF(ISERROR(TER_ander_ele_kWh/1000),0,TER_ander_ele_kWh/1000)</f>
        <v>4380.1523733092799</v>
      </c>
      <c r="C30" s="40">
        <f>IF(ISERROR(B30*3.6/1000000/'E Balans VL '!Z14*100),0,B30*3.6/1000000/'E Balans VL '!Z14*100)</f>
        <v>0.3275984897148978</v>
      </c>
      <c r="D30" s="236" t="s">
        <v>685</v>
      </c>
      <c r="F30" s="6"/>
    </row>
    <row r="31" spans="1:18">
      <c r="A31" s="231" t="s">
        <v>54</v>
      </c>
      <c r="B31" s="34">
        <f>IF(ISERROR(TER_onderwijs_ele_kWh/1000),0,TER_onderwijs_ele_kWh/1000)</f>
        <v>3961.7094757567702</v>
      </c>
      <c r="C31" s="40">
        <f>IF(ISERROR(B31*3.6/1000000/'E Balans VL '!Z11*100),0,B31*3.6/1000000/'E Balans VL '!Z11*100)</f>
        <v>0.83652008753151486</v>
      </c>
      <c r="D31" s="236" t="s">
        <v>685</v>
      </c>
    </row>
    <row r="32" spans="1:18">
      <c r="A32" s="231" t="s">
        <v>249</v>
      </c>
      <c r="B32" s="34">
        <f>IF(ISERROR(TER_rest_ele_kWh/1000),0,TER_rest_ele_kWh/1000)</f>
        <v>8486.0689877083605</v>
      </c>
      <c r="C32" s="40">
        <f>IF(ISERROR(B32*3.6/1000000/'E Balans VL '!Z8*100),0,B32*3.6/1000000/'E Balans VL '!Z8*100)</f>
        <v>6.9907659823375823E-2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2</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9</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209665.29785189129</v>
      </c>
      <c r="C5" s="18">
        <f>IF(ISERROR('Eigen informatie GS &amp; warmtenet'!B59),0,'Eigen informatie GS &amp; warmtenet'!B59)</f>
        <v>0</v>
      </c>
      <c r="D5" s="31">
        <f>SUM(D6:D15)</f>
        <v>235145.90499515983</v>
      </c>
      <c r="E5" s="18">
        <f>SUM(E6:E15)</f>
        <v>3121.9062230894988</v>
      </c>
      <c r="F5" s="18">
        <f>SUM(F6:F15)</f>
        <v>41991.100447917706</v>
      </c>
      <c r="G5" s="19"/>
      <c r="H5" s="18"/>
      <c r="I5" s="18"/>
      <c r="J5" s="18">
        <f>SUM(J6:J15)</f>
        <v>893.32892224222837</v>
      </c>
      <c r="K5" s="18"/>
      <c r="L5" s="18"/>
      <c r="M5" s="18"/>
      <c r="N5" s="18">
        <f>SUM(N6:N15)</f>
        <v>12738.07802708081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25779.0459768609</v>
      </c>
      <c r="C8" s="34"/>
      <c r="D8" s="38">
        <f>IF( ISERROR(IND_metaal_Gas_kWH/1000),0,IND_metaal_Gas_kWH/1000)*0.902</f>
        <v>20998.506482443005</v>
      </c>
      <c r="E8" s="34">
        <f>C30*'E Balans VL '!I18/100/3.6*1000000</f>
        <v>234.7651260087016</v>
      </c>
      <c r="F8" s="34">
        <f>C30*'E Balans VL '!L18/100/3.6*1000000+C30*'E Balans VL '!N18/100/3.6*1000000</f>
        <v>3400.0603949103579</v>
      </c>
      <c r="G8" s="35"/>
      <c r="H8" s="34"/>
      <c r="I8" s="34"/>
      <c r="J8" s="41">
        <f>C30*'E Balans VL '!D18/100/3.6*1000000+C30*'E Balans VL '!E18/100/3.6*1000000</f>
        <v>422.73892419356798</v>
      </c>
      <c r="K8" s="34"/>
      <c r="L8" s="34"/>
      <c r="M8" s="34"/>
      <c r="N8" s="34">
        <f>C30*'E Balans VL '!Y18/100/3.6*1000000</f>
        <v>88.592340322725974</v>
      </c>
      <c r="O8" s="34"/>
      <c r="P8" s="34"/>
      <c r="R8" s="33"/>
    </row>
    <row r="9" spans="1:18">
      <c r="A9" s="6" t="s">
        <v>32</v>
      </c>
      <c r="B9" s="38">
        <f t="shared" si="0"/>
        <v>10256.954092539099</v>
      </c>
      <c r="C9" s="34"/>
      <c r="D9" s="38">
        <f>IF( ISERROR(IND_andere_gas_kWh/1000),0,IND_andere_gas_kWh/1000)*0.902</f>
        <v>8901.7314786111419</v>
      </c>
      <c r="E9" s="34">
        <f>C31*'E Balans VL '!I19/100/3.6*1000000</f>
        <v>59.286727429884735</v>
      </c>
      <c r="F9" s="34">
        <f>C31*'E Balans VL '!L19/100/3.6*1000000+C31*'E Balans VL '!N19/100/3.6*1000000</f>
        <v>8159.9005257154895</v>
      </c>
      <c r="G9" s="35"/>
      <c r="H9" s="34"/>
      <c r="I9" s="34"/>
      <c r="J9" s="41">
        <f>C31*'E Balans VL '!D19/100/3.6*1000000+C31*'E Balans VL '!E19/100/3.6*1000000</f>
        <v>0.97019392613509803</v>
      </c>
      <c r="K9" s="34"/>
      <c r="L9" s="34"/>
      <c r="M9" s="34"/>
      <c r="N9" s="34">
        <f>C31*'E Balans VL '!Y19/100/3.6*1000000</f>
        <v>777.11949414757316</v>
      </c>
      <c r="O9" s="34"/>
      <c r="P9" s="34"/>
      <c r="R9" s="33"/>
    </row>
    <row r="10" spans="1:18">
      <c r="A10" s="6" t="s">
        <v>40</v>
      </c>
      <c r="B10" s="38">
        <f t="shared" si="0"/>
        <v>63944.283271779997</v>
      </c>
      <c r="C10" s="34"/>
      <c r="D10" s="38">
        <f>IF( ISERROR(IND_voed_gas_kWh/1000),0,IND_voed_gas_kWh/1000)*0.902</f>
        <v>87693.086977396131</v>
      </c>
      <c r="E10" s="34">
        <f>C32*'E Balans VL '!I20/100/3.6*1000000</f>
        <v>628.73959248234701</v>
      </c>
      <c r="F10" s="34">
        <f>C32*'E Balans VL '!L20/100/3.6*1000000+C32*'E Balans VL '!N20/100/3.6*1000000</f>
        <v>7101.8472993215883</v>
      </c>
      <c r="G10" s="35"/>
      <c r="H10" s="34"/>
      <c r="I10" s="34"/>
      <c r="J10" s="41">
        <f>C32*'E Balans VL '!D20/100/3.6*1000000+C32*'E Balans VL '!E20/100/3.6*1000000</f>
        <v>0.2520334493319511</v>
      </c>
      <c r="K10" s="34"/>
      <c r="L10" s="34"/>
      <c r="M10" s="34"/>
      <c r="N10" s="34">
        <f>C32*'E Balans VL '!Y20/100/3.6*1000000</f>
        <v>946.86442244613409</v>
      </c>
      <c r="O10" s="34"/>
      <c r="P10" s="34"/>
      <c r="R10" s="33"/>
    </row>
    <row r="11" spans="1:18">
      <c r="A11" s="6" t="s">
        <v>39</v>
      </c>
      <c r="B11" s="38">
        <f t="shared" si="0"/>
        <v>1713.7366966918098</v>
      </c>
      <c r="C11" s="34"/>
      <c r="D11" s="38">
        <f>IF( ISERROR(IND_textiel_gas_kWh/1000),0,IND_textiel_gas_kWh/1000)*0.902</f>
        <v>624.57292948865381</v>
      </c>
      <c r="E11" s="34">
        <f>C33*'E Balans VL '!I21/100/3.6*1000000</f>
        <v>3.337043289852228</v>
      </c>
      <c r="F11" s="34">
        <f>C33*'E Balans VL '!L21/100/3.6*1000000+C33*'E Balans VL '!N21/100/3.6*1000000</f>
        <v>56.524659890005239</v>
      </c>
      <c r="G11" s="35"/>
      <c r="H11" s="34"/>
      <c r="I11" s="34"/>
      <c r="J11" s="41">
        <f>C33*'E Balans VL '!D21/100/3.6*1000000+C33*'E Balans VL '!E21/100/3.6*1000000</f>
        <v>0</v>
      </c>
      <c r="K11" s="34"/>
      <c r="L11" s="34"/>
      <c r="M11" s="34"/>
      <c r="N11" s="34">
        <f>C33*'E Balans VL '!Y21/100/3.6*1000000</f>
        <v>17.775956976041154</v>
      </c>
      <c r="O11" s="34"/>
      <c r="P11" s="34"/>
      <c r="R11" s="33"/>
    </row>
    <row r="12" spans="1:18">
      <c r="A12" s="6" t="s">
        <v>36</v>
      </c>
      <c r="B12" s="38">
        <f t="shared" si="0"/>
        <v>35447.361103745898</v>
      </c>
      <c r="C12" s="34"/>
      <c r="D12" s="38">
        <f>IF( ISERROR(IND_min_gas_kWh/1000),0,IND_min_gas_kWh/1000)*0.902</f>
        <v>1759.78427413862</v>
      </c>
      <c r="E12" s="34">
        <f>C34*'E Balans VL '!I22/100/3.6*1000000</f>
        <v>898.6536823845662</v>
      </c>
      <c r="F12" s="34">
        <f>C34*'E Balans VL '!L22/100/3.6*1000000+C34*'E Balans VL '!N22/100/3.6*1000000</f>
        <v>9808.4083723836866</v>
      </c>
      <c r="G12" s="35"/>
      <c r="H12" s="34"/>
      <c r="I12" s="34"/>
      <c r="J12" s="41">
        <f>C34*'E Balans VL '!D22/100/3.6*1000000+C34*'E Balans VL '!E22/100/3.6*1000000</f>
        <v>234.10149590924092</v>
      </c>
      <c r="K12" s="34"/>
      <c r="L12" s="34"/>
      <c r="M12" s="34"/>
      <c r="N12" s="34">
        <f>C34*'E Balans VL '!Y22/100/3.6*1000000</f>
        <v>0</v>
      </c>
      <c r="O12" s="34"/>
      <c r="P12" s="34"/>
      <c r="R12" s="33"/>
    </row>
    <row r="13" spans="1:18">
      <c r="A13" s="6" t="s">
        <v>38</v>
      </c>
      <c r="B13" s="38">
        <f t="shared" si="0"/>
        <v>25739.860985913401</v>
      </c>
      <c r="C13" s="34"/>
      <c r="D13" s="38">
        <f>IF( ISERROR(IND_papier_gas_kWh/1000),0,IND_papier_gas_kWh/1000)*0.902</f>
        <v>21322.421634358692</v>
      </c>
      <c r="E13" s="34">
        <f>C35*'E Balans VL '!I23/100/3.6*1000000</f>
        <v>876.73698556578381</v>
      </c>
      <c r="F13" s="34">
        <f>C35*'E Balans VL '!L23/100/3.6*1000000+C35*'E Balans VL '!N23/100/3.6*1000000</f>
        <v>4251.6209333391844</v>
      </c>
      <c r="G13" s="35"/>
      <c r="H13" s="34"/>
      <c r="I13" s="34"/>
      <c r="J13" s="41">
        <f>C35*'E Balans VL '!D23/100/3.6*1000000+C35*'E Balans VL '!E23/100/3.6*1000000</f>
        <v>0</v>
      </c>
      <c r="K13" s="34"/>
      <c r="L13" s="34"/>
      <c r="M13" s="34"/>
      <c r="N13" s="34">
        <f>C35*'E Balans VL '!Y23/100/3.6*1000000</f>
        <v>9471.5785532557729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46784.055724360194</v>
      </c>
      <c r="C15" s="34"/>
      <c r="D15" s="38">
        <f>IF( ISERROR(IND_rest_gas_kWh/1000),0,IND_rest_gas_kWh/1000)*0.902</f>
        <v>93845.801218723602</v>
      </c>
      <c r="E15" s="34">
        <f>C37*'E Balans VL '!I15/100/3.6*1000000</f>
        <v>420.38706592836297</v>
      </c>
      <c r="F15" s="34">
        <f>C37*'E Balans VL '!L15/100/3.6*1000000+C37*'E Balans VL '!N15/100/3.6*1000000</f>
        <v>9212.7382623573994</v>
      </c>
      <c r="G15" s="35"/>
      <c r="H15" s="34"/>
      <c r="I15" s="34"/>
      <c r="J15" s="41">
        <f>C37*'E Balans VL '!D15/100/3.6*1000000+C37*'E Balans VL '!E15/100/3.6*1000000</f>
        <v>235.26627476395245</v>
      </c>
      <c r="K15" s="34"/>
      <c r="L15" s="34"/>
      <c r="M15" s="34"/>
      <c r="N15" s="34">
        <f>C37*'E Balans VL '!Y15/100/3.6*1000000</f>
        <v>1436.147259932563</v>
      </c>
      <c r="O15" s="34"/>
      <c r="P15" s="34"/>
      <c r="R15" s="33"/>
    </row>
    <row r="16" spans="1:18">
      <c r="A16" s="17" t="s">
        <v>489</v>
      </c>
      <c r="B16" s="246">
        <f>'lokale energieproductie'!N42+'lokale energieproductie'!N33</f>
        <v>0</v>
      </c>
      <c r="C16" s="246">
        <f>'lokale energieproductie'!O42+'lokale energieproductie'!O33</f>
        <v>0</v>
      </c>
      <c r="D16" s="305">
        <f>('lokale energieproductie'!P33+'lokale energieproductie'!P42)*(-1)</f>
        <v>0</v>
      </c>
      <c r="E16" s="247"/>
      <c r="F16" s="305">
        <f>('lokale energieproductie'!S33+'lokale energieproductie'!S42)*(-1)</f>
        <v>0</v>
      </c>
      <c r="G16" s="248"/>
      <c r="H16" s="247"/>
      <c r="I16" s="247"/>
      <c r="J16" s="247"/>
      <c r="K16" s="247"/>
      <c r="L16" s="305">
        <f>('lokale energieproductie'!T33+'lokale energieproductie'!U33+'lokale energieproductie'!T42+'lokale energieproductie'!U42)*(-1)</f>
        <v>0</v>
      </c>
      <c r="M16" s="247"/>
      <c r="N16" s="305">
        <f>('lokale energieproductie'!Q33+'lokale energieproductie'!R33+'lokale energieproductie'!V33+'lokale energieproductie'!Q42+'lokale energieproductie'!R42+'lokale energieproductie'!V42)*(-1)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209665.29785189129</v>
      </c>
      <c r="C18" s="22">
        <f>C5+C16</f>
        <v>0</v>
      </c>
      <c r="D18" s="22">
        <f>MAX((D5+D16),0)</f>
        <v>235145.90499515983</v>
      </c>
      <c r="E18" s="22">
        <f>MAX((E5+E16),0)</f>
        <v>3121.9062230894988</v>
      </c>
      <c r="F18" s="22">
        <f>MAX((F5+F16),0)</f>
        <v>41991.100447917706</v>
      </c>
      <c r="G18" s="22"/>
      <c r="H18" s="22"/>
      <c r="I18" s="22"/>
      <c r="J18" s="22">
        <f>MAX((J5+J16),0)</f>
        <v>893.32892224222837</v>
      </c>
      <c r="K18" s="22"/>
      <c r="L18" s="22">
        <f>MAX((L5+L16),0)</f>
        <v>0</v>
      </c>
      <c r="M18" s="22"/>
      <c r="N18" s="22">
        <f>MAX((N5+N16),0)</f>
        <v>12738.07802708081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0.19444361762573867</v>
      </c>
      <c r="C20" s="26">
        <f ca="1">'EF ele_warmte'!B22</f>
        <v>5.56344583535264E-2</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40768.079004899759</v>
      </c>
      <c r="C22" s="24">
        <f ca="1">C18*C20</f>
        <v>0</v>
      </c>
      <c r="D22" s="24">
        <f>D18*D20</f>
        <v>47499.472809022285</v>
      </c>
      <c r="E22" s="24">
        <f>E18*E20</f>
        <v>708.67271264131625</v>
      </c>
      <c r="F22" s="24">
        <f>F18*F20</f>
        <v>11211.623819594028</v>
      </c>
      <c r="G22" s="24"/>
      <c r="H22" s="24"/>
      <c r="I22" s="24"/>
      <c r="J22" s="24">
        <f>J18*J20</f>
        <v>316.23843847374883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25779.0459768609</v>
      </c>
      <c r="C30" s="40">
        <f>IF(ISERROR(B30*3.6/1000000/'E Balans VL '!Z18*100),0,B30*3.6/1000000/'E Balans VL '!Z18*100)</f>
        <v>1.4344315256108628</v>
      </c>
      <c r="D30" s="236" t="s">
        <v>685</v>
      </c>
    </row>
    <row r="31" spans="1:18">
      <c r="A31" s="6" t="s">
        <v>32</v>
      </c>
      <c r="B31" s="38">
        <f>IF( ISERROR(IND_ander_ele_kWh/1000),0,IND_ander_ele_kWh/1000)</f>
        <v>10256.954092539099</v>
      </c>
      <c r="C31" s="40">
        <f>IF(ISERROR(B31*3.6/1000000/'E Balans VL '!Z19*100),0,B31*3.6/1000000/'E Balans VL '!Z19*100)</f>
        <v>0.47681885789574785</v>
      </c>
      <c r="D31" s="236" t="s">
        <v>685</v>
      </c>
    </row>
    <row r="32" spans="1:18">
      <c r="A32" s="171" t="s">
        <v>40</v>
      </c>
      <c r="B32" s="38">
        <f>IF( ISERROR(IND_voed_ele_kWh/1000),0,IND_voed_ele_kWh/1000)</f>
        <v>63944.283271779997</v>
      </c>
      <c r="C32" s="40">
        <f>IF(ISERROR(B32*3.6/1000000/'E Balans VL '!Z20*100),0,B32*3.6/1000000/'E Balans VL '!Z20*100)</f>
        <v>2.2603012727081797</v>
      </c>
      <c r="D32" s="236" t="s">
        <v>685</v>
      </c>
    </row>
    <row r="33" spans="1:5">
      <c r="A33" s="171" t="s">
        <v>39</v>
      </c>
      <c r="B33" s="38">
        <f>IF( ISERROR(IND_textiel_ele_kWh/1000),0,IND_textiel_ele_kWh/1000)</f>
        <v>1713.7366966918098</v>
      </c>
      <c r="C33" s="40">
        <f>IF(ISERROR(B33*3.6/1000000/'E Balans VL '!Z21*100),0,B33*3.6/1000000/'E Balans VL '!Z21*100)</f>
        <v>0.23146614502024868</v>
      </c>
      <c r="D33" s="236" t="s">
        <v>685</v>
      </c>
    </row>
    <row r="34" spans="1:5">
      <c r="A34" s="171" t="s">
        <v>36</v>
      </c>
      <c r="B34" s="38">
        <f>IF( ISERROR(IND_min_ele_kWh/1000),0,IND_min_ele_kWh/1000)</f>
        <v>35447.361103745898</v>
      </c>
      <c r="C34" s="40">
        <f>IF(ISERROR(B34*3.6/1000000/'E Balans VL '!Z22*100),0,B34*3.6/1000000/'E Balans VL '!Z22*100)</f>
        <v>7.1239200000397709</v>
      </c>
      <c r="D34" s="236" t="s">
        <v>685</v>
      </c>
    </row>
    <row r="35" spans="1:5">
      <c r="A35" s="171" t="s">
        <v>38</v>
      </c>
      <c r="B35" s="38">
        <f>IF( ISERROR(IND_papier_ele_kWh/1000),0,IND_papier_ele_kWh/1000)</f>
        <v>25739.860985913401</v>
      </c>
      <c r="C35" s="40">
        <f>IF(ISERROR(B35*3.6/1000000/'E Balans VL '!Z22*100),0,B35*3.6/1000000/'E Balans VL '!Z22*100)</f>
        <v>5.1729862186106281</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46784.055724360194</v>
      </c>
      <c r="C37" s="40">
        <f>IF(ISERROR(B37*3.6/1000000/'E Balans VL '!Z15*100),0,B37*3.6/1000000/'E Balans VL '!Z15*100)</f>
        <v>0.35328873121976651</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16418.231284187754</v>
      </c>
      <c r="C5" s="18">
        <f>'Eigen informatie GS &amp; warmtenet'!B60</f>
        <v>0</v>
      </c>
      <c r="D5" s="31">
        <f>IF(ISERROR(SUM(LB_lb_gas_kWh,LB_rest_gas_kWh)/1000),0,SUM(LB_lb_gas_kWh,LB_rest_gas_kWh)/1000)*0.902</f>
        <v>2827.053981431211</v>
      </c>
      <c r="E5" s="18">
        <f>B17*'E Balans VL '!I25/3.6*1000000/100</f>
        <v>154.67073927286197</v>
      </c>
      <c r="F5" s="18">
        <f>B17*('E Balans VL '!L25/3.6*1000000+'E Balans VL '!N25/3.6*1000000)/100</f>
        <v>53578.137412742384</v>
      </c>
      <c r="G5" s="19"/>
      <c r="H5" s="18"/>
      <c r="I5" s="18"/>
      <c r="J5" s="18">
        <f>('E Balans VL '!D25+'E Balans VL '!E25)/3.6*1000000*landbouw!B17/100</f>
        <v>2031.0150681156508</v>
      </c>
      <c r="K5" s="18"/>
      <c r="L5" s="18">
        <f>L6*(-1)</f>
        <v>0</v>
      </c>
      <c r="M5" s="18"/>
      <c r="N5" s="18">
        <f>N6*(-1)</f>
        <v>38995.71428571429</v>
      </c>
      <c r="O5" s="18"/>
      <c r="P5" s="18"/>
      <c r="R5" s="33"/>
    </row>
    <row r="6" spans="1:18">
      <c r="A6" s="17" t="s">
        <v>489</v>
      </c>
      <c r="B6" s="18" t="s">
        <v>204</v>
      </c>
      <c r="C6" s="18">
        <f>'lokale energieproductie'!O44+'lokale energieproductie'!O35</f>
        <v>0</v>
      </c>
      <c r="D6" s="305">
        <f>('lokale energieproductie'!P35+'lokale energieproductie'!P44)*(-1)</f>
        <v>0</v>
      </c>
      <c r="E6" s="247"/>
      <c r="F6" s="305">
        <f>('lokale energieproductie'!S35+'lokale energieproductie'!S44)*(-1)</f>
        <v>0</v>
      </c>
      <c r="G6" s="248"/>
      <c r="H6" s="247"/>
      <c r="I6" s="247"/>
      <c r="J6" s="247"/>
      <c r="K6" s="247"/>
      <c r="L6" s="305">
        <f>('lokale energieproductie'!T35+'lokale energieproductie'!U35+'lokale energieproductie'!T44+'lokale energieproductie'!U44)*(-1)</f>
        <v>0</v>
      </c>
      <c r="M6" s="247"/>
      <c r="N6" s="305">
        <f>('lokale energieproductie'!V35+'lokale energieproductie'!R35+'lokale energieproductie'!Q35+'lokale energieproductie'!Q44+'lokale energieproductie'!R44+'lokale energieproductie'!V44)*(-1)</f>
        <v>-38995.71428571429</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16418.231284187754</v>
      </c>
      <c r="C8" s="22">
        <f>C5+C6</f>
        <v>0</v>
      </c>
      <c r="D8" s="22">
        <f>MAX((D5+D6),0)</f>
        <v>2827.053981431211</v>
      </c>
      <c r="E8" s="22">
        <f>MAX((E5+E6),0)</f>
        <v>154.67073927286197</v>
      </c>
      <c r="F8" s="22">
        <f>MAX((F5+F6),0)</f>
        <v>53578.137412742384</v>
      </c>
      <c r="G8" s="22"/>
      <c r="H8" s="22"/>
      <c r="I8" s="22"/>
      <c r="J8" s="22">
        <f>MAX((J5+J6),0)</f>
        <v>2031.0150681156508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0.19444361762573867</v>
      </c>
      <c r="C10" s="32">
        <f ca="1">'EF ele_warmte'!B22</f>
        <v>5.56344583535264E-2</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3192.4202859135439</v>
      </c>
      <c r="C12" s="24">
        <f ca="1">C8*C10</f>
        <v>0</v>
      </c>
      <c r="D12" s="24">
        <f>D8*D10</f>
        <v>571.06490424910464</v>
      </c>
      <c r="E12" s="24">
        <f>E8*E10</f>
        <v>35.110257814939665</v>
      </c>
      <c r="F12" s="24">
        <f>F8*F10</f>
        <v>14305.362689202217</v>
      </c>
      <c r="G12" s="24"/>
      <c r="H12" s="24"/>
      <c r="I12" s="24"/>
      <c r="J12" s="24">
        <f>J8*J10</f>
        <v>718.97933411294036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2.2227661609297926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258.20722275368036</v>
      </c>
      <c r="C26" s="246">
        <f>B26*'GWP N2O_CH4'!B5</f>
        <v>5422.3516778272879</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275.66201871194761</v>
      </c>
      <c r="C27" s="246">
        <f>B27*'GWP N2O_CH4'!B5</f>
        <v>5788.9023929508994</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4.6754624466491181</v>
      </c>
      <c r="C28" s="246">
        <f>B28*'GWP N2O_CH4'!B4</f>
        <v>1449.3933584612266</v>
      </c>
      <c r="D28" s="51"/>
    </row>
    <row r="29" spans="1:4">
      <c r="A29" s="42" t="s">
        <v>266</v>
      </c>
      <c r="B29" s="246">
        <f>B34*'ha_N2O bodem landbouw'!B4</f>
        <v>13.744289216518043</v>
      </c>
      <c r="C29" s="246">
        <f>B29*'GWP N2O_CH4'!B4</f>
        <v>4260.7296571205934</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3.7105254145678324E-3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3.9065239353859269E-5</v>
      </c>
      <c r="C5" s="433" t="s">
        <v>204</v>
      </c>
      <c r="D5" s="418">
        <f>SUM(D6:D11)</f>
        <v>4.9565740022214233E-5</v>
      </c>
      <c r="E5" s="418">
        <f>SUM(E6:E11)</f>
        <v>3.3118087907982609E-3</v>
      </c>
      <c r="F5" s="431" t="s">
        <v>204</v>
      </c>
      <c r="G5" s="418">
        <f>SUM(G6:G11)</f>
        <v>0.82319340211274672</v>
      </c>
      <c r="H5" s="418">
        <f>SUM(H6:H11)</f>
        <v>0.12027684618627973</v>
      </c>
      <c r="I5" s="433" t="s">
        <v>204</v>
      </c>
      <c r="J5" s="433" t="s">
        <v>204</v>
      </c>
      <c r="K5" s="433" t="s">
        <v>204</v>
      </c>
      <c r="L5" s="433" t="s">
        <v>204</v>
      </c>
      <c r="M5" s="418">
        <f>SUM(M6:M11)</f>
        <v>4.213784846472473E-2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1.8506514235482879E-5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2.1554194249319718E-5</v>
      </c>
      <c r="E6" s="421">
        <f>vkm_GW_PW*SUMIFS(TableVerdeelsleutelVkm[LPG],TableVerdeelsleutelVkm[Voertuigtype],"Lichte voertuigen")*SUMIFS(TableECFTransport[EnergieConsumptieFactor (PJ per km)],TableECFTransport[Index],CONCATENATE($A6,"_LPG_LPG"))</f>
        <v>1.3983807349463796E-3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0.21817368556336975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5.257982370208699E-2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1.2116237172359424E-2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1.0330291515665455E-6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0.17088581943362929</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4.585475476161585E-6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7.603861503813405E-3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9.2127884389827377E-6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1.7524308811965203E-5</v>
      </c>
      <c r="E8" s="421">
        <f>vkm_NGW_PW*SUMIFS(TableVerdeelsleutelVkm[LPG],TableVerdeelsleutelVkm[Voertuigtype],"Lichte voertuigen")*SUMIFS(TableECFTransport[EnergieConsumptieFactor (PJ per km)],TableECFTransport[Index],CONCATENATE($A8,"_LPG_LPG"))</f>
        <v>1.0772010514352066E-3</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0.15821687912311769</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4.0750295224417629E-2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8.9065614441061688E-3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2.2681513249316284E-7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4.8113893101580492E-2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1.2152350029918743E-6</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2.1409078130551359E-3</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9.4026421388971864E-6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1.0487236960929306E-5</v>
      </c>
      <c r="E10" s="421">
        <f>vkm_SW_PW*SUMIFS(TableVerdeelsleutelVkm[LPG],TableVerdeelsleutelVkm[Voertuigtype],"Lichte voertuigen")*SUMIFS(TableECFTransport[EnergieConsumptieFactor (PJ per km)],TableECFTransport[Index],CONCATENATE($A10,"_LPG_LPG"))</f>
        <v>8.3622700441667475E-4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0.12190011478652156</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2.6937804001116939E-2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6.6579291947475548E-3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6.8345025643676055E-7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0.105903010104528</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3.122548179032724E-6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4.7123513366430451E-3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10.851455376072018</v>
      </c>
      <c r="C14" s="22"/>
      <c r="D14" s="22">
        <f t="shared" ref="D14:M14" si="0">((D5)*10^9/3600)+D12</f>
        <v>13.768261117281732</v>
      </c>
      <c r="E14" s="22">
        <f t="shared" si="0"/>
        <v>919.94688633285023</v>
      </c>
      <c r="F14" s="22"/>
      <c r="G14" s="22">
        <f t="shared" si="0"/>
        <v>228664.83392020743</v>
      </c>
      <c r="H14" s="22">
        <f t="shared" si="0"/>
        <v>33410.23505174437</v>
      </c>
      <c r="I14" s="22"/>
      <c r="J14" s="22"/>
      <c r="K14" s="22"/>
      <c r="L14" s="22"/>
      <c r="M14" s="22">
        <f t="shared" si="0"/>
        <v>11704.95790686798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0.19444361762573867</v>
      </c>
      <c r="C16" s="57">
        <f ca="1">'EF ele_warmte'!B22</f>
        <v>5.56344583535264E-2</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2.1099962398277134</v>
      </c>
      <c r="C18" s="24"/>
      <c r="D18" s="24">
        <f t="shared" ref="D18:M18" si="1">D14*D16</f>
        <v>2.7811887456909101</v>
      </c>
      <c r="E18" s="24">
        <f t="shared" si="1"/>
        <v>208.827943197557</v>
      </c>
      <c r="F18" s="24"/>
      <c r="G18" s="24">
        <f t="shared" si="1"/>
        <v>61053.510656695384</v>
      </c>
      <c r="H18" s="24">
        <f t="shared" si="1"/>
        <v>8319.1485278843484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9.7992441990818219E-5</v>
      </c>
      <c r="C50" s="316">
        <f t="shared" ref="C50:P50" si="2">SUM(C51:C52)</f>
        <v>0</v>
      </c>
      <c r="D50" s="316">
        <f t="shared" si="2"/>
        <v>0</v>
      </c>
      <c r="E50" s="316">
        <f t="shared" si="2"/>
        <v>0</v>
      </c>
      <c r="F50" s="316">
        <f t="shared" si="2"/>
        <v>0</v>
      </c>
      <c r="G50" s="316">
        <f t="shared" si="2"/>
        <v>1.9544785753571683E-2</v>
      </c>
      <c r="H50" s="316">
        <f t="shared" si="2"/>
        <v>0</v>
      </c>
      <c r="I50" s="316">
        <f t="shared" si="2"/>
        <v>0</v>
      </c>
      <c r="J50" s="316">
        <f t="shared" si="2"/>
        <v>0</v>
      </c>
      <c r="K50" s="316">
        <f t="shared" si="2"/>
        <v>0</v>
      </c>
      <c r="L50" s="316">
        <f t="shared" si="2"/>
        <v>0</v>
      </c>
      <c r="M50" s="316">
        <f t="shared" si="2"/>
        <v>8.6385871394254333E-4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9.7992441990818219E-5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1.9544785753571683E-2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8.6385871394254333E-4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27.220122775227281</v>
      </c>
      <c r="C54" s="22">
        <f t="shared" ref="C54:P54" si="3">(C50)*10^9/3600</f>
        <v>0</v>
      </c>
      <c r="D54" s="22">
        <f t="shared" si="3"/>
        <v>0</v>
      </c>
      <c r="E54" s="22">
        <f t="shared" si="3"/>
        <v>0</v>
      </c>
      <c r="F54" s="22">
        <f t="shared" si="3"/>
        <v>0</v>
      </c>
      <c r="G54" s="22">
        <f t="shared" si="3"/>
        <v>5429.1071537699117</v>
      </c>
      <c r="H54" s="22">
        <f t="shared" si="3"/>
        <v>0</v>
      </c>
      <c r="I54" s="22">
        <f t="shared" si="3"/>
        <v>0</v>
      </c>
      <c r="J54" s="22">
        <f t="shared" si="3"/>
        <v>0</v>
      </c>
      <c r="K54" s="22">
        <f t="shared" si="3"/>
        <v>0</v>
      </c>
      <c r="L54" s="22">
        <f t="shared" si="3"/>
        <v>0</v>
      </c>
      <c r="M54" s="22">
        <f t="shared" si="3"/>
        <v>239.96075387292871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0.19444361762573867</v>
      </c>
      <c r="C56" s="57">
        <f ca="1">'EF ele_warmte'!B22</f>
        <v>5.56344583535264E-2</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5.2927791446319539</v>
      </c>
      <c r="C58" s="24">
        <f t="shared" ref="C58:P58" ca="1" si="4">C54*C56</f>
        <v>0</v>
      </c>
      <c r="D58" s="24">
        <f t="shared" si="4"/>
        <v>0</v>
      </c>
      <c r="E58" s="24">
        <f t="shared" si="4"/>
        <v>0</v>
      </c>
      <c r="F58" s="24">
        <f t="shared" si="4"/>
        <v>0</v>
      </c>
      <c r="G58" s="24">
        <f t="shared" si="4"/>
        <v>1449.5716100565664</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6"/>
  <sheetViews>
    <sheetView showGridLines="0" zoomScale="65" zoomScaleNormal="65" workbookViewId="0">
      <selection activeCell="A28" sqref="A28:XFD32"/>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20046.606357518271</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N32</f>
        <v>28948.5</v>
      </c>
      <c r="C8" s="544">
        <f>B53</f>
        <v>7972.9411764705883</v>
      </c>
      <c r="D8" s="967"/>
      <c r="E8" s="967">
        <f>E53</f>
        <v>0</v>
      </c>
      <c r="F8" s="968"/>
      <c r="G8" s="545"/>
      <c r="H8" s="967">
        <f>I53</f>
        <v>0</v>
      </c>
      <c r="I8" s="967">
        <f>G53+F53</f>
        <v>0</v>
      </c>
      <c r="J8" s="967">
        <f>H53+D53+C53</f>
        <v>26084.117647058825</v>
      </c>
      <c r="K8" s="967"/>
      <c r="L8" s="967"/>
      <c r="M8" s="967"/>
      <c r="N8" s="546"/>
      <c r="O8" s="547">
        <f>C8*$C$12+D8*$D$12+E8*$E$12+F8*$F$12+G8*$G$12+H8*$H$12+I8*$I$12+J8*$J$12</f>
        <v>1610.534117647059</v>
      </c>
      <c r="P8" s="1241"/>
      <c r="Q8" s="1242"/>
      <c r="S8" s="1004"/>
      <c r="T8" s="1262"/>
      <c r="U8" s="1262"/>
    </row>
    <row r="9" spans="1:21" s="532" customFormat="1" ht="17.45" customHeight="1" thickBot="1">
      <c r="A9" s="548" t="s">
        <v>237</v>
      </c>
      <c r="B9" s="969">
        <f>N41+'Eigen informatie GS &amp; warmtenet'!B12</f>
        <v>18621</v>
      </c>
      <c r="C9" s="54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53202.857142857145</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67616.106357518263</v>
      </c>
      <c r="C10" s="556">
        <f t="shared" ref="C10:L10" si="0">SUM(C8:C9)</f>
        <v>7972.9411764705883</v>
      </c>
      <c r="D10" s="556">
        <f t="shared" si="0"/>
        <v>0</v>
      </c>
      <c r="E10" s="556">
        <f t="shared" si="0"/>
        <v>0</v>
      </c>
      <c r="F10" s="556">
        <f t="shared" si="0"/>
        <v>0</v>
      </c>
      <c r="G10" s="556">
        <f t="shared" si="0"/>
        <v>0</v>
      </c>
      <c r="H10" s="556">
        <f t="shared" si="0"/>
        <v>0</v>
      </c>
      <c r="I10" s="556">
        <f t="shared" si="0"/>
        <v>0</v>
      </c>
      <c r="J10" s="556">
        <f t="shared" si="0"/>
        <v>79286.97478991597</v>
      </c>
      <c r="K10" s="556">
        <f t="shared" si="0"/>
        <v>0</v>
      </c>
      <c r="L10" s="556">
        <f t="shared" si="0"/>
        <v>0</v>
      </c>
      <c r="M10" s="971"/>
      <c r="N10" s="971"/>
      <c r="O10" s="557">
        <f>SUM(O4:O9)</f>
        <v>1610.534117647059</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O32</f>
        <v>41355.000000000007</v>
      </c>
      <c r="C17" s="568">
        <f>B54</f>
        <v>11389.915966386558</v>
      </c>
      <c r="D17" s="569"/>
      <c r="E17" s="569">
        <f>E54</f>
        <v>0</v>
      </c>
      <c r="F17" s="570"/>
      <c r="G17" s="571"/>
      <c r="H17" s="568">
        <f>I54</f>
        <v>0</v>
      </c>
      <c r="I17" s="569">
        <f>G54+F54</f>
        <v>0</v>
      </c>
      <c r="J17" s="569">
        <f>H54+D54+C54</f>
        <v>37263.025210084044</v>
      </c>
      <c r="K17" s="569"/>
      <c r="L17" s="569"/>
      <c r="M17" s="569"/>
      <c r="N17" s="974"/>
      <c r="O17" s="572">
        <f>C17*$C$22+E17*$E$22+H17*$H$22+I17*$I$22+J17*$J$22+D17*$D$22+F17*$F$22+G17*$G$22+K17*$K$22+L17*$L$22</f>
        <v>2300.7630252100848</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41355.000000000007</v>
      </c>
      <c r="C20" s="555">
        <f>SUM(C17:C19)</f>
        <v>11389.915966386558</v>
      </c>
      <c r="D20" s="555">
        <f t="shared" ref="D20:L20" si="1">SUM(D17:D19)</f>
        <v>0</v>
      </c>
      <c r="E20" s="555">
        <f t="shared" si="1"/>
        <v>0</v>
      </c>
      <c r="F20" s="555">
        <f t="shared" si="1"/>
        <v>0</v>
      </c>
      <c r="G20" s="555">
        <f t="shared" si="1"/>
        <v>0</v>
      </c>
      <c r="H20" s="555">
        <f t="shared" si="1"/>
        <v>0</v>
      </c>
      <c r="I20" s="555">
        <f t="shared" si="1"/>
        <v>0</v>
      </c>
      <c r="J20" s="555">
        <f t="shared" si="1"/>
        <v>37263.025210084044</v>
      </c>
      <c r="K20" s="555">
        <f t="shared" si="1"/>
        <v>0</v>
      </c>
      <c r="L20" s="555">
        <f t="shared" si="1"/>
        <v>0</v>
      </c>
      <c r="M20" s="555"/>
      <c r="N20" s="555"/>
      <c r="O20" s="576">
        <f>SUM(O17:O19)</f>
        <v>2300.7630252100848</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36015</v>
      </c>
      <c r="C28" s="775">
        <v>8800</v>
      </c>
      <c r="D28" s="628"/>
      <c r="E28" s="627"/>
      <c r="F28" s="627"/>
      <c r="G28" s="627" t="s">
        <v>959</v>
      </c>
      <c r="H28" s="627" t="s">
        <v>960</v>
      </c>
      <c r="I28" s="627"/>
      <c r="J28" s="774"/>
      <c r="K28" s="774"/>
      <c r="L28" s="627" t="s">
        <v>961</v>
      </c>
      <c r="M28" s="627">
        <v>835</v>
      </c>
      <c r="N28" s="627">
        <v>3757.5</v>
      </c>
      <c r="O28" s="627">
        <v>5367.8571428571431</v>
      </c>
      <c r="P28" s="627">
        <v>0</v>
      </c>
      <c r="Q28" s="627">
        <v>10735.714285714286</v>
      </c>
      <c r="R28" s="627">
        <v>0</v>
      </c>
      <c r="S28" s="627">
        <v>0</v>
      </c>
      <c r="T28" s="627">
        <v>0</v>
      </c>
      <c r="U28" s="627">
        <v>0</v>
      </c>
      <c r="V28" s="627">
        <v>0</v>
      </c>
      <c r="W28" s="627"/>
      <c r="X28" s="627">
        <v>1600</v>
      </c>
      <c r="Y28" s="627" t="s">
        <v>49</v>
      </c>
      <c r="Z28" s="629" t="s">
        <v>149</v>
      </c>
    </row>
    <row r="29" spans="1:26" s="581" customFormat="1" ht="63.75" hidden="1">
      <c r="A29" s="580"/>
      <c r="B29" s="775">
        <v>36015</v>
      </c>
      <c r="C29" s="775">
        <v>8800</v>
      </c>
      <c r="D29" s="628"/>
      <c r="E29" s="627"/>
      <c r="F29" s="627"/>
      <c r="G29" s="627" t="s">
        <v>959</v>
      </c>
      <c r="H29" s="627" t="s">
        <v>960</v>
      </c>
      <c r="I29" s="627"/>
      <c r="J29" s="774"/>
      <c r="K29" s="774"/>
      <c r="L29" s="627" t="s">
        <v>961</v>
      </c>
      <c r="M29" s="627">
        <v>4024</v>
      </c>
      <c r="N29" s="627">
        <v>18108</v>
      </c>
      <c r="O29" s="627">
        <v>25868.571428571428</v>
      </c>
      <c r="P29" s="627">
        <v>12934.285714285716</v>
      </c>
      <c r="Q29" s="627">
        <v>38802.857142857145</v>
      </c>
      <c r="R29" s="627">
        <v>0</v>
      </c>
      <c r="S29" s="627">
        <v>0</v>
      </c>
      <c r="T29" s="627">
        <v>0</v>
      </c>
      <c r="U29" s="627">
        <v>0</v>
      </c>
      <c r="V29" s="627">
        <v>0</v>
      </c>
      <c r="W29" s="627"/>
      <c r="X29" s="627">
        <v>1600</v>
      </c>
      <c r="Y29" s="627" t="s">
        <v>49</v>
      </c>
      <c r="Z29" s="629" t="s">
        <v>149</v>
      </c>
    </row>
    <row r="30" spans="1:26" s="581" customFormat="1" ht="63.75" hidden="1">
      <c r="A30" s="580"/>
      <c r="B30" s="775">
        <v>36015</v>
      </c>
      <c r="C30" s="775">
        <v>8800</v>
      </c>
      <c r="D30" s="628"/>
      <c r="E30" s="627"/>
      <c r="F30" s="627"/>
      <c r="G30" s="627" t="s">
        <v>959</v>
      </c>
      <c r="H30" s="627" t="s">
        <v>960</v>
      </c>
      <c r="I30" s="627"/>
      <c r="J30" s="774"/>
      <c r="K30" s="774"/>
      <c r="L30" s="627" t="s">
        <v>961</v>
      </c>
      <c r="M30" s="627">
        <v>1074</v>
      </c>
      <c r="N30" s="627">
        <v>4833</v>
      </c>
      <c r="O30" s="627">
        <v>6904.2857142857147</v>
      </c>
      <c r="P30" s="627">
        <v>0</v>
      </c>
      <c r="Q30" s="627">
        <v>0</v>
      </c>
      <c r="R30" s="627">
        <v>13808.571428571429</v>
      </c>
      <c r="S30" s="627">
        <v>0</v>
      </c>
      <c r="T30" s="627">
        <v>0</v>
      </c>
      <c r="U30" s="627">
        <v>0</v>
      </c>
      <c r="V30" s="627">
        <v>0</v>
      </c>
      <c r="W30" s="627"/>
      <c r="X30" s="627">
        <v>1600</v>
      </c>
      <c r="Y30" s="627" t="s">
        <v>49</v>
      </c>
      <c r="Z30" s="629" t="s">
        <v>149</v>
      </c>
    </row>
    <row r="31" spans="1:26" s="581" customFormat="1" ht="25.5" hidden="1">
      <c r="A31" s="580"/>
      <c r="B31" s="775">
        <v>36015</v>
      </c>
      <c r="C31" s="775">
        <v>8800</v>
      </c>
      <c r="D31" s="628"/>
      <c r="E31" s="627"/>
      <c r="F31" s="627"/>
      <c r="G31" s="627" t="s">
        <v>959</v>
      </c>
      <c r="H31" s="627" t="s">
        <v>960</v>
      </c>
      <c r="I31" s="627"/>
      <c r="J31" s="774"/>
      <c r="K31" s="774"/>
      <c r="L31" s="627" t="s">
        <v>961</v>
      </c>
      <c r="M31" s="627">
        <v>500</v>
      </c>
      <c r="N31" s="627">
        <v>2250</v>
      </c>
      <c r="O31" s="627">
        <v>3214.2857142857142</v>
      </c>
      <c r="P31" s="627">
        <v>6428.5714285714294</v>
      </c>
      <c r="Q31" s="627">
        <v>0</v>
      </c>
      <c r="R31" s="627">
        <v>0</v>
      </c>
      <c r="S31" s="627">
        <v>0</v>
      </c>
      <c r="T31" s="627">
        <v>0</v>
      </c>
      <c r="U31" s="627">
        <v>0</v>
      </c>
      <c r="V31" s="627">
        <v>0</v>
      </c>
      <c r="W31" s="627"/>
      <c r="X31" s="627">
        <v>1100</v>
      </c>
      <c r="Y31" s="627" t="s">
        <v>51</v>
      </c>
      <c r="Z31" s="629" t="s">
        <v>149</v>
      </c>
    </row>
    <row r="32" spans="1:26" s="563" customFormat="1" hidden="1">
      <c r="A32" s="583" t="s">
        <v>269</v>
      </c>
      <c r="B32" s="584"/>
      <c r="C32" s="584"/>
      <c r="D32" s="584"/>
      <c r="E32" s="584"/>
      <c r="F32" s="584"/>
      <c r="G32" s="584"/>
      <c r="H32" s="584"/>
      <c r="I32" s="584"/>
      <c r="J32" s="584"/>
      <c r="K32" s="584"/>
      <c r="L32" s="585"/>
      <c r="M32" s="585">
        <f>SUM(M28:M31)</f>
        <v>6433</v>
      </c>
      <c r="N32" s="585">
        <f>SUM(N28:N31)</f>
        <v>28948.5</v>
      </c>
      <c r="O32" s="585">
        <f>SUM(O28:O31)</f>
        <v>41355.000000000007</v>
      </c>
      <c r="P32" s="585">
        <f>SUM(P28:P31)</f>
        <v>19362.857142857145</v>
      </c>
      <c r="Q32" s="585">
        <f>SUM(Q28:Q31)</f>
        <v>49538.571428571435</v>
      </c>
      <c r="R32" s="585">
        <f>SUM(R28:R31)</f>
        <v>13808.571428571429</v>
      </c>
      <c r="S32" s="585">
        <f>SUM(S28:S31)</f>
        <v>0</v>
      </c>
      <c r="T32" s="585">
        <f>SUM(T28:T31)</f>
        <v>0</v>
      </c>
      <c r="U32" s="585">
        <f>SUM(U28:U31)</f>
        <v>0</v>
      </c>
      <c r="V32" s="585">
        <f>SUM(V28:V31)</f>
        <v>0</v>
      </c>
      <c r="W32" s="585">
        <f>SUM(W28:W31)</f>
        <v>0</v>
      </c>
      <c r="X32" s="586"/>
      <c r="Y32" s="586"/>
      <c r="Z32" s="587"/>
    </row>
    <row r="33" spans="1:27" s="563" customFormat="1">
      <c r="A33" s="583" t="s">
        <v>276</v>
      </c>
      <c r="B33" s="584"/>
      <c r="C33" s="584"/>
      <c r="D33" s="584"/>
      <c r="E33" s="584"/>
      <c r="F33" s="584"/>
      <c r="G33" s="584"/>
      <c r="H33" s="584"/>
      <c r="I33" s="584"/>
      <c r="J33" s="584"/>
      <c r="K33" s="584"/>
      <c r="L33" s="585"/>
      <c r="M33" s="585">
        <f>SUMIF($Z$28:$Z$31,"industrie",M28:M31)</f>
        <v>0</v>
      </c>
      <c r="N33" s="585">
        <f>SUMIF($Z$28:$Z$31,"industrie",N28:N31)</f>
        <v>0</v>
      </c>
      <c r="O33" s="585">
        <f>SUMIF($Z$28:$Z$31,"industrie",O28:O31)</f>
        <v>0</v>
      </c>
      <c r="P33" s="585">
        <f>SUMIF($Z$28:$Z$31,"industrie",P28:P31)</f>
        <v>0</v>
      </c>
      <c r="Q33" s="585">
        <f>SUMIF($Z$28:$Z$31,"industrie",Q28:Q31)</f>
        <v>0</v>
      </c>
      <c r="R33" s="585">
        <f>SUMIF($Z$28:$Z$31,"industrie",R28:R31)</f>
        <v>0</v>
      </c>
      <c r="S33" s="585">
        <f>SUMIF($Z$28:$Z$31,"industrie",S28:S31)</f>
        <v>0</v>
      </c>
      <c r="T33" s="585">
        <f>SUMIF($Z$28:$Z$31,"industrie",T28:T31)</f>
        <v>0</v>
      </c>
      <c r="U33" s="585">
        <f>SUMIF($Z$28:$Z$31,"industrie",U28:U31)</f>
        <v>0</v>
      </c>
      <c r="V33" s="585">
        <f>SUMIF($Z$28:$Z$31,"industrie",V28:V31)</f>
        <v>0</v>
      </c>
      <c r="W33" s="585">
        <f>SUMIF($Z$28:$Z$31,"industrie",W28:W31)</f>
        <v>0</v>
      </c>
      <c r="X33" s="586"/>
      <c r="Y33" s="586"/>
      <c r="Z33" s="587"/>
    </row>
    <row r="34" spans="1:27" s="563" customFormat="1">
      <c r="A34" s="583" t="s">
        <v>277</v>
      </c>
      <c r="B34" s="584"/>
      <c r="C34" s="584"/>
      <c r="D34" s="584"/>
      <c r="E34" s="584"/>
      <c r="F34" s="584"/>
      <c r="G34" s="584"/>
      <c r="H34" s="584"/>
      <c r="I34" s="584"/>
      <c r="J34" s="584"/>
      <c r="K34" s="584"/>
      <c r="L34" s="585"/>
      <c r="M34" s="585">
        <f ca="1">SUMIF($Z$28:AC31,"tertiair",M28:M31)</f>
        <v>6433</v>
      </c>
      <c r="N34" s="585">
        <f ca="1">SUMIF($Z$28:AD31,"tertiair",N28:N31)</f>
        <v>28948.5</v>
      </c>
      <c r="O34" s="585">
        <f ca="1">SUMIF($Z$28:AE31,"tertiair",O28:O31)</f>
        <v>41355.000000000007</v>
      </c>
      <c r="P34" s="585">
        <f ca="1">SUMIF($Z$28:AF31,"tertiair",P28:P31)</f>
        <v>19362.857142857145</v>
      </c>
      <c r="Q34" s="585">
        <f ca="1">SUMIF($Z$28:AG31,"tertiair",Q28:Q31)</f>
        <v>49538.571428571435</v>
      </c>
      <c r="R34" s="585">
        <f ca="1">SUMIF($Z$28:AH31,"tertiair",R28:R31)</f>
        <v>13808.571428571429</v>
      </c>
      <c r="S34" s="585">
        <f ca="1">SUMIF($Z$28:AI31,"tertiair",S28:S31)</f>
        <v>0</v>
      </c>
      <c r="T34" s="585">
        <f ca="1">SUMIF($Z$28:AJ31,"tertiair",T28:T31)</f>
        <v>0</v>
      </c>
      <c r="U34" s="585">
        <f ca="1">SUMIF($Z$28:AK31,"tertiair",U28:U31)</f>
        <v>0</v>
      </c>
      <c r="V34" s="585">
        <f ca="1">SUMIF($Z$28:AL31,"tertiair",V28:V31)</f>
        <v>0</v>
      </c>
      <c r="W34" s="585">
        <f ca="1">SUMIF($Z$28:AM31,"tertiair",W28:W31)</f>
        <v>0</v>
      </c>
      <c r="X34" s="586"/>
      <c r="Y34" s="586"/>
      <c r="Z34" s="587"/>
    </row>
    <row r="35" spans="1:27" s="563" customFormat="1" ht="15.75" thickBot="1">
      <c r="A35" s="588" t="s">
        <v>278</v>
      </c>
      <c r="B35" s="589"/>
      <c r="C35" s="589"/>
      <c r="D35" s="589"/>
      <c r="E35" s="589"/>
      <c r="F35" s="589"/>
      <c r="G35" s="589"/>
      <c r="H35" s="589"/>
      <c r="I35" s="589"/>
      <c r="J35" s="589"/>
      <c r="K35" s="589"/>
      <c r="L35" s="590"/>
      <c r="M35" s="590">
        <f>SUMIF($Z$28:$Z$31,"landbouw",M28:M31)</f>
        <v>0</v>
      </c>
      <c r="N35" s="590">
        <f>SUMIF($Z$28:$Z$31,"landbouw",N28:N31)</f>
        <v>0</v>
      </c>
      <c r="O35" s="590">
        <f>SUMIF($Z$28:$Z$31,"landbouw",O28:O31)</f>
        <v>0</v>
      </c>
      <c r="P35" s="590">
        <f>SUMIF($Z$28:$Z$31,"landbouw",P28:P31)</f>
        <v>0</v>
      </c>
      <c r="Q35" s="590">
        <f>SUMIF($Z$28:$Z$31,"landbouw",Q28:Q31)</f>
        <v>0</v>
      </c>
      <c r="R35" s="590">
        <f>SUMIF($Z$28:$Z$31,"landbouw",R28:R31)</f>
        <v>0</v>
      </c>
      <c r="S35" s="590">
        <f>SUMIF($Z$28:$Z$31,"landbouw",S28:S31)</f>
        <v>0</v>
      </c>
      <c r="T35" s="590">
        <f>SUMIF($Z$28:$Z$31,"landbouw",T28:T31)</f>
        <v>0</v>
      </c>
      <c r="U35" s="590">
        <f>SUMIF($Z$28:$Z$31,"landbouw",U28:U31)</f>
        <v>0</v>
      </c>
      <c r="V35" s="590">
        <f>SUMIF($Z$28:$Z$31,"landbouw",V28:V31)</f>
        <v>0</v>
      </c>
      <c r="W35" s="590">
        <f>SUMIF($Z$28:$Z$31,"landbouw",W28:W31)</f>
        <v>0</v>
      </c>
      <c r="X35" s="591"/>
      <c r="Y35" s="591"/>
      <c r="Z35" s="592"/>
    </row>
    <row r="36" spans="1:27" s="532" customFormat="1" ht="15.75" thickBot="1">
      <c r="A36" s="593"/>
      <c r="B36" s="594"/>
      <c r="C36" s="594"/>
      <c r="D36" s="594"/>
      <c r="E36" s="594"/>
      <c r="F36" s="594"/>
      <c r="G36" s="594"/>
      <c r="H36" s="594"/>
      <c r="I36" s="594"/>
      <c r="J36" s="594"/>
      <c r="K36" s="594"/>
      <c r="L36" s="577"/>
      <c r="M36" s="577"/>
      <c r="N36" s="577"/>
      <c r="O36" s="578"/>
      <c r="P36" s="578"/>
    </row>
    <row r="37" spans="1:27" s="532" customFormat="1" ht="45">
      <c r="A37" s="595" t="s">
        <v>270</v>
      </c>
      <c r="B37" s="624" t="s">
        <v>89</v>
      </c>
      <c r="C37" s="624" t="s">
        <v>90</v>
      </c>
      <c r="D37" s="624"/>
      <c r="E37" s="624"/>
      <c r="F37" s="624"/>
      <c r="G37" s="624" t="s">
        <v>91</v>
      </c>
      <c r="H37" s="624" t="s">
        <v>92</v>
      </c>
      <c r="I37" s="624"/>
      <c r="J37" s="624"/>
      <c r="K37" s="624"/>
      <c r="L37" s="624" t="s">
        <v>93</v>
      </c>
      <c r="M37" s="625" t="s">
        <v>287</v>
      </c>
      <c r="N37" s="625" t="s">
        <v>94</v>
      </c>
      <c r="O37" s="625" t="s">
        <v>95</v>
      </c>
      <c r="P37" s="625" t="s">
        <v>535</v>
      </c>
      <c r="Q37" s="625" t="s">
        <v>96</v>
      </c>
      <c r="R37" s="625" t="s">
        <v>97</v>
      </c>
      <c r="S37" s="625" t="s">
        <v>98</v>
      </c>
      <c r="T37" s="625" t="s">
        <v>99</v>
      </c>
      <c r="U37" s="625" t="s">
        <v>100</v>
      </c>
      <c r="V37" s="625" t="s">
        <v>101</v>
      </c>
      <c r="W37" s="624" t="s">
        <v>102</v>
      </c>
      <c r="X37" s="624" t="s">
        <v>288</v>
      </c>
      <c r="Y37" s="624" t="s">
        <v>103</v>
      </c>
      <c r="Z37" s="626" t="s">
        <v>289</v>
      </c>
    </row>
    <row r="38" spans="1:27" s="596" customFormat="1" ht="38.25" hidden="1">
      <c r="A38" s="582"/>
      <c r="B38" s="775">
        <v>36015</v>
      </c>
      <c r="C38" s="775">
        <v>8800</v>
      </c>
      <c r="D38" s="630"/>
      <c r="E38" s="630"/>
      <c r="F38" s="630"/>
      <c r="G38" s="630" t="s">
        <v>962</v>
      </c>
      <c r="H38" s="630" t="s">
        <v>963</v>
      </c>
      <c r="I38" s="630"/>
      <c r="J38" s="774"/>
      <c r="K38" s="774"/>
      <c r="L38" s="630" t="s">
        <v>964</v>
      </c>
      <c r="M38" s="630">
        <v>31</v>
      </c>
      <c r="N38" s="630">
        <v>139.5</v>
      </c>
      <c r="O38" s="630">
        <v>0</v>
      </c>
      <c r="P38" s="630">
        <v>0</v>
      </c>
      <c r="Q38" s="630">
        <v>398.57142857142861</v>
      </c>
      <c r="R38" s="630">
        <v>0</v>
      </c>
      <c r="S38" s="630">
        <v>0</v>
      </c>
      <c r="T38" s="630">
        <v>0</v>
      </c>
      <c r="U38" s="630">
        <v>0</v>
      </c>
      <c r="V38" s="630">
        <v>0</v>
      </c>
      <c r="W38" s="630"/>
      <c r="X38" s="630">
        <v>1300</v>
      </c>
      <c r="Y38" s="630" t="s">
        <v>53</v>
      </c>
      <c r="Z38" s="631" t="s">
        <v>149</v>
      </c>
    </row>
    <row r="39" spans="1:27" s="596" customFormat="1" ht="25.5" hidden="1">
      <c r="A39" s="582"/>
      <c r="B39" s="775">
        <v>36015</v>
      </c>
      <c r="C39" s="775">
        <v>8800</v>
      </c>
      <c r="D39" s="630"/>
      <c r="E39" s="630"/>
      <c r="F39" s="630"/>
      <c r="G39" s="630" t="s">
        <v>965</v>
      </c>
      <c r="H39" s="630" t="s">
        <v>963</v>
      </c>
      <c r="I39" s="630"/>
      <c r="J39" s="774"/>
      <c r="K39" s="774"/>
      <c r="L39" s="630" t="s">
        <v>964</v>
      </c>
      <c r="M39" s="630">
        <v>3033</v>
      </c>
      <c r="N39" s="630">
        <v>13648.5</v>
      </c>
      <c r="O39" s="630">
        <v>0</v>
      </c>
      <c r="P39" s="630">
        <v>0</v>
      </c>
      <c r="Q39" s="630">
        <v>38995.71428571429</v>
      </c>
      <c r="R39" s="630">
        <v>0</v>
      </c>
      <c r="S39" s="630">
        <v>0</v>
      </c>
      <c r="T39" s="630">
        <v>0</v>
      </c>
      <c r="U39" s="630">
        <v>0</v>
      </c>
      <c r="V39" s="630">
        <v>0</v>
      </c>
      <c r="W39" s="630"/>
      <c r="X39" s="630">
        <v>10</v>
      </c>
      <c r="Y39" s="630" t="s">
        <v>105</v>
      </c>
      <c r="Z39" s="631" t="s">
        <v>105</v>
      </c>
    </row>
    <row r="40" spans="1:27" s="596" customFormat="1" ht="63.75" hidden="1">
      <c r="A40" s="582"/>
      <c r="B40" s="775">
        <v>36015</v>
      </c>
      <c r="C40" s="775">
        <v>8800</v>
      </c>
      <c r="D40" s="630"/>
      <c r="E40" s="630"/>
      <c r="F40" s="630"/>
      <c r="G40" s="630" t="s">
        <v>966</v>
      </c>
      <c r="H40" s="630" t="s">
        <v>963</v>
      </c>
      <c r="I40" s="630"/>
      <c r="J40" s="774"/>
      <c r="K40" s="774"/>
      <c r="L40" s="630" t="s">
        <v>964</v>
      </c>
      <c r="M40" s="630">
        <v>1074</v>
      </c>
      <c r="N40" s="630">
        <v>4833</v>
      </c>
      <c r="O40" s="630">
        <v>0</v>
      </c>
      <c r="P40" s="630">
        <v>0</v>
      </c>
      <c r="Q40" s="630">
        <v>0</v>
      </c>
      <c r="R40" s="630">
        <v>13808.571428571429</v>
      </c>
      <c r="S40" s="630">
        <v>0</v>
      </c>
      <c r="T40" s="630">
        <v>0</v>
      </c>
      <c r="U40" s="630">
        <v>0</v>
      </c>
      <c r="V40" s="630">
        <v>0</v>
      </c>
      <c r="W40" s="630"/>
      <c r="X40" s="630">
        <v>1600</v>
      </c>
      <c r="Y40" s="630" t="s">
        <v>49</v>
      </c>
      <c r="Z40" s="631" t="s">
        <v>149</v>
      </c>
    </row>
    <row r="41" spans="1:27" s="563" customFormat="1" hidden="1">
      <c r="A41" s="583" t="s">
        <v>269</v>
      </c>
      <c r="B41" s="584"/>
      <c r="C41" s="584"/>
      <c r="D41" s="584"/>
      <c r="E41" s="584"/>
      <c r="F41" s="584"/>
      <c r="G41" s="584"/>
      <c r="H41" s="584"/>
      <c r="I41" s="584"/>
      <c r="J41" s="584"/>
      <c r="K41" s="584"/>
      <c r="L41" s="585"/>
      <c r="M41" s="585">
        <f>SUM(M38:M40)</f>
        <v>4138</v>
      </c>
      <c r="N41" s="585">
        <f>SUM(N38:N40)</f>
        <v>18621</v>
      </c>
      <c r="O41" s="585">
        <f>SUM(O38:O40)</f>
        <v>0</v>
      </c>
      <c r="P41" s="585">
        <f>SUM(P38:P40)</f>
        <v>0</v>
      </c>
      <c r="Q41" s="585">
        <f>SUM(Q38:Q40)</f>
        <v>39394.285714285717</v>
      </c>
      <c r="R41" s="585">
        <f>SUM(R38:R40)</f>
        <v>13808.571428571429</v>
      </c>
      <c r="S41" s="585">
        <f>SUM(S38:S40)</f>
        <v>0</v>
      </c>
      <c r="T41" s="585">
        <f>SUM(T38:T40)</f>
        <v>0</v>
      </c>
      <c r="U41" s="585">
        <f>SUM(U38:U40)</f>
        <v>0</v>
      </c>
      <c r="V41" s="585">
        <f>SUM(V38:V40)</f>
        <v>0</v>
      </c>
      <c r="W41" s="585">
        <f>SUM(W38:W40)</f>
        <v>0</v>
      </c>
      <c r="X41" s="586"/>
      <c r="Y41" s="586"/>
      <c r="Z41" s="587"/>
    </row>
    <row r="42" spans="1:27" s="563" customFormat="1">
      <c r="A42" s="583" t="s">
        <v>276</v>
      </c>
      <c r="B42" s="584"/>
      <c r="C42" s="584"/>
      <c r="D42" s="584"/>
      <c r="E42" s="584"/>
      <c r="F42" s="584"/>
      <c r="G42" s="584"/>
      <c r="H42" s="584"/>
      <c r="I42" s="584"/>
      <c r="J42" s="584"/>
      <c r="K42" s="584"/>
      <c r="L42" s="585"/>
      <c r="M42" s="585">
        <f>SUMIF($Z$38:$Z$40,"industrie",M38:M40)</f>
        <v>0</v>
      </c>
      <c r="N42" s="585">
        <f>SUMIF($Z$38:$Z$40,"industrie",N38:N40)</f>
        <v>0</v>
      </c>
      <c r="O42" s="585">
        <f>SUMIF($Z$38:$Z$40,"industrie",O38:O40)</f>
        <v>0</v>
      </c>
      <c r="P42" s="585">
        <f>SUMIF($Z$38:$Z$40,"industrie",P38:P40)</f>
        <v>0</v>
      </c>
      <c r="Q42" s="585">
        <f>SUMIF($Z$38:$Z$40,"industrie",Q38:Q40)</f>
        <v>0</v>
      </c>
      <c r="R42" s="585">
        <f>SUMIF($Z$38:$Z$40,"industrie",R38:R40)</f>
        <v>0</v>
      </c>
      <c r="S42" s="585">
        <f>SUMIF($Z$38:$Z$40,"industrie",S38:S40)</f>
        <v>0</v>
      </c>
      <c r="T42" s="585">
        <f>SUMIF($Z$38:$Z$40,"industrie",T38:T40)</f>
        <v>0</v>
      </c>
      <c r="U42" s="585">
        <f>SUMIF($Z$38:$Z$40,"industrie",U38:U40)</f>
        <v>0</v>
      </c>
      <c r="V42" s="585">
        <f>SUMIF($Z$38:$Z$40,"industrie",V38:V40)</f>
        <v>0</v>
      </c>
      <c r="W42" s="585">
        <f>SUMIF($Z$38:$Z$40,"industrie",W38:W40)</f>
        <v>0</v>
      </c>
      <c r="X42" s="586"/>
      <c r="Y42" s="586"/>
      <c r="Z42" s="587"/>
    </row>
    <row r="43" spans="1:27" s="563" customFormat="1">
      <c r="A43" s="583" t="s">
        <v>277</v>
      </c>
      <c r="B43" s="584"/>
      <c r="C43" s="584"/>
      <c r="D43" s="584"/>
      <c r="E43" s="584"/>
      <c r="F43" s="584"/>
      <c r="G43" s="584"/>
      <c r="H43" s="584"/>
      <c r="I43" s="584"/>
      <c r="J43" s="584"/>
      <c r="K43" s="584"/>
      <c r="L43" s="585"/>
      <c r="M43" s="585">
        <f>SUMIF($Z$38:$Z$41,"tertiair",M38:M41)</f>
        <v>1105</v>
      </c>
      <c r="N43" s="585">
        <f>SUMIF($Z$38:$Z$41,"tertiair",N38:N41)</f>
        <v>4972.5</v>
      </c>
      <c r="O43" s="585">
        <f>SUMIF($Z$38:$Z$41,"tertiair",O38:O41)</f>
        <v>0</v>
      </c>
      <c r="P43" s="585">
        <f>SUMIF($Z$38:$Z$41,"tertiair",P38:P41)</f>
        <v>0</v>
      </c>
      <c r="Q43" s="585">
        <f>SUMIF($Z$38:$Z$41,"tertiair",Q38:Q41)</f>
        <v>398.57142857142861</v>
      </c>
      <c r="R43" s="585">
        <f>SUMIF($Z$38:$Z$41,"tertiair",R38:R41)</f>
        <v>13808.571428571429</v>
      </c>
      <c r="S43" s="585">
        <f>SUMIF($Z$38:$Z$41,"tertiair",S38:S41)</f>
        <v>0</v>
      </c>
      <c r="T43" s="585">
        <f>SUMIF($Z$38:$Z$41,"tertiair",T38:T41)</f>
        <v>0</v>
      </c>
      <c r="U43" s="585">
        <f>SUMIF($Z$38:$Z$41,"tertiair",U38:U41)</f>
        <v>0</v>
      </c>
      <c r="V43" s="585">
        <f>SUMIF($Z$38:$Z$41,"tertiair",V38:V41)</f>
        <v>0</v>
      </c>
      <c r="W43" s="585">
        <f>SUMIF($Z$38:$Z$41,"tertiair",W38:W41)</f>
        <v>0</v>
      </c>
      <c r="X43" s="586"/>
      <c r="Y43" s="586"/>
      <c r="Z43" s="587"/>
    </row>
    <row r="44" spans="1:27" s="563" customFormat="1" ht="15.75" thickBot="1">
      <c r="A44" s="588" t="s">
        <v>278</v>
      </c>
      <c r="B44" s="589"/>
      <c r="C44" s="589"/>
      <c r="D44" s="589"/>
      <c r="E44" s="589"/>
      <c r="F44" s="589"/>
      <c r="G44" s="589"/>
      <c r="H44" s="589"/>
      <c r="I44" s="589"/>
      <c r="J44" s="589"/>
      <c r="K44" s="589"/>
      <c r="L44" s="590"/>
      <c r="M44" s="590">
        <f>SUMIF($Z$38:$Z$42,"landbouw",M38:M42)</f>
        <v>3033</v>
      </c>
      <c r="N44" s="590">
        <f>SUMIF($Z$38:$Z$42,"landbouw",N38:N42)</f>
        <v>13648.5</v>
      </c>
      <c r="O44" s="590">
        <f>SUMIF($Z$38:$Z$42,"landbouw",O38:O42)</f>
        <v>0</v>
      </c>
      <c r="P44" s="590">
        <f>SUMIF($Z$38:$Z$42,"landbouw",P38:P42)</f>
        <v>0</v>
      </c>
      <c r="Q44" s="590">
        <f>SUMIF($Z$38:$Z$42,"landbouw",Q38:Q42)</f>
        <v>38995.71428571429</v>
      </c>
      <c r="R44" s="590">
        <f>SUMIF($Z$38:$Z$42,"landbouw",R38:R42)</f>
        <v>0</v>
      </c>
      <c r="S44" s="590">
        <f>SUMIF($Z$38:$Z$42,"landbouw",S38:S42)</f>
        <v>0</v>
      </c>
      <c r="T44" s="590">
        <f>SUMIF($Z$38:$Z$42,"landbouw",T38:T42)</f>
        <v>0</v>
      </c>
      <c r="U44" s="590">
        <f>SUMIF($Z$38:$Z$42,"landbouw",U38:U42)</f>
        <v>0</v>
      </c>
      <c r="V44" s="590">
        <f>SUMIF($Z$38:$Z$42,"landbouw",V38:V42)</f>
        <v>0</v>
      </c>
      <c r="W44" s="590">
        <f>SUMIF($Z$38:$Z$42,"landbouw",W38:W42)</f>
        <v>0</v>
      </c>
      <c r="X44" s="591"/>
      <c r="Y44" s="591"/>
      <c r="Z44" s="592"/>
    </row>
    <row r="45" spans="1:27" s="597" customFormat="1">
      <c r="A45" s="593"/>
      <c r="B45" s="577"/>
      <c r="C45" s="577"/>
      <c r="D45" s="577"/>
      <c r="E45" s="577"/>
      <c r="F45" s="577"/>
      <c r="G45" s="577"/>
      <c r="H45" s="577"/>
      <c r="I45" s="577"/>
      <c r="J45" s="577"/>
      <c r="K45" s="577"/>
      <c r="L45" s="577"/>
      <c r="M45" s="577"/>
      <c r="N45" s="577"/>
      <c r="O45" s="577"/>
      <c r="P45" s="577"/>
      <c r="Q45" s="577"/>
      <c r="R45" s="577"/>
      <c r="S45" s="577"/>
      <c r="T45" s="577"/>
      <c r="U45" s="577"/>
      <c r="V45" s="577"/>
      <c r="W45" s="577"/>
      <c r="X45" s="577"/>
      <c r="Y45" s="577"/>
    </row>
    <row r="46" spans="1:27" s="597" customFormat="1" ht="15.75" thickBot="1">
      <c r="A46" s="593"/>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row>
    <row r="47" spans="1:27">
      <c r="A47" s="598" t="s">
        <v>271</v>
      </c>
      <c r="B47" s="599"/>
      <c r="C47" s="599"/>
      <c r="D47" s="599"/>
      <c r="E47" s="599"/>
      <c r="F47" s="599"/>
      <c r="G47" s="599"/>
      <c r="H47" s="599"/>
      <c r="I47" s="600"/>
      <c r="J47" s="601"/>
      <c r="K47" s="601"/>
      <c r="L47" s="602"/>
      <c r="M47" s="602"/>
      <c r="N47" s="602"/>
      <c r="O47" s="602"/>
      <c r="P47" s="602"/>
    </row>
    <row r="48" spans="1:27">
      <c r="A48" s="604"/>
      <c r="B48" s="594"/>
      <c r="C48" s="594"/>
      <c r="D48" s="594"/>
      <c r="E48" s="594"/>
      <c r="F48" s="594"/>
      <c r="G48" s="594"/>
      <c r="H48" s="594"/>
      <c r="I48" s="605"/>
      <c r="J48" s="594"/>
      <c r="K48" s="594"/>
      <c r="L48" s="602"/>
      <c r="M48" s="602"/>
      <c r="N48" s="602"/>
      <c r="O48" s="602"/>
      <c r="P48" s="602"/>
    </row>
    <row r="49" spans="1:16">
      <c r="A49" s="606"/>
      <c r="B49" s="607" t="s">
        <v>272</v>
      </c>
      <c r="C49" s="607" t="s">
        <v>273</v>
      </c>
      <c r="D49" s="607"/>
      <c r="E49" s="607"/>
      <c r="F49" s="607"/>
      <c r="G49" s="607"/>
      <c r="H49" s="607"/>
      <c r="I49" s="608"/>
      <c r="J49" s="607"/>
      <c r="K49" s="607"/>
      <c r="L49" s="607"/>
      <c r="M49" s="607"/>
      <c r="N49" s="607"/>
      <c r="O49" s="607"/>
      <c r="P49" s="602"/>
    </row>
    <row r="50" spans="1:16">
      <c r="A50" s="604" t="s">
        <v>269</v>
      </c>
      <c r="B50" s="609">
        <f>IF(ISERROR(O32/(O32+N32)),0,O32/(O32+N32))</f>
        <v>0.58823529411764719</v>
      </c>
      <c r="C50" s="610">
        <f>IF(ISERROR(N32/(O32+N32)),0,N32/(N32+O32))</f>
        <v>0.41176470588235292</v>
      </c>
      <c r="D50" s="577"/>
      <c r="E50" s="577"/>
      <c r="F50" s="577"/>
      <c r="G50" s="577"/>
      <c r="H50" s="577"/>
      <c r="I50" s="611"/>
      <c r="J50" s="577"/>
      <c r="K50" s="577"/>
      <c r="L50" s="612"/>
      <c r="M50" s="612"/>
      <c r="N50" s="612"/>
      <c r="O50" s="612"/>
      <c r="P50" s="602"/>
    </row>
    <row r="51" spans="1:16">
      <c r="A51" s="604"/>
      <c r="B51" s="613"/>
      <c r="C51" s="613"/>
      <c r="D51" s="613"/>
      <c r="E51" s="613"/>
      <c r="F51" s="613"/>
      <c r="G51" s="613"/>
      <c r="H51" s="613"/>
      <c r="I51" s="614"/>
      <c r="J51" s="613"/>
      <c r="K51" s="613"/>
      <c r="L51" s="615"/>
      <c r="M51" s="615"/>
      <c r="N51" s="615"/>
      <c r="O51" s="615"/>
      <c r="P51" s="602"/>
    </row>
    <row r="52" spans="1:16" ht="30">
      <c r="A52" s="616"/>
      <c r="B52" s="617" t="s">
        <v>535</v>
      </c>
      <c r="C52" s="617" t="s">
        <v>96</v>
      </c>
      <c r="D52" s="617" t="s">
        <v>97</v>
      </c>
      <c r="E52" s="617" t="s">
        <v>98</v>
      </c>
      <c r="F52" s="617" t="s">
        <v>99</v>
      </c>
      <c r="G52" s="617" t="s">
        <v>100</v>
      </c>
      <c r="H52" s="617" t="s">
        <v>101</v>
      </c>
      <c r="I52" s="618" t="s">
        <v>102</v>
      </c>
      <c r="J52" s="607"/>
      <c r="K52" s="607"/>
      <c r="L52" s="615"/>
      <c r="M52" s="615"/>
      <c r="N52" s="615"/>
      <c r="O52" s="602"/>
      <c r="P52" s="602"/>
    </row>
    <row r="53" spans="1:16">
      <c r="A53" s="606" t="s">
        <v>274</v>
      </c>
      <c r="B53" s="619">
        <f t="shared" ref="B53:I53" si="2">$C$50*P32</f>
        <v>7972.9411764705883</v>
      </c>
      <c r="C53" s="619">
        <f t="shared" si="2"/>
        <v>20398.235294117647</v>
      </c>
      <c r="D53" s="619">
        <f t="shared" si="2"/>
        <v>5685.8823529411766</v>
      </c>
      <c r="E53" s="619">
        <f t="shared" si="2"/>
        <v>0</v>
      </c>
      <c r="F53" s="619">
        <f t="shared" si="2"/>
        <v>0</v>
      </c>
      <c r="G53" s="619">
        <f t="shared" si="2"/>
        <v>0</v>
      </c>
      <c r="H53" s="619">
        <f t="shared" si="2"/>
        <v>0</v>
      </c>
      <c r="I53" s="620">
        <f t="shared" si="2"/>
        <v>0</v>
      </c>
      <c r="J53" s="577"/>
      <c r="K53" s="577"/>
      <c r="L53" s="615"/>
      <c r="M53" s="615"/>
      <c r="N53" s="615"/>
      <c r="O53" s="602"/>
      <c r="P53" s="602"/>
    </row>
    <row r="54" spans="1:16" ht="15.75" thickBot="1">
      <c r="A54" s="621" t="s">
        <v>275</v>
      </c>
      <c r="B54" s="622">
        <f t="shared" ref="B54:I54" si="3">$B$50*P32</f>
        <v>11389.915966386558</v>
      </c>
      <c r="C54" s="622">
        <f t="shared" si="3"/>
        <v>29140.336134453792</v>
      </c>
      <c r="D54" s="622">
        <f t="shared" si="3"/>
        <v>8122.6890756302546</v>
      </c>
      <c r="E54" s="622">
        <f t="shared" si="3"/>
        <v>0</v>
      </c>
      <c r="F54" s="622">
        <f t="shared" si="3"/>
        <v>0</v>
      </c>
      <c r="G54" s="622">
        <f t="shared" si="3"/>
        <v>0</v>
      </c>
      <c r="H54" s="622">
        <f t="shared" si="3"/>
        <v>0</v>
      </c>
      <c r="I54" s="623">
        <f t="shared" si="3"/>
        <v>0</v>
      </c>
      <c r="J54" s="577"/>
      <c r="K54" s="577"/>
      <c r="L54" s="615"/>
      <c r="M54" s="615"/>
      <c r="N54" s="615"/>
      <c r="O54" s="602"/>
      <c r="P54" s="602"/>
    </row>
    <row r="55" spans="1:16">
      <c r="J55" s="561"/>
      <c r="K55" s="561"/>
      <c r="L55" s="561"/>
      <c r="M55" s="561"/>
      <c r="N55" s="561"/>
    </row>
    <row r="56" spans="1:16">
      <c r="J56" s="561"/>
      <c r="K56" s="561"/>
      <c r="L56" s="561"/>
      <c r="M56" s="561"/>
      <c r="N56"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2021-11-11T13:34:54Z</dcterms:modified>
</cp:coreProperties>
</file>