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C68C90E4-13B6-4499-BB31-DEAB724683BD}"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1"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<sst xmlns="http://schemas.openxmlformats.org/spreadsheetml/2006/main" count="2558" uniqueCount="961">
  <si>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</si>
  <si>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</si>
  <si>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</si>
  <si>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</si>
  <si>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</si>
  <si>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</si>
  <si>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</si>
  <si>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</si>
  <si>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</si>
  <si>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</si>
  <si>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</si>
  <si>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</si>
  <si>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</si>
  <si>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</si>
  <si>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</si>
  <si>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</si>
  <si>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</si>
  <si>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</si>
  <si>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</si>
  <si>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</si>
  <si>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</si>
  <si>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</si>
  <si>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</si>
  <si>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</si>
  <si>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</si>
  <si>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</si>
  <si>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</si>
  <si>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</si>
  <si>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</si>
  <si>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</si>
  <si>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</si>
  <si>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</si>
  <si>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</si>
  <si>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</si>
  <si>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</si>
  <si>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</si>
  <si>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</si>
  <si>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</si>
  <si>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</si>
  <si>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</si>
  <si>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</si>
  <si>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</si>
  <si>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</si>
  <si>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</si>
  <si>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</si>
  <si>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</si>
  <si>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</si>
  <si>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</si>
  <si>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</si>
  <si>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</si>
  <si>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</si>
  <si>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</si>
  <si>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</si>
  <si>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</si>
  <si>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</si>
  <si>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</si>
  <si>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</si>
  <si>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</si>
  <si>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</si>
  <si>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</si>
  <si>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</si>
  <si>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</si>
  <si>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</si>
  <si>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</si>
  <si>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</si>
  <si>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</si>
  <si>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</si>
  <si>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</si>
  <si>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</si>
  <si>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</si>
  <si>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</si>
  <si>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</si>
  <si>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</si>
  <si>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</si>
  <si>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</si>
  <si>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</si>
  <si>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</si>
  <si>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</si>
  <si>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</si>
  <si>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</si>
  <si>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</si>
  <si>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</si>
  <si>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</si>
  <si>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</si>
  <si>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</si>
  <si>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</si>
  <si>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</si>
  <si>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</si>
  <si>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</si>
  <si>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</si>
  <si>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</si>
  <si>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</si>
  <si>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</si>
  <si>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</si>
  <si>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</si>
  <si>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</si>
  <si>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</si>
  <si>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</si>
  <si>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</si>
  <si>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</si>
  <si>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</si>
  <si>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</si>
  <si>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</si>
  <si>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</si>
  <si>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</si>
  <si>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</si>
  <si>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</si>
  <si>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</si>
  <si>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</si>
  <si>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</si>
  <si>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</si>
  <si>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</si>
  <si>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</si>
  <si>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</si>
  <si>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</si>
  <si>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</si>
  <si>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</si>
  <si>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</si>
  <si>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</si>
  <si>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</si>
  <si>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</si>
  <si>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</si>
  <si>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</si>
  <si>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</si>
  <si>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</si>
  <si>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</si>
  <si>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</si>
  <si>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</si>
  <si>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</si>
  <si>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</si>
  <si>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</si>
  <si>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</si>
  <si>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</si>
  <si>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</si>
  <si>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</si>
  <si>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</si>
  <si>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</si>
  <si>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</si>
  <si>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</si>
  <si>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</si>
  <si>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</si>
  <si>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</si>
  <si>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</si>
  <si>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</si>
  <si>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</si>
  <si>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</si>
  <si>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</si>
  <si>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</si>
  <si>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</si>
  <si>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</si>
  <si>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</si>
  <si>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</si>
  <si>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</si>
  <si>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</si>
  <si>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</si>
  <si>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</si>
  <si>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</si>
  <si>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</si>
  <si>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</si>
  <si>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</si>
  <si>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</si>
  <si>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</si>
  <si>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</si>
  <si>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</si>
  <si>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</si>
  <si>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</si>
  <si>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</si>
  <si>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</si>
  <si>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</si>
  <si>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</si>
  <si>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</si>
  <si>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</si>
  <si>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</si>
  <si>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</si>
  <si>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</si>
  <si>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</si>
  <si>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</si>
  <si>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</si>
  <si>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</si>
  <si>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</si>
  <si>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</si>
  <si>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</si>
  <si>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</si>
  <si>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</si>
  <si>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</si>
  <si>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</si>
  <si>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</si>
  <si>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</si>
  <si>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</si>
  <si>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</si>
  <si>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</si>
  <si>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</si>
  <si>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</si>
  <si>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</si>
  <si>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</si>
  <si>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</si>
  <si>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</si>
  <si>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</si>
  <si>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</si>
  <si>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</si>
  <si>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</si>
  <si>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</si>
  <si>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</si>
  <si>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</si>
  <si>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</si>
  <si>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</si>
  <si>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</si>
  <si>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</si>
  <si>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</si>
  <si>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</si>
  <si>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</si>
  <si>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</si>
  <si>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</si>
  <si>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</si>
  <si>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</si>
  <si>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</si>
  <si>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</si>
  <si>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</si>
  <si>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</si>
  <si>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</si>
  <si>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</si>
  <si>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</si>
  <si>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</si>
  <si>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</si>
  <si>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</si>
  <si>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</si>
  <si>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</si>
  <si>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</si>
  <si>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</si>
  <si>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</si>
  <si>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</si>
  <si>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</si>
  <si>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</si>
  <si>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</si>
  <si>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</si>
  <si>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</si>
  <si>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</si>
  <si>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</si>
  <si>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</si>
  <si>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</si>
  <si>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</si>
  <si>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</si>
  <si>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</si>
  <si>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</si>
  <si>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</si>
  <si>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</si>
  <si>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</si>
  <si>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</si>
  <si>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</si>
  <si>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</si>
  <si>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</si>
  <si>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</si>
  <si>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</si>
  <si>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</si>
  <si>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</si>
  <si>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</si>
  <si>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</si>
  <si>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</si>
  <si>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</si>
  <si>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</si>
  <si>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</si>
  <si>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</si>
  <si>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</si>
  <si>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</si>
  <si>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</si>
  <si>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</si>
  <si>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</si>
  <si>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</si>
  <si>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</si>
  <si>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</si>
  <si>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</si>
  <si>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</si>
  <si>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</si>
  <si>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</si>
  <si>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</si>
  <si>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</si>
  <si>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</si>
  <si>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</si>
  <si>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</si>
  <si>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</si>
  <si>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</si>
  <si>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</si>
  <si>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</si>
  <si>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</si>
  <si>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</si>
  <si>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</si>
  <si>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</si>
  <si>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</si>
  <si>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</si>
  <si>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</si>
  <si>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</si>
  <si>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</si>
  <si>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</si>
  <si>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</si>
  <si>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</si>
  <si>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</si>
  <si>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</si>
  <si>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</si>
  <si>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</si>
  <si>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</si>
  <si>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</si>
  <si>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</si>
  <si>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</si>
  <si>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</si>
  <si>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</si>
  <si>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</si>
  <si>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</si>
  <si>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</si>
  <si>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</si>
  <si>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</si>
  <si>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</si>
  <si>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</si>
  <si>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</si>
  <si>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</si>
  <si>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</si>
  <si>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</si>
  <si>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</si>
  <si>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</si>
  <si>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</si>
  <si>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</si>
  <si>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</si>
  <si>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</si>
  <si>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</si>
  <si>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</si>
  <si>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</si>
  <si>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</si>
  <si>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</si>
  <si>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</si>
  <si>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</si>
  <si>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</si>
  <si>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</si>
  <si>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</si>
  <si>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</si>
  <si>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</si>
  <si>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</si>
  <si>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</si>
  <si>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</si>
  <si>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</si>
  <si>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</si>
  <si>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</si>
  <si>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</si>
  <si>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</si>
  <si>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</si>
  <si>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</si>
  <si>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</si>
  <si>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</si>
  <si>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</si>
  <si>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</si>
  <si>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</si>
  <si>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</si>
  <si>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</si>
  <si>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</si>
  <si>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</si>
  <si>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</si>
  <si>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</si>
  <si>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</si>
  <si>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</si>
  <si>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</si>
  <si>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</si>
  <si>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</si>
  <si>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</si>
  <si>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</si>
  <si>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</si>
  <si>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</si>
  <si>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</si>
  <si>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</si>
  <si>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</si>
  <si>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</si>
  <si>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</si>
  <si>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</si>
  <si>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</si>
  <si>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</si>
  <si>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</si>
  <si>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</si>
  <si>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</si>
  <si>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</si>
  <si>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</si>
  <si>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</si>
  <si>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</si>
  <si>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</si>
  <si>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</si>
  <si>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</si>
  <si>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</si>
  <si>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</si>
  <si>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</si>
  <si>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</si>
  <si>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</si>
  <si>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</si>
  <si>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</si>
  <si>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</si>
  <si>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</si>
  <si>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</si>
  <si>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</si>
  <si>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</si>
  <si>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</si>
  <si>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</si>
  <si>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</si>
  <si>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</si>
  <si>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</si>
  <si>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</si>
  <si>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</si>
  <si>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</si>
  <si>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</si>
  <si>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</si>
  <si>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</si>
  <si>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</si>
  <si>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</si>
  <si>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</si>
  <si>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</si>
  <si>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</si>
  <si>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</si>
  <si>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</si>
  <si>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</si>
  <si>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</si>
  <si>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</si>
  <si>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</si>
  <si>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</si>
  <si>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</si>
  <si>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</si>
  <si>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</si>
  <si>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</si>
  <si>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</si>
  <si>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</si>
  <si>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</si>
  <si>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</si>
  <si>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</si>
  <si>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</si>
  <si>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</si>
  <si>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</si>
  <si>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</si>
  <si>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</si>
  <si>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</si>
  <si>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</si>
  <si>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</si>
  <si>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</si>
  <si>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</si>
  <si>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</si>
  <si>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</si>
  <si>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</si>
  <si>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</si>
  <si>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</si>
  <si>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</si>
  <si>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</si>
  <si>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</si>
  <si>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</si>
  <si>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</si>
  <si>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</si>
  <si>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</si>
  <si>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</si>
  <si>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</si>
  <si>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</si>
  <si>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</si>
  <si>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</si>
  <si>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</si>
  <si>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</si>
  <si>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</si>
  <si>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</si>
  <si>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</si>
  <si>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</si>
  <si>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</si>
  <si>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</si>
  <si>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</si>
  <si>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</si>
  <si>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</si>
  <si>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</si>
  <si>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</si>
  <si>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</si>
  <si>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</si>
  <si>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</si>
  <si>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</si>
  <si>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</si>
  <si>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</si>
  <si>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</si>
  <si>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</si>
  <si>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</si>
  <si>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</si>
  <si>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</si>
  <si>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</si>
  <si>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</si>
  <si>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</si>
  <si>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</si>
  <si>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</si>
  <si>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</si>
  <si>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</si>
  <si>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</si>
  <si>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</si>
  <si>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</si>
  <si>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</si>
  <si>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</si>
  <si>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</si>
  <si>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</si>
  <si>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</si>
  <si>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</si>
  <si>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</si>
  <si>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</si>
  <si>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</si>
  <si>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</si>
  <si>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</si>
  <si>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</si>
  <si>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</si>
  <si>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</si>
  <si>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</si>
  <si>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</si>
  <si>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</si>
  <si>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</si>
  <si>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</si>
  <si>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</si>
  <si>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</si>
  <si>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</si>
  <si>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</si>
  <si>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</si>
  <si>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</si>
  <si>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</si>
  <si>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</si>
  <si>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</si>
  <si>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</si>
  <si>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</si>
  <si>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</si>
  <si>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</si>
  <si>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</si>
  <si>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</si>
  <si>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</si>
  <si>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</si>
  <si>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</si>
  <si>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</si>
  <si>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</si>
  <si>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</si>
  <si>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</si>
  <si>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</si>
  <si>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</si>
  <si>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</si>
  <si>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</si>
  <si>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</si>
  <si>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</si>
  <si>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</si>
  <si>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</si>
  <si>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</si>
  <si>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</si>
  <si>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</si>
  <si>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</si>
  <si>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</si>
  <si>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</si>
  <si>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</si>
  <si>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</si>
  <si>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</si>
  <si>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</si>
  <si>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</si>
  <si>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</si>
  <si>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</si>
  <si>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</si>
  <si>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</si>
  <si>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</si>
  <si>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</si>
  <si>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</si>
  <si>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</si>
  <si>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</si>
  <si>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</si>
  <si>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</si>
  <si>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</si>
  <si>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</si>
  <si>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</si>
  <si>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</si>
  <si>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</si>
  <si>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</si>
  <si>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</si>
  <si>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</si>
  <si>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</si>
  <si>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</si>
  <si>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</si>
  <si>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</si>
  <si>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</si>
  <si>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</si>
  <si>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</si>
  <si>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</si>
  <si>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</si>
  <si>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</si>
  <si>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</si>
  <si>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</si>
  <si>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</si>
  <si>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</si>
  <si>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</si>
  <si>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</si>
  <si>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</si>
  <si>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</si>
  <si>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</si>
  <si>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</si>
  <si>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</si>
  <si>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</si>
  <si>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</si>
  <si>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</si>
  <si>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</si>
  <si>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</si>
  <si>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</si>
  <si>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</si>
  <si>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</si>
  <si>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</si>
  <si>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</si>
  <si>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</si>
  <si>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</si>
  <si>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</si>
  <si>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</si>
  <si>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</si>
  <si>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</si>
  <si>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</si>
  <si>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</si>
  <si>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</si>
  <si>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</si>
  <si>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</si>
  <si>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</si>
  <si>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</si>
  <si>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</si>
  <si>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</si>
  <si>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</si>
  <si>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</si>
  <si>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</si>
  <si>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</si>
  <si>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</si>
  <si>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</si>
  <si>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</si>
  <si>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</si>
  <si>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</si>
  <si>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</si>
  <si>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</si>
  <si>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</si>
  <si>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</si>
  <si>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</si>
  <si>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</si>
  <si>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</si>
  <si>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</si>
  <si>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</si>
  <si>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</si>
  <si>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</si>
  <si>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</si>
  <si>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</si>
  <si>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</si>
  <si>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</si>
  <si>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</si>
  <si>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</si>
  <si>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</si>
  <si>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</si>
  <si>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</si>
  <si>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</si>
  <si>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</si>
  <si>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</si>
  <si>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</si>
  <si>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</si>
  <si>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</si>
  <si>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</si>
  <si>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</si>
  <si>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</si>
  <si>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</si>
  <si>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</si>
  <si>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</si>
  <si>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</si>
  <si>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</si>
  <si>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</si>
  <si>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</si>
  <si>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</si>
  <si>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</si>
  <si>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</si>
  <si>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</si>
  <si>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</si>
  <si>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</si>
  <si>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</si>
  <si>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</si>
  <si>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</si>
  <si>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</si>
  <si>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</si>
  <si>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</si>
  <si>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</si>
  <si>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</si>
  <si>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</si>
  <si>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</si>
  <si>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</si>
  <si>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</si>
  <si>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</si>
  <si>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</si>
  <si>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</si>
  <si>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</si>
  <si>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</si>
  <si>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</si>
  <si>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</si>
  <si>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</si>
  <si>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</si>
  <si>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</si>
  <si>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</si>
  <si>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</si>
  <si>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</si>
  <si>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</si>
  <si>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</si>
  <si>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</si>
  <si>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</si>
  <si>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</si>
  <si>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</si>
  <si>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</si>
  <si>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</si>
  <si>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</si>
  <si>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</si>
  <si>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</si>
  <si>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</si>
  <si>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</si>
  <si>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</si>
  <si>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</si>
  <si>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</si>
  <si>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</si>
  <si>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</si>
  <si>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</si>
  <si>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</si>
  <si>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</si>
  <si>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</si>
  <si>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</si>
  <si>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</si>
  <si>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</si>
  <si>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</si>
  <si>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</si>
  <si>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</si>
  <si>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</si>
  <si>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</si>
  <si>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</si>
  <si>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</si>
  <si>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</si>
  <si>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</si>
  <si>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</si>
  <si>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</si>
  <si>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</si>
  <si>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</si>
  <si>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</si>
  <si>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</si>
  <si>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</si>
  <si>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</si>
  <si>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</si>
  <si>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</si>
  <si>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</si>
  <si>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</si>
  <si>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</si>
  <si>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</si>
  <si>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</si>
  <si>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</si>
  <si>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</si>
  <si>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</si>
  <si>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</si>
  <si>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</si>
  <si>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</si>
  <si>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</si>
  <si>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</si>
  <si>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</si>
  <si>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</si>
  <si>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</si>
  <si>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</si>
  <si>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</si>
  <si>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</si>
  <si>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</si>
  <si>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</si>
  <si>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</si>
  <si>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</si>
  <si>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</si>
  <si>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</si>
  <si>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</si>
  <si>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</si>
  <si>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</si>
  <si>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</si>
  <si>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</si>
  <si>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</si>
  <si>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</si>
  <si>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</si>
  <si>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</si>
  <si>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</si>
  <si>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</si>
  <si>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</si>
  <si>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</si>
  <si>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</si>
  <si>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</si>
  <si>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</si>
  <si>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</si>
  <si>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</si>
  <si>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</si>
  <si>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</si>
  <si>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</si>
  <si>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</si>
  <si>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</si>
  <si>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</si>
  <si>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</si>
  <si>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</si>
  <si>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</si>
  <si>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</si>
  <si>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</si>
  <si>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</si>
  <si>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</si>
  <si>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</si>
  <si>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</si>
  <si>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</si>
  <si>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</si>
  <si>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</si>
  <si>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</si>
  <si>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</si>
  <si>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</si>
  <si>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</si>
  <si>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</si>
  <si>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</si>
  <si>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</si>
  <si>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</si>
  <si>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</si>
  <si>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</si>
  <si>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</si>
  <si>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</si>
  <si>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</si>
  <si>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</si>
  <si>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</si>
  <si>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</si>
  <si>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</si>
  <si>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</si>
  <si>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</si>
  <si>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</si>
  <si>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</si>
  <si>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</si>
  <si>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</si>
  <si>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</si>
  <si>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</si>
  <si>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</si>
  <si>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</si>
  <si>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</si>
  <si>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</si>
  <si>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</si>
  <si>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</si>
  <si>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</si>
  <si>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</si>
  <si>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</si>
  <si>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</si>
  <si>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</si>
  <si>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</si>
  <si>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</si>
  <si>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</si>
  <si>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</si>
  <si>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</si>
  <si>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</si>
  <si>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</si>
  <si>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</si>
  <si>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</si>
  <si>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</si>
  <si>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</si>
  <si>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</si>
  <si>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</si>
  <si>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</si>
  <si>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</si>
  <si>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</si>
  <si>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</si>
  <si>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</si>
  <si>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</si>
  <si>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</si>
  <si>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</si>
  <si>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</si>
  <si>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</si>
  <si>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</si>
  <si>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</si>
  <si>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</si>
  <si>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</si>
  <si>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</si>
  <si>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</si>
  <si>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</si>
  <si>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</si>
  <si>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</si>
  <si>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</si>
  <si>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</si>
  <si>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</si>
  <si>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</si>
  <si>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</si>
  <si>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</si>
  <si>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</si>
  <si>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</si>
  <si>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</si>
  <si>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</si>
  <si>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</si>
  <si>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</si>
  <si>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</si>
  <si>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</si>
  <si>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</si>
  <si>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</si>
  <si>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</si>
  <si>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</si>
  <si>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</si>
  <si>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</si>
  <si>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</si>
  <si>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</si>
  <si>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</si>
  <si>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</si>
  <si>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</si>
  <si>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</si>
  <si>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</si>
  <si>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</si>
  <si>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</si>
  <si>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</si>
  <si>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</si>
  <si>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</si>
  <si>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</si>
  <si>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</si>
  <si>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</si>
  <si>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</si>
  <si>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</si>
  <si>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</si>
  <si>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</si>
  <si>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</si>
  <si>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</si>
  <si>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</si>
  <si>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</si>
  <si>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</si>
  <si>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</si>
  <si>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</si>
  <si>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</si>
  <si>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</si>
  <si>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</si>
  <si>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</si>
  <si>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</si>
  <si>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</si>
  <si>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</si>
  <si>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</si>
  <si>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</si>
  <si>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</si>
  <si>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</si>
  <si>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</si>
  <si>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</si>
  <si>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</si>
  <si>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</si>
  <si>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</si>
  <si>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</si>
  <si>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</si>
  <si>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</si>
  <si>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</si>
  <si>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</si>
  <si>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</si>
  <si>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</si>
  <si>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</si>
  <si>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</si>
  <si>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</si>
  <si>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</si>
  <si>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</si>
  <si>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</si>
  <si>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</si>
  <si>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</si>
  <si>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</si>
  <si>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</si>
  <si>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</si>
  <si>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</si>
  <si>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</si>
  <si>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</si>
  <si>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</si>
  <si>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</si>
  <si>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</si>
  <si>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</si>
  <si>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</si>
  <si>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</si>
  <si>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</si>
  <si>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</si>
  <si>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</si>
  <si>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35002</t>
  </si>
  <si>
    <t>BREDENE</t>
  </si>
  <si>
    <t>Paarden&amp;pony's 200 - 600 kg</t>
  </si>
  <si>
    <t>Paarden&amp;pony's &lt; 200 kg</t>
  </si>
  <si>
    <t>Fluvius</t>
  </si>
  <si>
    <t>referentietaak LNE (2017); Jaarverslag De Lijn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</si>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</sst>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9ACF345-84B1-49C9-9A61-6B1498404AF1}"/>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35002</v>
      </c>
      <c r="B6" s="384"/>
      <c r="C6" s="385"/>
    </row>
    <row r="7" spans="1:7" s="382" customFormat="1" ht="15.75" customHeight="1">
      <c r="A7" s="386" t="str">
        <f>txtMunicipality</f>
        <v>BREDENE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18807.313981064621</v>
      </c>
      <c r="D10" s="674">
        <f ca="1">tertiair!C16</f>
        <v>0</v>
      </c>
      <c r="E10" s="674">
        <f ca="1">tertiair!D16</f>
        <v>15508.385563081403</v>
      </c>
      <c r="F10" s="674">
        <f>tertiair!E16</f>
        <v>388.5022678686725</v>
      </c>
      <c r="G10" s="674">
        <f ca="1">tertiair!F16</f>
        <v>3458.3459637399433</v>
      </c>
      <c r="H10" s="674">
        <f>tertiair!G16</f>
        <v>0</v>
      </c>
      <c r="I10" s="674">
        <f>tertiair!H16</f>
        <v>0</v>
      </c>
      <c r="J10" s="674">
        <f>tertiair!I16</f>
        <v>0</v>
      </c>
      <c r="K10" s="674">
        <f>tertiair!J16</f>
        <v>0</v>
      </c>
      <c r="L10" s="674">
        <f>tertiair!K16</f>
        <v>0</v>
      </c>
      <c r="M10" s="674">
        <f ca="1">tertiair!L16</f>
        <v>0</v>
      </c>
      <c r="N10" s="674">
        <f>tertiair!M16</f>
        <v>0</v>
      </c>
      <c r="O10" s="674">
        <f ca="1">tertiair!N16</f>
        <v>447.72068370661196</v>
      </c>
      <c r="P10" s="674">
        <f>tertiair!O16</f>
        <v>1.5633333333333335</v>
      </c>
      <c r="Q10" s="675">
        <f>tertiair!P16</f>
        <v>19.066666666666666</v>
      </c>
      <c r="R10" s="677">
        <f ca="1">SUM(C10:Q10)</f>
        <v>38630.898459461248</v>
      </c>
      <c r="S10" s="68"/>
    </row>
    <row r="11" spans="1:19" s="443" customFormat="1">
      <c r="A11" s="789" t="s">
        <v>214</v>
      </c>
      <c r="B11" s="794"/>
      <c r="C11" s="674">
        <f>huishoudens!B8</f>
        <v>39623.183928126382</v>
      </c>
      <c r="D11" s="674">
        <f>huishoudens!C8</f>
        <v>0</v>
      </c>
      <c r="E11" s="674">
        <f>huishoudens!D8</f>
        <v>65474.519612337528</v>
      </c>
      <c r="F11" s="674">
        <f>huishoudens!E8</f>
        <v>1312.5521054790263</v>
      </c>
      <c r="G11" s="674">
        <f>huishoudens!F8</f>
        <v>40015.902968959483</v>
      </c>
      <c r="H11" s="674">
        <f>huishoudens!G8</f>
        <v>0</v>
      </c>
      <c r="I11" s="674">
        <f>huishoudens!H8</f>
        <v>0</v>
      </c>
      <c r="J11" s="674">
        <f>huishoudens!I8</f>
        <v>0</v>
      </c>
      <c r="K11" s="674">
        <f>huishoudens!J8</f>
        <v>726.07461599708813</v>
      </c>
      <c r="L11" s="674">
        <f>huishoudens!K8</f>
        <v>0</v>
      </c>
      <c r="M11" s="674">
        <f>huishoudens!L8</f>
        <v>0</v>
      </c>
      <c r="N11" s="674">
        <f>huishoudens!M8</f>
        <v>0</v>
      </c>
      <c r="O11" s="674">
        <f>huishoudens!N8</f>
        <v>10092.535329222723</v>
      </c>
      <c r="P11" s="674">
        <f>huishoudens!O8</f>
        <v>48.463333333333338</v>
      </c>
      <c r="Q11" s="675">
        <f>huishoudens!P8</f>
        <v>247.86666666666667</v>
      </c>
      <c r="R11" s="677">
        <f>SUM(C11:Q11)</f>
        <v>157541.09856012225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7155.538615188957</v>
      </c>
      <c r="D13" s="674">
        <f>industrie!C18</f>
        <v>0</v>
      </c>
      <c r="E13" s="674">
        <f>industrie!D18</f>
        <v>4187.839810137385</v>
      </c>
      <c r="F13" s="674">
        <f>industrie!E18</f>
        <v>59.415765427753442</v>
      </c>
      <c r="G13" s="674">
        <f>industrie!F18</f>
        <v>2368.339320633514</v>
      </c>
      <c r="H13" s="674">
        <f>industrie!G18</f>
        <v>0</v>
      </c>
      <c r="I13" s="674">
        <f>industrie!H18</f>
        <v>0</v>
      </c>
      <c r="J13" s="674">
        <f>industrie!I18</f>
        <v>0</v>
      </c>
      <c r="K13" s="674">
        <f>industrie!J18</f>
        <v>24.744715250120887</v>
      </c>
      <c r="L13" s="674">
        <f>industrie!K18</f>
        <v>0</v>
      </c>
      <c r="M13" s="674">
        <f>industrie!L18</f>
        <v>0</v>
      </c>
      <c r="N13" s="674">
        <f>industrie!M18</f>
        <v>0</v>
      </c>
      <c r="O13" s="674">
        <f>industrie!N18</f>
        <v>284.01058369872459</v>
      </c>
      <c r="P13" s="674">
        <f>industrie!O18</f>
        <v>0</v>
      </c>
      <c r="Q13" s="675">
        <f>industrie!P18</f>
        <v>0</v>
      </c>
      <c r="R13" s="677">
        <f>SUM(C13:Q13)</f>
        <v>14079.888810336453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65586.036524379961</v>
      </c>
      <c r="D16" s="707">
        <f t="shared" ref="D16:R16" ca="1" si="0">SUM(D9:D15)</f>
        <v>0</v>
      </c>
      <c r="E16" s="707">
        <f t="shared" ca="1" si="0"/>
        <v>85170.744985556317</v>
      </c>
      <c r="F16" s="707">
        <f t="shared" si="0"/>
        <v>1760.4701387754524</v>
      </c>
      <c r="G16" s="707">
        <f t="shared" ca="1" si="0"/>
        <v>45842.588253332942</v>
      </c>
      <c r="H16" s="707">
        <f t="shared" si="0"/>
        <v>0</v>
      </c>
      <c r="I16" s="707">
        <f t="shared" si="0"/>
        <v>0</v>
      </c>
      <c r="J16" s="707">
        <f t="shared" si="0"/>
        <v>0</v>
      </c>
      <c r="K16" s="707">
        <f t="shared" si="0"/>
        <v>750.81933124720899</v>
      </c>
      <c r="L16" s="707">
        <f t="shared" si="0"/>
        <v>0</v>
      </c>
      <c r="M16" s="707">
        <f t="shared" ca="1" si="0"/>
        <v>0</v>
      </c>
      <c r="N16" s="707">
        <f t="shared" si="0"/>
        <v>0</v>
      </c>
      <c r="O16" s="707">
        <f t="shared" ca="1" si="0"/>
        <v>10824.266596628058</v>
      </c>
      <c r="P16" s="707">
        <f t="shared" si="0"/>
        <v>50.026666666666671</v>
      </c>
      <c r="Q16" s="707">
        <f t="shared" si="0"/>
        <v>266.93333333333334</v>
      </c>
      <c r="R16" s="707">
        <f t="shared" ca="1" si="0"/>
        <v>210251.88582991995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352.6435242463462</v>
      </c>
      <c r="D19" s="674">
        <f>transport!C54</f>
        <v>0</v>
      </c>
      <c r="E19" s="674">
        <f>transport!D54</f>
        <v>0</v>
      </c>
      <c r="F19" s="674">
        <f>transport!E54</f>
        <v>0</v>
      </c>
      <c r="G19" s="674">
        <f>transport!F54</f>
        <v>0</v>
      </c>
      <c r="H19" s="674">
        <f>transport!G54</f>
        <v>1497.2226237245611</v>
      </c>
      <c r="I19" s="674">
        <f>transport!H54</f>
        <v>0</v>
      </c>
      <c r="J19" s="674">
        <f>transport!I54</f>
        <v>0</v>
      </c>
      <c r="K19" s="674">
        <f>transport!J54</f>
        <v>0</v>
      </c>
      <c r="L19" s="674">
        <f>transport!K54</f>
        <v>0</v>
      </c>
      <c r="M19" s="674">
        <f>transport!L54</f>
        <v>0</v>
      </c>
      <c r="N19" s="674">
        <f>transport!M54</f>
        <v>66.175645337018921</v>
      </c>
      <c r="O19" s="674">
        <f>transport!N54</f>
        <v>0</v>
      </c>
      <c r="P19" s="674">
        <f>transport!O54</f>
        <v>0</v>
      </c>
      <c r="Q19" s="675">
        <f>transport!P54</f>
        <v>0</v>
      </c>
      <c r="R19" s="677">
        <f>SUM(C19:Q19)</f>
        <v>1916.0417933079264</v>
      </c>
      <c r="S19" s="68"/>
    </row>
    <row r="20" spans="1:19" s="443" customFormat="1">
      <c r="A20" s="789" t="s">
        <v>296</v>
      </c>
      <c r="B20" s="794"/>
      <c r="C20" s="674">
        <f>transport!B14</f>
        <v>1.2823799661161437</v>
      </c>
      <c r="D20" s="674">
        <f>transport!C14</f>
        <v>0</v>
      </c>
      <c r="E20" s="674">
        <f>transport!D14</f>
        <v>1.6197087847160232</v>
      </c>
      <c r="F20" s="674">
        <f>transport!E14</f>
        <v>103.54204448002724</v>
      </c>
      <c r="G20" s="674">
        <f>transport!F14</f>
        <v>0</v>
      </c>
      <c r="H20" s="674">
        <f>transport!G14</f>
        <v>22887.437412900254</v>
      </c>
      <c r="I20" s="674">
        <f>transport!H14</f>
        <v>3899.7906983637936</v>
      </c>
      <c r="J20" s="674">
        <f>transport!I14</f>
        <v>0</v>
      </c>
      <c r="K20" s="674">
        <f>transport!J14</f>
        <v>0</v>
      </c>
      <c r="L20" s="674">
        <f>transport!K14</f>
        <v>0</v>
      </c>
      <c r="M20" s="674">
        <f>transport!L14</f>
        <v>0</v>
      </c>
      <c r="N20" s="674">
        <f>transport!M14</f>
        <v>1197.0232175006233</v>
      </c>
      <c r="O20" s="674">
        <f>transport!N14</f>
        <v>0</v>
      </c>
      <c r="P20" s="674">
        <f>transport!O14</f>
        <v>0</v>
      </c>
      <c r="Q20" s="675">
        <f>transport!P14</f>
        <v>0</v>
      </c>
      <c r="R20" s="677">
        <f>SUM(C20:Q20)</f>
        <v>28090.695461995532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353.92590421246234</v>
      </c>
      <c r="D22" s="792">
        <f t="shared" ref="D22:R22" si="1">SUM(D18:D21)</f>
        <v>0</v>
      </c>
      <c r="E22" s="792">
        <f t="shared" si="1"/>
        <v>1.6197087847160232</v>
      </c>
      <c r="F22" s="792">
        <f t="shared" si="1"/>
        <v>103.54204448002724</v>
      </c>
      <c r="G22" s="792">
        <f t="shared" si="1"/>
        <v>0</v>
      </c>
      <c r="H22" s="792">
        <f t="shared" si="1"/>
        <v>24384.660036624813</v>
      </c>
      <c r="I22" s="792">
        <f t="shared" si="1"/>
        <v>3899.7906983637936</v>
      </c>
      <c r="J22" s="792">
        <f t="shared" si="1"/>
        <v>0</v>
      </c>
      <c r="K22" s="792">
        <f t="shared" si="1"/>
        <v>0</v>
      </c>
      <c r="L22" s="792">
        <f t="shared" si="1"/>
        <v>0</v>
      </c>
      <c r="M22" s="792">
        <f t="shared" si="1"/>
        <v>0</v>
      </c>
      <c r="N22" s="792">
        <f t="shared" si="1"/>
        <v>1263.1988628376423</v>
      </c>
      <c r="O22" s="792">
        <f t="shared" si="1"/>
        <v>0</v>
      </c>
      <c r="P22" s="792">
        <f t="shared" si="1"/>
        <v>0</v>
      </c>
      <c r="Q22" s="792">
        <f t="shared" si="1"/>
        <v>0</v>
      </c>
      <c r="R22" s="792">
        <f t="shared" si="1"/>
        <v>30006.737255303458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65.415674699320007</v>
      </c>
      <c r="D24" s="674">
        <f>+landbouw!C8</f>
        <v>2.0454545454545454</v>
      </c>
      <c r="E24" s="674">
        <f>+landbouw!D8</f>
        <v>41.347694115056854</v>
      </c>
      <c r="F24" s="674">
        <f>+landbouw!E8</f>
        <v>0.61625948560740074</v>
      </c>
      <c r="G24" s="674">
        <f>+landbouw!F8</f>
        <v>213.47305609970988</v>
      </c>
      <c r="H24" s="674">
        <f>+landbouw!G8</f>
        <v>0</v>
      </c>
      <c r="I24" s="674">
        <f>+landbouw!H8</f>
        <v>0</v>
      </c>
      <c r="J24" s="674">
        <f>+landbouw!I8</f>
        <v>0</v>
      </c>
      <c r="K24" s="674">
        <f>+landbouw!J8</f>
        <v>8.0922371420865016</v>
      </c>
      <c r="L24" s="674">
        <f>+landbouw!K8</f>
        <v>0</v>
      </c>
      <c r="M24" s="674">
        <f>+landbouw!L8</f>
        <v>0</v>
      </c>
      <c r="N24" s="674">
        <f>+landbouw!M8</f>
        <v>0</v>
      </c>
      <c r="O24" s="674">
        <f>+landbouw!N8</f>
        <v>0</v>
      </c>
      <c r="P24" s="674">
        <f>+landbouw!O8</f>
        <v>0</v>
      </c>
      <c r="Q24" s="675">
        <f>+landbouw!P8</f>
        <v>0</v>
      </c>
      <c r="R24" s="677">
        <f>SUM(C24:Q24)</f>
        <v>330.99037608723518</v>
      </c>
      <c r="S24" s="68"/>
    </row>
    <row r="25" spans="1:19" s="443" customFormat="1" ht="15" thickBot="1">
      <c r="A25" s="811" t="s">
        <v>873</v>
      </c>
      <c r="B25" s="977"/>
      <c r="C25" s="978">
        <f>IF(Onbekend_ele_kWh="---",0,Onbekend_ele_kWh)/1000+IF(REST_rest_ele_kWh="---",0,REST_rest_ele_kWh)/1000</f>
        <v>953.70862593948902</v>
      </c>
      <c r="D25" s="978"/>
      <c r="E25" s="978">
        <f>IF(onbekend_gas_kWh="---",0,onbekend_gas_kWh)/1000+IF(REST_rest_gas_kWh="---",0,REST_rest_gas_kWh)/1000</f>
        <v>1605.1530767226</v>
      </c>
      <c r="F25" s="978"/>
      <c r="G25" s="978"/>
      <c r="H25" s="978"/>
      <c r="I25" s="978"/>
      <c r="J25" s="978"/>
      <c r="K25" s="978"/>
      <c r="L25" s="978"/>
      <c r="M25" s="978"/>
      <c r="N25" s="978"/>
      <c r="O25" s="978"/>
      <c r="P25" s="978"/>
      <c r="Q25" s="979"/>
      <c r="R25" s="677">
        <f>SUM(C25:Q25)</f>
        <v>2558.8617026620891</v>
      </c>
      <c r="S25" s="68"/>
    </row>
    <row r="26" spans="1:19" s="443" customFormat="1" ht="15.75" thickBot="1">
      <c r="A26" s="680" t="s">
        <v>874</v>
      </c>
      <c r="B26" s="797"/>
      <c r="C26" s="792">
        <f>SUM(C24:C25)</f>
        <v>1019.124300638809</v>
      </c>
      <c r="D26" s="792">
        <f t="shared" ref="D26:R26" si="2">SUM(D24:D25)</f>
        <v>2.0454545454545454</v>
      </c>
      <c r="E26" s="792">
        <f t="shared" si="2"/>
        <v>1646.5007708376568</v>
      </c>
      <c r="F26" s="792">
        <f t="shared" si="2"/>
        <v>0.61625948560740074</v>
      </c>
      <c r="G26" s="792">
        <f t="shared" si="2"/>
        <v>213.47305609970988</v>
      </c>
      <c r="H26" s="792">
        <f t="shared" si="2"/>
        <v>0</v>
      </c>
      <c r="I26" s="792">
        <f t="shared" si="2"/>
        <v>0</v>
      </c>
      <c r="J26" s="792">
        <f t="shared" si="2"/>
        <v>0</v>
      </c>
      <c r="K26" s="792">
        <f t="shared" si="2"/>
        <v>8.0922371420865016</v>
      </c>
      <c r="L26" s="792">
        <f t="shared" si="2"/>
        <v>0</v>
      </c>
      <c r="M26" s="792">
        <f t="shared" si="2"/>
        <v>0</v>
      </c>
      <c r="N26" s="792">
        <f t="shared" si="2"/>
        <v>0</v>
      </c>
      <c r="O26" s="792">
        <f t="shared" si="2"/>
        <v>0</v>
      </c>
      <c r="P26" s="792">
        <f t="shared" si="2"/>
        <v>0</v>
      </c>
      <c r="Q26" s="792">
        <f t="shared" si="2"/>
        <v>0</v>
      </c>
      <c r="R26" s="792">
        <f t="shared" si="2"/>
        <v>2889.8520787493244</v>
      </c>
      <c r="S26" s="68"/>
    </row>
    <row r="27" spans="1:19" s="443" customFormat="1" ht="17.25" thickTop="1" thickBot="1">
      <c r="A27" s="681" t="s">
        <v>109</v>
      </c>
      <c r="B27" s="784"/>
      <c r="C27" s="682">
        <f ca="1">C22+C16+C26</f>
        <v>66959.086729231232</v>
      </c>
      <c r="D27" s="682">
        <f t="shared" ref="D27:R27" ca="1" si="3">D22+D16+D26</f>
        <v>2.0454545454545454</v>
      </c>
      <c r="E27" s="682">
        <f t="shared" ca="1" si="3"/>
        <v>86818.865465178678</v>
      </c>
      <c r="F27" s="682">
        <f t="shared" si="3"/>
        <v>1864.6284427410869</v>
      </c>
      <c r="G27" s="682">
        <f t="shared" ca="1" si="3"/>
        <v>46056.061309432655</v>
      </c>
      <c r="H27" s="682">
        <f t="shared" si="3"/>
        <v>24384.660036624813</v>
      </c>
      <c r="I27" s="682">
        <f t="shared" si="3"/>
        <v>3899.7906983637936</v>
      </c>
      <c r="J27" s="682">
        <f t="shared" si="3"/>
        <v>0</v>
      </c>
      <c r="K27" s="682">
        <f t="shared" si="3"/>
        <v>758.91156838929544</v>
      </c>
      <c r="L27" s="682">
        <f t="shared" si="3"/>
        <v>0</v>
      </c>
      <c r="M27" s="682">
        <f t="shared" ca="1" si="3"/>
        <v>0</v>
      </c>
      <c r="N27" s="682">
        <f t="shared" si="3"/>
        <v>1263.1988628376423</v>
      </c>
      <c r="O27" s="682">
        <f t="shared" ca="1" si="3"/>
        <v>10824.266596628058</v>
      </c>
      <c r="P27" s="682">
        <f t="shared" si="3"/>
        <v>50.026666666666671</v>
      </c>
      <c r="Q27" s="682">
        <f t="shared" si="3"/>
        <v>266.93333333333334</v>
      </c>
      <c r="R27" s="682">
        <f t="shared" ca="1" si="3"/>
        <v>243148.47516397273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3996.5613685584804</v>
      </c>
      <c r="D40" s="674">
        <f ca="1">tertiair!C20</f>
        <v>0</v>
      </c>
      <c r="E40" s="674">
        <f ca="1">tertiair!D20</f>
        <v>3132.6938837424436</v>
      </c>
      <c r="F40" s="674">
        <f>tertiair!E20</f>
        <v>88.190014806188657</v>
      </c>
      <c r="G40" s="674">
        <f ca="1">tertiair!F20</f>
        <v>923.37837231856486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8140.8236394256774</v>
      </c>
    </row>
    <row r="41" spans="1:18">
      <c r="A41" s="802" t="s">
        <v>214</v>
      </c>
      <c r="B41" s="809"/>
      <c r="C41" s="674">
        <f ca="1">huishoudens!B12</f>
        <v>8419.9416432283706</v>
      </c>
      <c r="D41" s="674">
        <f ca="1">huishoudens!C12</f>
        <v>0</v>
      </c>
      <c r="E41" s="674">
        <f>huishoudens!D12</f>
        <v>13225.852961692182</v>
      </c>
      <c r="F41" s="674">
        <f>huishoudens!E12</f>
        <v>297.94932794373898</v>
      </c>
      <c r="G41" s="674">
        <f>huishoudens!F12</f>
        <v>10684.246092712183</v>
      </c>
      <c r="H41" s="674">
        <f>huishoudens!G12</f>
        <v>0</v>
      </c>
      <c r="I41" s="674">
        <f>huishoudens!H12</f>
        <v>0</v>
      </c>
      <c r="J41" s="674">
        <f>huishoudens!I12</f>
        <v>0</v>
      </c>
      <c r="K41" s="674">
        <f>huishoudens!J12</f>
        <v>257.03041406296916</v>
      </c>
      <c r="L41" s="674">
        <f>huishoudens!K12</f>
        <v>0</v>
      </c>
      <c r="M41" s="674">
        <f>huishoudens!L12</f>
        <v>0</v>
      </c>
      <c r="N41" s="674">
        <f>huishoudens!M12</f>
        <v>0</v>
      </c>
      <c r="O41" s="674">
        <f>huishoudens!N12</f>
        <v>0</v>
      </c>
      <c r="P41" s="674">
        <f>huishoudens!O12</f>
        <v>0</v>
      </c>
      <c r="Q41" s="749">
        <f>huishoudens!P12</f>
        <v>0</v>
      </c>
      <c r="R41" s="830">
        <f t="shared" ca="1" si="4"/>
        <v>32885.02043963944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1520.5546751378165</v>
      </c>
      <c r="D43" s="674">
        <f ca="1">industrie!C22</f>
        <v>0</v>
      </c>
      <c r="E43" s="674">
        <f>industrie!D22</f>
        <v>845.94364164775186</v>
      </c>
      <c r="F43" s="674">
        <f>industrie!E22</f>
        <v>13.487378752100032</v>
      </c>
      <c r="G43" s="674">
        <f>industrie!F22</f>
        <v>632.34659860914826</v>
      </c>
      <c r="H43" s="674">
        <f>industrie!G22</f>
        <v>0</v>
      </c>
      <c r="I43" s="674">
        <f>industrie!H22</f>
        <v>0</v>
      </c>
      <c r="J43" s="674">
        <f>industrie!I22</f>
        <v>0</v>
      </c>
      <c r="K43" s="674">
        <f>industrie!J22</f>
        <v>8.7596291985427932</v>
      </c>
      <c r="L43" s="674">
        <f>industrie!K22</f>
        <v>0</v>
      </c>
      <c r="M43" s="674">
        <f>industrie!L22</f>
        <v>0</v>
      </c>
      <c r="N43" s="674">
        <f>industrie!M22</f>
        <v>0</v>
      </c>
      <c r="O43" s="674">
        <f>industrie!N22</f>
        <v>0</v>
      </c>
      <c r="P43" s="674">
        <f>industrie!O22</f>
        <v>0</v>
      </c>
      <c r="Q43" s="749">
        <f>industrie!P22</f>
        <v>0</v>
      </c>
      <c r="R43" s="829">
        <f t="shared" ca="1" si="4"/>
        <v>3021.0919233453596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13937.057686924669</v>
      </c>
      <c r="D46" s="707">
        <f t="shared" ref="D46:Q46" ca="1" si="5">SUM(D39:D45)</f>
        <v>0</v>
      </c>
      <c r="E46" s="707">
        <f t="shared" ca="1" si="5"/>
        <v>17204.490487082378</v>
      </c>
      <c r="F46" s="707">
        <f t="shared" si="5"/>
        <v>399.62672150202769</v>
      </c>
      <c r="G46" s="707">
        <f t="shared" ca="1" si="5"/>
        <v>12239.971063639896</v>
      </c>
      <c r="H46" s="707">
        <f t="shared" si="5"/>
        <v>0</v>
      </c>
      <c r="I46" s="707">
        <f t="shared" si="5"/>
        <v>0</v>
      </c>
      <c r="J46" s="707">
        <f t="shared" si="5"/>
        <v>0</v>
      </c>
      <c r="K46" s="707">
        <f t="shared" si="5"/>
        <v>265.79004326151193</v>
      </c>
      <c r="L46" s="707">
        <f t="shared" si="5"/>
        <v>0</v>
      </c>
      <c r="M46" s="707">
        <f t="shared" ca="1" si="5"/>
        <v>0</v>
      </c>
      <c r="N46" s="707">
        <f t="shared" si="5"/>
        <v>0</v>
      </c>
      <c r="O46" s="707">
        <f t="shared" ca="1" si="5"/>
        <v>0</v>
      </c>
      <c r="P46" s="707">
        <f t="shared" si="5"/>
        <v>0</v>
      </c>
      <c r="Q46" s="707">
        <f t="shared" si="5"/>
        <v>0</v>
      </c>
      <c r="R46" s="707">
        <f ca="1">SUM(R39:R45)</f>
        <v>44046.936002410475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74.936882921943095</v>
      </c>
      <c r="D49" s="674">
        <f ca="1">transport!C58</f>
        <v>0</v>
      </c>
      <c r="E49" s="674">
        <f>transport!D58</f>
        <v>0</v>
      </c>
      <c r="F49" s="674">
        <f>transport!E58</f>
        <v>0</v>
      </c>
      <c r="G49" s="674">
        <f>transport!F58</f>
        <v>0</v>
      </c>
      <c r="H49" s="674">
        <f>transport!G58</f>
        <v>399.75844053445786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474.69532345640096</v>
      </c>
    </row>
    <row r="50" spans="1:18">
      <c r="A50" s="805" t="s">
        <v>296</v>
      </c>
      <c r="B50" s="815"/>
      <c r="C50" s="984">
        <f ca="1">transport!B18</f>
        <v>0.27250623015881598</v>
      </c>
      <c r="D50" s="984">
        <f>transport!C18</f>
        <v>0</v>
      </c>
      <c r="E50" s="984">
        <f>transport!D18</f>
        <v>0.32718117451263673</v>
      </c>
      <c r="F50" s="984">
        <f>transport!E18</f>
        <v>23.504044096966187</v>
      </c>
      <c r="G50" s="984">
        <f>transport!F18</f>
        <v>0</v>
      </c>
      <c r="H50" s="984">
        <f>transport!G18</f>
        <v>6110.9457892443679</v>
      </c>
      <c r="I50" s="984">
        <f>transport!H18</f>
        <v>971.04788389258465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7106.09740463859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75.209389152101906</v>
      </c>
      <c r="D52" s="707">
        <f t="shared" ref="D52:Q52" ca="1" si="6">SUM(D48:D51)</f>
        <v>0</v>
      </c>
      <c r="E52" s="707">
        <f t="shared" si="6"/>
        <v>0.32718117451263673</v>
      </c>
      <c r="F52" s="707">
        <f t="shared" si="6"/>
        <v>23.504044096966187</v>
      </c>
      <c r="G52" s="707">
        <f t="shared" si="6"/>
        <v>0</v>
      </c>
      <c r="H52" s="707">
        <f t="shared" si="6"/>
        <v>6510.7042297788257</v>
      </c>
      <c r="I52" s="707">
        <f t="shared" si="6"/>
        <v>971.04788389258465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7580.7927280949907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13.900855734354661</v>
      </c>
      <c r="D54" s="984">
        <f ca="1">+landbouw!C12</f>
        <v>0.45909090909090916</v>
      </c>
      <c r="E54" s="984">
        <f>+landbouw!D12</f>
        <v>8.3522342112414858</v>
      </c>
      <c r="F54" s="984">
        <f>+landbouw!E12</f>
        <v>0.13989090323287998</v>
      </c>
      <c r="G54" s="984">
        <f>+landbouw!F12</f>
        <v>56.997305978622542</v>
      </c>
      <c r="H54" s="984">
        <f>+landbouw!G12</f>
        <v>0</v>
      </c>
      <c r="I54" s="984">
        <f>+landbouw!H12</f>
        <v>0</v>
      </c>
      <c r="J54" s="984">
        <f>+landbouw!I12</f>
        <v>0</v>
      </c>
      <c r="K54" s="984">
        <f>+landbouw!J12</f>
        <v>2.8646519482986212</v>
      </c>
      <c r="L54" s="984">
        <f>+landbouw!K12</f>
        <v>0</v>
      </c>
      <c r="M54" s="984">
        <f>+landbouw!L12</f>
        <v>0</v>
      </c>
      <c r="N54" s="984">
        <f>+landbouw!M12</f>
        <v>0</v>
      </c>
      <c r="O54" s="984">
        <f>+landbouw!N12</f>
        <v>0</v>
      </c>
      <c r="P54" s="984">
        <f>+landbouw!O12</f>
        <v>0</v>
      </c>
      <c r="Q54" s="985">
        <f>+landbouw!P12</f>
        <v>0</v>
      </c>
      <c r="R54" s="706">
        <f ca="1">SUM(C54:Q54)</f>
        <v>82.714029684841094</v>
      </c>
    </row>
    <row r="55" spans="1:18" ht="15" thickBot="1">
      <c r="A55" s="805" t="s">
        <v>873</v>
      </c>
      <c r="B55" s="815"/>
      <c r="C55" s="984">
        <f ca="1">C25*'EF ele_warmte'!B12</f>
        <v>202.66344546213568</v>
      </c>
      <c r="D55" s="984"/>
      <c r="E55" s="984">
        <f>E25*EF_CO2_aardgas</f>
        <v>324.24092149796519</v>
      </c>
      <c r="F55" s="984"/>
      <c r="G55" s="984"/>
      <c r="H55" s="984"/>
      <c r="I55" s="984"/>
      <c r="J55" s="984"/>
      <c r="K55" s="984"/>
      <c r="L55" s="984"/>
      <c r="M55" s="984"/>
      <c r="N55" s="984"/>
      <c r="O55" s="984"/>
      <c r="P55" s="984"/>
      <c r="Q55" s="985"/>
      <c r="R55" s="706">
        <f ca="1">SUM(C55:Q55)</f>
        <v>526.9043669601009</v>
      </c>
    </row>
    <row r="56" spans="1:18" ht="15.75" thickBot="1">
      <c r="A56" s="803" t="s">
        <v>874</v>
      </c>
      <c r="B56" s="816"/>
      <c r="C56" s="707">
        <f ca="1">SUM(C54:C55)</f>
        <v>216.56430119649033</v>
      </c>
      <c r="D56" s="707">
        <f t="shared" ref="D56:Q56" ca="1" si="7">SUM(D54:D55)</f>
        <v>0.45909090909090916</v>
      </c>
      <c r="E56" s="707">
        <f t="shared" si="7"/>
        <v>332.59315570920666</v>
      </c>
      <c r="F56" s="707">
        <f t="shared" si="7"/>
        <v>0.13989090323287998</v>
      </c>
      <c r="G56" s="707">
        <f t="shared" si="7"/>
        <v>56.997305978622542</v>
      </c>
      <c r="H56" s="707">
        <f t="shared" si="7"/>
        <v>0</v>
      </c>
      <c r="I56" s="707">
        <f t="shared" si="7"/>
        <v>0</v>
      </c>
      <c r="J56" s="707">
        <f t="shared" si="7"/>
        <v>0</v>
      </c>
      <c r="K56" s="707">
        <f t="shared" si="7"/>
        <v>2.8646519482986212</v>
      </c>
      <c r="L56" s="707">
        <f t="shared" si="7"/>
        <v>0</v>
      </c>
      <c r="M56" s="707">
        <f t="shared" si="7"/>
        <v>0</v>
      </c>
      <c r="N56" s="707">
        <f t="shared" si="7"/>
        <v>0</v>
      </c>
      <c r="O56" s="707">
        <f t="shared" si="7"/>
        <v>0</v>
      </c>
      <c r="P56" s="707">
        <f t="shared" si="7"/>
        <v>0</v>
      </c>
      <c r="Q56" s="708">
        <f t="shared" si="7"/>
        <v>0</v>
      </c>
      <c r="R56" s="709">
        <f ca="1">SUM(R54:R55)</f>
        <v>609.61839664494198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14228.831377273262</v>
      </c>
      <c r="D61" s="715">
        <f t="shared" ref="D61:Q61" ca="1" si="8">D46+D52+D56</f>
        <v>0.45909090909090916</v>
      </c>
      <c r="E61" s="715">
        <f t="shared" ca="1" si="8"/>
        <v>17537.4108239661</v>
      </c>
      <c r="F61" s="715">
        <f t="shared" si="8"/>
        <v>423.27065650222676</v>
      </c>
      <c r="G61" s="715">
        <f t="shared" ca="1" si="8"/>
        <v>12296.968369618518</v>
      </c>
      <c r="H61" s="715">
        <f t="shared" si="8"/>
        <v>6510.7042297788257</v>
      </c>
      <c r="I61" s="715">
        <f t="shared" si="8"/>
        <v>971.04788389258465</v>
      </c>
      <c r="J61" s="715">
        <f t="shared" si="8"/>
        <v>0</v>
      </c>
      <c r="K61" s="715">
        <f t="shared" si="8"/>
        <v>268.65469520981054</v>
      </c>
      <c r="L61" s="715">
        <f t="shared" si="8"/>
        <v>0</v>
      </c>
      <c r="M61" s="715">
        <f t="shared" ca="1" si="8"/>
        <v>0</v>
      </c>
      <c r="N61" s="715">
        <f t="shared" si="8"/>
        <v>0</v>
      </c>
      <c r="O61" s="715">
        <f t="shared" ca="1" si="8"/>
        <v>0</v>
      </c>
      <c r="P61" s="715">
        <f t="shared" si="8"/>
        <v>0</v>
      </c>
      <c r="Q61" s="715">
        <f t="shared" si="8"/>
        <v>0</v>
      </c>
      <c r="R61" s="715">
        <f ca="1">R46+R52+R56</f>
        <v>52237.347127150402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0.21250038004269275</v>
      </c>
      <c r="D63" s="759">
        <f t="shared" ca="1" si="9"/>
        <v>0.22444444444444447</v>
      </c>
      <c r="E63" s="986">
        <f t="shared" ca="1" si="9"/>
        <v>0.20200000000000007</v>
      </c>
      <c r="F63" s="759">
        <f t="shared" si="9"/>
        <v>0.22700000000000001</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2575.2407193563358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0.40909090909090912</v>
      </c>
      <c r="D76" s="996">
        <f>'lokale energieproductie'!C8</f>
        <v>0.45454545454545464</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9.181818181818184E-2</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2575.2407193563358</v>
      </c>
      <c r="C78" s="730">
        <f>SUM(C72:C77)</f>
        <v>0.40909090909090912</v>
      </c>
      <c r="D78" s="731">
        <f t="shared" ref="D78:H78" si="10">SUM(D76:D77)</f>
        <v>0.45454545454545464</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9.181818181818184E-2</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2.0454545454545454</v>
      </c>
      <c r="D87" s="752">
        <f>'lokale energieproductie'!C17</f>
        <v>2.2727272727272729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0.45909090909090916</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2.0454545454545454</v>
      </c>
      <c r="D90" s="730">
        <f t="shared" ref="D90:H90" si="12">SUM(D87:D89)</f>
        <v>2.2727272727272729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0.45909090909090916</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39623.183928126382</v>
      </c>
      <c r="C4" s="447">
        <f>huishoudens!C8</f>
        <v>0</v>
      </c>
      <c r="D4" s="447">
        <f>huishoudens!D8</f>
        <v>65474.519612337528</v>
      </c>
      <c r="E4" s="447">
        <f>huishoudens!E8</f>
        <v>1312.5521054790263</v>
      </c>
      <c r="F4" s="447">
        <f>huishoudens!F8</f>
        <v>40015.902968959483</v>
      </c>
      <c r="G4" s="447">
        <f>huishoudens!G8</f>
        <v>0</v>
      </c>
      <c r="H4" s="447">
        <f>huishoudens!H8</f>
        <v>0</v>
      </c>
      <c r="I4" s="447">
        <f>huishoudens!I8</f>
        <v>0</v>
      </c>
      <c r="J4" s="447">
        <f>huishoudens!J8</f>
        <v>726.07461599708813</v>
      </c>
      <c r="K4" s="447">
        <f>huishoudens!K8</f>
        <v>0</v>
      </c>
      <c r="L4" s="447">
        <f>huishoudens!L8</f>
        <v>0</v>
      </c>
      <c r="M4" s="447">
        <f>huishoudens!M8</f>
        <v>0</v>
      </c>
      <c r="N4" s="447">
        <f>huishoudens!N8</f>
        <v>10092.535329222723</v>
      </c>
      <c r="O4" s="447">
        <f>huishoudens!O8</f>
        <v>48.463333333333338</v>
      </c>
      <c r="P4" s="448">
        <f>huishoudens!P8</f>
        <v>247.86666666666667</v>
      </c>
      <c r="Q4" s="449">
        <f>SUM(B4:P4)</f>
        <v>157541.09856012225</v>
      </c>
    </row>
    <row r="5" spans="1:17">
      <c r="A5" s="446" t="s">
        <v>149</v>
      </c>
      <c r="B5" s="447">
        <f ca="1">tertiair!B16</f>
        <v>17148.529981064621</v>
      </c>
      <c r="C5" s="447">
        <f ca="1">tertiair!C16</f>
        <v>0</v>
      </c>
      <c r="D5" s="447">
        <f ca="1">tertiair!D16</f>
        <v>15508.385563081403</v>
      </c>
      <c r="E5" s="447">
        <f>tertiair!E16</f>
        <v>388.5022678686725</v>
      </c>
      <c r="F5" s="447">
        <f ca="1">tertiair!F16</f>
        <v>3458.3459637399433</v>
      </c>
      <c r="G5" s="447">
        <f>tertiair!G16</f>
        <v>0</v>
      </c>
      <c r="H5" s="447">
        <f>tertiair!H16</f>
        <v>0</v>
      </c>
      <c r="I5" s="447">
        <f>tertiair!I16</f>
        <v>0</v>
      </c>
      <c r="J5" s="447">
        <f>tertiair!J16</f>
        <v>0</v>
      </c>
      <c r="K5" s="447">
        <f>tertiair!K16</f>
        <v>0</v>
      </c>
      <c r="L5" s="447">
        <f ca="1">tertiair!L16</f>
        <v>0</v>
      </c>
      <c r="M5" s="447">
        <f>tertiair!M16</f>
        <v>0</v>
      </c>
      <c r="N5" s="447">
        <f ca="1">tertiair!N16</f>
        <v>447.72068370661196</v>
      </c>
      <c r="O5" s="447">
        <f>tertiair!O16</f>
        <v>1.5633333333333335</v>
      </c>
      <c r="P5" s="448">
        <f>tertiair!P16</f>
        <v>19.066666666666666</v>
      </c>
      <c r="Q5" s="446">
        <f t="shared" ref="Q5:Q14" ca="1" si="0">SUM(B5:P5)</f>
        <v>36972.114459461249</v>
      </c>
    </row>
    <row r="6" spans="1:17">
      <c r="A6" s="446" t="s">
        <v>187</v>
      </c>
      <c r="B6" s="447">
        <f>'openbare verlichting'!B8</f>
        <v>1658.7840000000001</v>
      </c>
      <c r="C6" s="447"/>
      <c r="D6" s="447"/>
      <c r="E6" s="447"/>
      <c r="F6" s="447"/>
      <c r="G6" s="447"/>
      <c r="H6" s="447"/>
      <c r="I6" s="447"/>
      <c r="J6" s="447"/>
      <c r="K6" s="447"/>
      <c r="L6" s="447"/>
      <c r="M6" s="447"/>
      <c r="N6" s="447"/>
      <c r="O6" s="447"/>
      <c r="P6" s="448"/>
      <c r="Q6" s="446">
        <f t="shared" si="0"/>
        <v>1658.7840000000001</v>
      </c>
    </row>
    <row r="7" spans="1:17">
      <c r="A7" s="446" t="s">
        <v>105</v>
      </c>
      <c r="B7" s="447">
        <f>landbouw!B8</f>
        <v>65.415674699320007</v>
      </c>
      <c r="C7" s="447">
        <f>landbouw!C8</f>
        <v>2.0454545454545454</v>
      </c>
      <c r="D7" s="447">
        <f>landbouw!D8</f>
        <v>41.347694115056854</v>
      </c>
      <c r="E7" s="447">
        <f>landbouw!E8</f>
        <v>0.61625948560740074</v>
      </c>
      <c r="F7" s="447">
        <f>landbouw!F8</f>
        <v>213.47305609970988</v>
      </c>
      <c r="G7" s="447">
        <f>landbouw!G8</f>
        <v>0</v>
      </c>
      <c r="H7" s="447">
        <f>landbouw!H8</f>
        <v>0</v>
      </c>
      <c r="I7" s="447">
        <f>landbouw!I8</f>
        <v>0</v>
      </c>
      <c r="J7" s="447">
        <f>landbouw!J8</f>
        <v>8.0922371420865016</v>
      </c>
      <c r="K7" s="447">
        <f>landbouw!K8</f>
        <v>0</v>
      </c>
      <c r="L7" s="447">
        <f>landbouw!L8</f>
        <v>0</v>
      </c>
      <c r="M7" s="447">
        <f>landbouw!M8</f>
        <v>0</v>
      </c>
      <c r="N7" s="447">
        <f>landbouw!N8</f>
        <v>0</v>
      </c>
      <c r="O7" s="447">
        <f>landbouw!O8</f>
        <v>0</v>
      </c>
      <c r="P7" s="448">
        <f>landbouw!P8</f>
        <v>0</v>
      </c>
      <c r="Q7" s="446">
        <f t="shared" si="0"/>
        <v>330.99037608723518</v>
      </c>
    </row>
    <row r="8" spans="1:17">
      <c r="A8" s="446" t="s">
        <v>665</v>
      </c>
      <c r="B8" s="447">
        <f>industrie!B18</f>
        <v>7155.538615188957</v>
      </c>
      <c r="C8" s="447">
        <f>industrie!C18</f>
        <v>0</v>
      </c>
      <c r="D8" s="447">
        <f>industrie!D18</f>
        <v>4187.839810137385</v>
      </c>
      <c r="E8" s="447">
        <f>industrie!E18</f>
        <v>59.415765427753442</v>
      </c>
      <c r="F8" s="447">
        <f>industrie!F18</f>
        <v>2368.339320633514</v>
      </c>
      <c r="G8" s="447">
        <f>industrie!G18</f>
        <v>0</v>
      </c>
      <c r="H8" s="447">
        <f>industrie!H18</f>
        <v>0</v>
      </c>
      <c r="I8" s="447">
        <f>industrie!I18</f>
        <v>0</v>
      </c>
      <c r="J8" s="447">
        <f>industrie!J18</f>
        <v>24.744715250120887</v>
      </c>
      <c r="K8" s="447">
        <f>industrie!K18</f>
        <v>0</v>
      </c>
      <c r="L8" s="447">
        <f>industrie!L18</f>
        <v>0</v>
      </c>
      <c r="M8" s="447">
        <f>industrie!M18</f>
        <v>0</v>
      </c>
      <c r="N8" s="447">
        <f>industrie!N18</f>
        <v>284.01058369872459</v>
      </c>
      <c r="O8" s="447">
        <f>industrie!O18</f>
        <v>0</v>
      </c>
      <c r="P8" s="448">
        <f>industrie!P18</f>
        <v>0</v>
      </c>
      <c r="Q8" s="446">
        <f t="shared" si="0"/>
        <v>14079.888810336453</v>
      </c>
    </row>
    <row r="9" spans="1:17" s="452" customFormat="1">
      <c r="A9" s="450" t="s">
        <v>562</v>
      </c>
      <c r="B9" s="451">
        <f>transport!B14</f>
        <v>1.2823799661161437</v>
      </c>
      <c r="C9" s="451">
        <f>transport!C14</f>
        <v>0</v>
      </c>
      <c r="D9" s="451">
        <f>transport!D14</f>
        <v>1.6197087847160232</v>
      </c>
      <c r="E9" s="451">
        <f>transport!E14</f>
        <v>103.54204448002724</v>
      </c>
      <c r="F9" s="451">
        <f>transport!F14</f>
        <v>0</v>
      </c>
      <c r="G9" s="451">
        <f>transport!G14</f>
        <v>22887.437412900254</v>
      </c>
      <c r="H9" s="451">
        <f>transport!H14</f>
        <v>3899.7906983637936</v>
      </c>
      <c r="I9" s="451">
        <f>transport!I14</f>
        <v>0</v>
      </c>
      <c r="J9" s="451">
        <f>transport!J14</f>
        <v>0</v>
      </c>
      <c r="K9" s="451">
        <f>transport!K14</f>
        <v>0</v>
      </c>
      <c r="L9" s="451">
        <f>transport!L14</f>
        <v>0</v>
      </c>
      <c r="M9" s="451">
        <f>transport!M14</f>
        <v>1197.0232175006233</v>
      </c>
      <c r="N9" s="451">
        <f>transport!N14</f>
        <v>0</v>
      </c>
      <c r="O9" s="451">
        <f>transport!O14</f>
        <v>0</v>
      </c>
      <c r="P9" s="451">
        <f>transport!P14</f>
        <v>0</v>
      </c>
      <c r="Q9" s="450">
        <f>SUM(B9:P9)</f>
        <v>28090.695461995532</v>
      </c>
    </row>
    <row r="10" spans="1:17">
      <c r="A10" s="446" t="s">
        <v>552</v>
      </c>
      <c r="B10" s="447">
        <f>transport!B54</f>
        <v>352.6435242463462</v>
      </c>
      <c r="C10" s="447">
        <f>transport!C54</f>
        <v>0</v>
      </c>
      <c r="D10" s="447">
        <f>transport!D54</f>
        <v>0</v>
      </c>
      <c r="E10" s="447">
        <f>transport!E54</f>
        <v>0</v>
      </c>
      <c r="F10" s="447">
        <f>transport!F54</f>
        <v>0</v>
      </c>
      <c r="G10" s="447">
        <f>transport!G54</f>
        <v>1497.2226237245611</v>
      </c>
      <c r="H10" s="447">
        <f>transport!H54</f>
        <v>0</v>
      </c>
      <c r="I10" s="447">
        <f>transport!I54</f>
        <v>0</v>
      </c>
      <c r="J10" s="447">
        <f>transport!J54</f>
        <v>0</v>
      </c>
      <c r="K10" s="447">
        <f>transport!K54</f>
        <v>0</v>
      </c>
      <c r="L10" s="447">
        <f>transport!L54</f>
        <v>0</v>
      </c>
      <c r="M10" s="447">
        <f>transport!M54</f>
        <v>66.175645337018921</v>
      </c>
      <c r="N10" s="447">
        <f>transport!N54</f>
        <v>0</v>
      </c>
      <c r="O10" s="447">
        <f>transport!O54</f>
        <v>0</v>
      </c>
      <c r="P10" s="448">
        <f>transport!P54</f>
        <v>0</v>
      </c>
      <c r="Q10" s="446">
        <f t="shared" si="0"/>
        <v>1916.0417933079264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953.70862593948902</v>
      </c>
      <c r="C14" s="454"/>
      <c r="D14" s="454">
        <f>'SEAP template'!E25</f>
        <v>1605.1530767226</v>
      </c>
      <c r="E14" s="454"/>
      <c r="F14" s="454"/>
      <c r="G14" s="454"/>
      <c r="H14" s="454"/>
      <c r="I14" s="454"/>
      <c r="J14" s="454"/>
      <c r="K14" s="454"/>
      <c r="L14" s="454"/>
      <c r="M14" s="454"/>
      <c r="N14" s="454"/>
      <c r="O14" s="454"/>
      <c r="P14" s="455"/>
      <c r="Q14" s="446">
        <f t="shared" si="0"/>
        <v>2558.8617026620891</v>
      </c>
    </row>
    <row r="15" spans="1:17" s="459" customFormat="1">
      <c r="A15" s="456" t="s">
        <v>556</v>
      </c>
      <c r="B15" s="457">
        <f ca="1">SUM(B4:B14)</f>
        <v>66959.086729231232</v>
      </c>
      <c r="C15" s="457">
        <f t="shared" ref="C15:Q15" ca="1" si="1">SUM(C4:C14)</f>
        <v>2.0454545454545454</v>
      </c>
      <c r="D15" s="457">
        <f t="shared" ca="1" si="1"/>
        <v>86818.865465178693</v>
      </c>
      <c r="E15" s="457">
        <f t="shared" si="1"/>
        <v>1864.6284427410869</v>
      </c>
      <c r="F15" s="457">
        <f t="shared" ca="1" si="1"/>
        <v>46056.061309432655</v>
      </c>
      <c r="G15" s="457">
        <f t="shared" si="1"/>
        <v>24384.660036624813</v>
      </c>
      <c r="H15" s="457">
        <f t="shared" si="1"/>
        <v>3899.7906983637936</v>
      </c>
      <c r="I15" s="457">
        <f t="shared" si="1"/>
        <v>0</v>
      </c>
      <c r="J15" s="457">
        <f t="shared" si="1"/>
        <v>758.91156838929544</v>
      </c>
      <c r="K15" s="457">
        <f t="shared" si="1"/>
        <v>0</v>
      </c>
      <c r="L15" s="457">
        <f t="shared" ca="1" si="1"/>
        <v>0</v>
      </c>
      <c r="M15" s="457">
        <f t="shared" si="1"/>
        <v>1263.1988628376423</v>
      </c>
      <c r="N15" s="457">
        <f t="shared" ca="1" si="1"/>
        <v>10824.266596628058</v>
      </c>
      <c r="O15" s="457">
        <f t="shared" si="1"/>
        <v>50.026666666666671</v>
      </c>
      <c r="P15" s="457">
        <f t="shared" si="1"/>
        <v>266.93333333333334</v>
      </c>
      <c r="Q15" s="457">
        <f t="shared" ca="1" si="1"/>
        <v>243148.4751639727</v>
      </c>
    </row>
    <row r="17" spans="1:17">
      <c r="A17" s="460" t="s">
        <v>557</v>
      </c>
      <c r="B17" s="764">
        <f ca="1">huishoudens!B10</f>
        <v>0.21250038004269273</v>
      </c>
      <c r="C17" s="764">
        <f ca="1">huishoudens!C10</f>
        <v>0.22444444444444447</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8419.9416432283706</v>
      </c>
      <c r="C22" s="447">
        <f t="shared" ref="C22:C32" ca="1" si="3">C4*$C$17</f>
        <v>0</v>
      </c>
      <c r="D22" s="447">
        <f t="shared" ref="D22:D32" si="4">D4*$D$17</f>
        <v>13225.852961692182</v>
      </c>
      <c r="E22" s="447">
        <f t="shared" ref="E22:E32" si="5">E4*$E$17</f>
        <v>297.94932794373898</v>
      </c>
      <c r="F22" s="447">
        <f t="shared" ref="F22:F32" si="6">F4*$F$17</f>
        <v>10684.246092712183</v>
      </c>
      <c r="G22" s="447">
        <f t="shared" ref="G22:G32" si="7">G4*$G$17</f>
        <v>0</v>
      </c>
      <c r="H22" s="447">
        <f t="shared" ref="H22:H32" si="8">H4*$H$17</f>
        <v>0</v>
      </c>
      <c r="I22" s="447">
        <f t="shared" ref="I22:I32" si="9">I4*$I$17</f>
        <v>0</v>
      </c>
      <c r="J22" s="447">
        <f t="shared" ref="J22:J32" si="10">J4*$J$17</f>
        <v>257.03041406296916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32885.02043963944</v>
      </c>
    </row>
    <row r="23" spans="1:17">
      <c r="A23" s="446" t="s">
        <v>149</v>
      </c>
      <c r="B23" s="447">
        <f t="shared" ca="1" si="2"/>
        <v>3644.0691381497422</v>
      </c>
      <c r="C23" s="447">
        <f t="shared" ca="1" si="3"/>
        <v>0</v>
      </c>
      <c r="D23" s="447">
        <f t="shared" ca="1" si="4"/>
        <v>3132.6938837424436</v>
      </c>
      <c r="E23" s="447">
        <f t="shared" si="5"/>
        <v>88.190014806188657</v>
      </c>
      <c r="F23" s="447">
        <f t="shared" ca="1" si="6"/>
        <v>923.37837231856486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7788.3314090169397</v>
      </c>
    </row>
    <row r="24" spans="1:17">
      <c r="A24" s="446" t="s">
        <v>187</v>
      </c>
      <c r="B24" s="447">
        <f t="shared" ca="1" si="2"/>
        <v>352.49223040873801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352.49223040873801</v>
      </c>
    </row>
    <row r="25" spans="1:17">
      <c r="A25" s="446" t="s">
        <v>105</v>
      </c>
      <c r="B25" s="447">
        <f t="shared" ca="1" si="2"/>
        <v>13.900855734354661</v>
      </c>
      <c r="C25" s="447">
        <f t="shared" ca="1" si="3"/>
        <v>0.45909090909090916</v>
      </c>
      <c r="D25" s="447">
        <f t="shared" si="4"/>
        <v>8.3522342112414858</v>
      </c>
      <c r="E25" s="447">
        <f t="shared" si="5"/>
        <v>0.13989090323287998</v>
      </c>
      <c r="F25" s="447">
        <f t="shared" si="6"/>
        <v>56.997305978622542</v>
      </c>
      <c r="G25" s="447">
        <f t="shared" si="7"/>
        <v>0</v>
      </c>
      <c r="H25" s="447">
        <f t="shared" si="8"/>
        <v>0</v>
      </c>
      <c r="I25" s="447">
        <f t="shared" si="9"/>
        <v>0</v>
      </c>
      <c r="J25" s="447">
        <f t="shared" si="10"/>
        <v>2.8646519482986212</v>
      </c>
      <c r="K25" s="447">
        <f t="shared" si="11"/>
        <v>0</v>
      </c>
      <c r="L25" s="447">
        <f t="shared" si="12"/>
        <v>0</v>
      </c>
      <c r="M25" s="447">
        <f t="shared" si="13"/>
        <v>0</v>
      </c>
      <c r="N25" s="447">
        <f t="shared" si="14"/>
        <v>0</v>
      </c>
      <c r="O25" s="447">
        <f t="shared" si="15"/>
        <v>0</v>
      </c>
      <c r="P25" s="448">
        <f t="shared" si="16"/>
        <v>0</v>
      </c>
      <c r="Q25" s="446">
        <f t="shared" ca="1" si="17"/>
        <v>82.714029684841094</v>
      </c>
    </row>
    <row r="26" spans="1:17">
      <c r="A26" s="446" t="s">
        <v>665</v>
      </c>
      <c r="B26" s="447">
        <f t="shared" ca="1" si="2"/>
        <v>1520.5546751378165</v>
      </c>
      <c r="C26" s="447">
        <f t="shared" ca="1" si="3"/>
        <v>0</v>
      </c>
      <c r="D26" s="447">
        <f t="shared" si="4"/>
        <v>845.94364164775186</v>
      </c>
      <c r="E26" s="447">
        <f t="shared" si="5"/>
        <v>13.487378752100032</v>
      </c>
      <c r="F26" s="447">
        <f t="shared" si="6"/>
        <v>632.34659860914826</v>
      </c>
      <c r="G26" s="447">
        <f t="shared" si="7"/>
        <v>0</v>
      </c>
      <c r="H26" s="447">
        <f t="shared" si="8"/>
        <v>0</v>
      </c>
      <c r="I26" s="447">
        <f t="shared" si="9"/>
        <v>0</v>
      </c>
      <c r="J26" s="447">
        <f t="shared" si="10"/>
        <v>8.7596291985427932</v>
      </c>
      <c r="K26" s="447">
        <f t="shared" si="11"/>
        <v>0</v>
      </c>
      <c r="L26" s="447">
        <f t="shared" si="12"/>
        <v>0</v>
      </c>
      <c r="M26" s="447">
        <f t="shared" si="13"/>
        <v>0</v>
      </c>
      <c r="N26" s="447">
        <f t="shared" si="14"/>
        <v>0</v>
      </c>
      <c r="O26" s="447">
        <f t="shared" si="15"/>
        <v>0</v>
      </c>
      <c r="P26" s="448">
        <f t="shared" si="16"/>
        <v>0</v>
      </c>
      <c r="Q26" s="446">
        <f t="shared" ca="1" si="17"/>
        <v>3021.0919233453596</v>
      </c>
    </row>
    <row r="27" spans="1:17" s="452" customFormat="1">
      <c r="A27" s="450" t="s">
        <v>562</v>
      </c>
      <c r="B27" s="758">
        <f t="shared" ca="1" si="2"/>
        <v>0.27250623015881598</v>
      </c>
      <c r="C27" s="451">
        <f t="shared" ca="1" si="3"/>
        <v>0</v>
      </c>
      <c r="D27" s="451">
        <f t="shared" si="4"/>
        <v>0.32718117451263673</v>
      </c>
      <c r="E27" s="451">
        <f t="shared" si="5"/>
        <v>23.504044096966187</v>
      </c>
      <c r="F27" s="451">
        <f t="shared" si="6"/>
        <v>0</v>
      </c>
      <c r="G27" s="451">
        <f t="shared" si="7"/>
        <v>6110.9457892443679</v>
      </c>
      <c r="H27" s="451">
        <f t="shared" si="8"/>
        <v>971.04788389258465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7106.09740463859</v>
      </c>
    </row>
    <row r="28" spans="1:17">
      <c r="A28" s="446" t="s">
        <v>552</v>
      </c>
      <c r="B28" s="447">
        <f t="shared" ca="1" si="2"/>
        <v>74.936882921943095</v>
      </c>
      <c r="C28" s="447">
        <f t="shared" ca="1" si="3"/>
        <v>0</v>
      </c>
      <c r="D28" s="447">
        <f t="shared" si="4"/>
        <v>0</v>
      </c>
      <c r="E28" s="447">
        <f t="shared" si="5"/>
        <v>0</v>
      </c>
      <c r="F28" s="447">
        <f t="shared" si="6"/>
        <v>0</v>
      </c>
      <c r="G28" s="447">
        <f t="shared" si="7"/>
        <v>399.75844053445786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474.69532345640096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202.66344546213568</v>
      </c>
      <c r="C32" s="447">
        <f t="shared" ca="1" si="3"/>
        <v>0</v>
      </c>
      <c r="D32" s="447">
        <f t="shared" si="4"/>
        <v>324.24092149796519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526.9043669601009</v>
      </c>
    </row>
    <row r="33" spans="1:17" s="459" customFormat="1">
      <c r="A33" s="456" t="s">
        <v>556</v>
      </c>
      <c r="B33" s="457">
        <f ca="1">SUM(B22:B32)</f>
        <v>14228.831377273262</v>
      </c>
      <c r="C33" s="457">
        <f t="shared" ref="C33:Q33" ca="1" si="18">SUM(C22:C32)</f>
        <v>0.45909090909090916</v>
      </c>
      <c r="D33" s="457">
        <f t="shared" ca="1" si="18"/>
        <v>17537.410823966096</v>
      </c>
      <c r="E33" s="457">
        <f t="shared" si="18"/>
        <v>423.27065650222676</v>
      </c>
      <c r="F33" s="457">
        <f t="shared" ca="1" si="18"/>
        <v>12296.968369618518</v>
      </c>
      <c r="G33" s="457">
        <f t="shared" si="18"/>
        <v>6510.7042297788257</v>
      </c>
      <c r="H33" s="457">
        <f t="shared" si="18"/>
        <v>971.04788389258465</v>
      </c>
      <c r="I33" s="457">
        <f t="shared" si="18"/>
        <v>0</v>
      </c>
      <c r="J33" s="457">
        <f t="shared" si="18"/>
        <v>268.65469520981054</v>
      </c>
      <c r="K33" s="457">
        <f t="shared" si="18"/>
        <v>0</v>
      </c>
      <c r="L33" s="457">
        <f t="shared" ca="1" si="18"/>
        <v>0</v>
      </c>
      <c r="M33" s="457">
        <f t="shared" si="18"/>
        <v>0</v>
      </c>
      <c r="N33" s="457">
        <f t="shared" ca="1" si="18"/>
        <v>0</v>
      </c>
      <c r="O33" s="457">
        <f t="shared" si="18"/>
        <v>0</v>
      </c>
      <c r="P33" s="457">
        <f t="shared" si="18"/>
        <v>0</v>
      </c>
      <c r="Q33" s="457">
        <f t="shared" ca="1" si="18"/>
        <v>52237.34712715041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2575.2407193563358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0.40909090909090912</v>
      </c>
      <c r="D8" s="1013">
        <f>'SEAP template'!D76</f>
        <v>0.45454545454545464</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9.181818181818184E-2</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2575.2407193563358</v>
      </c>
      <c r="C10" s="1017">
        <f>SUM(C4:C9)</f>
        <v>0.40909090909090912</v>
      </c>
      <c r="D10" s="1017">
        <f t="shared" ref="D10:H10" si="0">SUM(D8:D9)</f>
        <v>0.45454545454545464</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9.181818181818184E-2</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0.21250038004269273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2.0454545454545454</v>
      </c>
      <c r="D17" s="1014">
        <f>'SEAP template'!D87</f>
        <v>2.2727272727272729</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0.45909090909090916</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2.0454545454545454</v>
      </c>
      <c r="D20" s="1017">
        <f t="shared" ref="D20:H20" si="2">SUM(D17:D19)</f>
        <v>2.2727272727272729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0.45909090909090916</v>
      </c>
    </row>
    <row r="22" spans="1:16">
      <c r="A22" s="460" t="s">
        <v>893</v>
      </c>
      <c r="B22" s="764" t="s">
        <v>887</v>
      </c>
      <c r="C22" s="764">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0.21250038004269273</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0.21250038004269273</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0.21250038004269273</v>
      </c>
      <c r="C29" s="497">
        <f ca="1">'EF ele_warmte'!B22</f>
        <v>0.22444444444444447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7145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505</v>
      </c>
      <c r="C14" s="327"/>
      <c r="D14" s="327"/>
      <c r="E14" s="327"/>
      <c r="F14" s="327"/>
    </row>
    <row r="15" spans="1:6">
      <c r="A15" s="1293" t="s">
        <v>177</v>
      </c>
      <c r="B15" s="1294">
        <v>1</v>
      </c>
      <c r="C15" s="327"/>
      <c r="D15" s="327"/>
      <c r="E15" s="327"/>
      <c r="F15" s="327"/>
    </row>
    <row r="16" spans="1:6">
      <c r="A16" s="1293" t="s">
        <v>6</v>
      </c>
      <c r="B16" s="1294">
        <v>70</v>
      </c>
      <c r="C16" s="327"/>
      <c r="D16" s="327"/>
      <c r="E16" s="327"/>
      <c r="F16" s="327"/>
    </row>
    <row r="17" spans="1:6">
      <c r="A17" s="1293" t="s">
        <v>7</v>
      </c>
      <c r="B17" s="1294">
        <v>48</v>
      </c>
      <c r="C17" s="327"/>
      <c r="D17" s="327"/>
      <c r="E17" s="327"/>
      <c r="F17" s="327"/>
    </row>
    <row r="18" spans="1:6">
      <c r="A18" s="1293" t="s">
        <v>8</v>
      </c>
      <c r="B18" s="1294">
        <v>88</v>
      </c>
      <c r="C18" s="327"/>
      <c r="D18" s="327"/>
      <c r="E18" s="327"/>
      <c r="F18" s="327"/>
    </row>
    <row r="19" spans="1:6">
      <c r="A19" s="1293" t="s">
        <v>9</v>
      </c>
      <c r="B19" s="1294">
        <v>74</v>
      </c>
      <c r="C19" s="327"/>
      <c r="D19" s="327"/>
      <c r="E19" s="327"/>
      <c r="F19" s="327"/>
    </row>
    <row r="20" spans="1:6">
      <c r="A20" s="1293" t="s">
        <v>10</v>
      </c>
      <c r="B20" s="1294">
        <v>57</v>
      </c>
      <c r="C20" s="327"/>
      <c r="D20" s="327"/>
      <c r="E20" s="327"/>
      <c r="F20" s="327"/>
    </row>
    <row r="21" spans="1:6">
      <c r="A21" s="1293" t="s">
        <v>11</v>
      </c>
      <c r="B21" s="1294">
        <v>0</v>
      </c>
      <c r="C21" s="327"/>
      <c r="D21" s="327"/>
      <c r="E21" s="327"/>
      <c r="F21" s="327"/>
    </row>
    <row r="22" spans="1:6">
      <c r="A22" s="1293" t="s">
        <v>12</v>
      </c>
      <c r="B22" s="1294">
        <v>1</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23</v>
      </c>
      <c r="C26" s="327"/>
      <c r="D26" s="327"/>
      <c r="E26" s="327"/>
      <c r="F26" s="327"/>
    </row>
    <row r="27" spans="1:6">
      <c r="A27" s="1293" t="s">
        <v>17</v>
      </c>
      <c r="B27" s="1294">
        <v>5</v>
      </c>
      <c r="C27" s="327"/>
      <c r="D27" s="327"/>
      <c r="E27" s="327"/>
      <c r="F27" s="327"/>
    </row>
    <row r="28" spans="1:6">
      <c r="A28" s="1293" t="s">
        <v>18</v>
      </c>
      <c r="B28" s="1295">
        <v>35</v>
      </c>
      <c r="C28" s="327"/>
      <c r="D28" s="327"/>
      <c r="E28" s="327"/>
      <c r="F28" s="327"/>
    </row>
    <row r="29" spans="1:6">
      <c r="A29" s="1293" t="s">
        <v>955</v>
      </c>
      <c r="B29" s="1295">
        <v>134</v>
      </c>
      <c r="C29" s="327"/>
      <c r="D29" s="327"/>
      <c r="E29" s="327"/>
      <c r="F29" s="327"/>
    </row>
    <row r="30" spans="1:6">
      <c r="A30" s="1288" t="s">
        <v>956</v>
      </c>
      <c r="B30" s="1296">
        <v>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6</v>
      </c>
      <c r="F38" s="1294">
        <v>51708.383640995999</v>
      </c>
    </row>
    <row r="39" spans="1:6">
      <c r="A39" s="1293" t="s">
        <v>29</v>
      </c>
      <c r="B39" s="1293" t="s">
        <v>30</v>
      </c>
      <c r="C39" s="1294">
        <v>4851</v>
      </c>
      <c r="D39" s="1294">
        <v>72588159.215451807</v>
      </c>
      <c r="E39" s="1294">
        <v>8646</v>
      </c>
      <c r="F39" s="1294">
        <v>37568029.012804903</v>
      </c>
    </row>
    <row r="40" spans="1:6">
      <c r="A40" s="1293" t="s">
        <v>29</v>
      </c>
      <c r="B40" s="1293" t="s">
        <v>28</v>
      </c>
      <c r="C40" s="1294">
        <v>0</v>
      </c>
      <c r="D40" s="1294">
        <v>0</v>
      </c>
      <c r="E40" s="1294">
        <v>0</v>
      </c>
      <c r="F40" s="1294">
        <v>0</v>
      </c>
    </row>
    <row r="41" spans="1:6">
      <c r="A41" s="1293" t="s">
        <v>31</v>
      </c>
      <c r="B41" s="1293" t="s">
        <v>32</v>
      </c>
      <c r="C41" s="1294">
        <v>46</v>
      </c>
      <c r="D41" s="1294">
        <v>1033228.37673518</v>
      </c>
      <c r="E41" s="1294">
        <v>163</v>
      </c>
      <c r="F41" s="1294">
        <v>1708350.84534578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59365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14</v>
      </c>
      <c r="D48" s="1294">
        <v>2405184.2416858701</v>
      </c>
      <c r="E48" s="1294">
        <v>28</v>
      </c>
      <c r="F48" s="1294">
        <v>4694366.4777796101</v>
      </c>
    </row>
    <row r="49" spans="1:6">
      <c r="A49" s="1293" t="s">
        <v>31</v>
      </c>
      <c r="B49" s="1293" t="s">
        <v>39</v>
      </c>
      <c r="C49" s="1294">
        <v>0</v>
      </c>
      <c r="D49" s="1294">
        <v>0</v>
      </c>
      <c r="E49" s="1294">
        <v>0</v>
      </c>
      <c r="F49" s="1294">
        <v>0</v>
      </c>
    </row>
    <row r="50" spans="1:6">
      <c r="A50" s="1293" t="s">
        <v>31</v>
      </c>
      <c r="B50" s="1293" t="s">
        <v>40</v>
      </c>
      <c r="C50" s="1294">
        <v>9</v>
      </c>
      <c r="D50" s="1294">
        <v>1204425.30856053</v>
      </c>
      <c r="E50" s="1294">
        <v>19</v>
      </c>
      <c r="F50" s="1294">
        <v>693456.29206356697</v>
      </c>
    </row>
    <row r="51" spans="1:6">
      <c r="A51" s="1293" t="s">
        <v>41</v>
      </c>
      <c r="B51" s="1293" t="s">
        <v>42</v>
      </c>
      <c r="C51" s="1294">
        <v>0</v>
      </c>
      <c r="D51" s="1294">
        <v>0</v>
      </c>
      <c r="E51" s="1294">
        <v>4</v>
      </c>
      <c r="F51" s="1294">
        <v>27334.0568899725</v>
      </c>
    </row>
    <row r="52" spans="1:6">
      <c r="A52" s="1293" t="s">
        <v>41</v>
      </c>
      <c r="B52" s="1293" t="s">
        <v>28</v>
      </c>
      <c r="C52" s="1294">
        <v>3</v>
      </c>
      <c r="D52" s="1294">
        <v>48863.5996034696</v>
      </c>
      <c r="E52" s="1294">
        <v>5</v>
      </c>
      <c r="F52" s="1294">
        <v>38081.617809347503</v>
      </c>
    </row>
    <row r="53" spans="1:6">
      <c r="A53" s="1293" t="s">
        <v>43</v>
      </c>
      <c r="B53" s="1293" t="s">
        <v>44</v>
      </c>
      <c r="C53" s="1294">
        <v>79</v>
      </c>
      <c r="D53" s="1294">
        <v>1605153.0767226</v>
      </c>
      <c r="E53" s="1294">
        <v>197</v>
      </c>
      <c r="F53" s="1294">
        <v>953708.62593948899</v>
      </c>
    </row>
    <row r="54" spans="1:6">
      <c r="A54" s="1293" t="s">
        <v>45</v>
      </c>
      <c r="B54" s="1293" t="s">
        <v>46</v>
      </c>
      <c r="C54" s="1294">
        <v>0</v>
      </c>
      <c r="D54" s="1294">
        <v>0</v>
      </c>
      <c r="E54" s="1294">
        <v>1</v>
      </c>
      <c r="F54" s="1294">
        <v>1658784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13</v>
      </c>
      <c r="D57" s="1294">
        <v>453025.74811069202</v>
      </c>
      <c r="E57" s="1294">
        <v>38</v>
      </c>
      <c r="F57" s="1294">
        <v>407210.436281848</v>
      </c>
    </row>
    <row r="58" spans="1:6">
      <c r="A58" s="1293" t="s">
        <v>48</v>
      </c>
      <c r="B58" s="1293" t="s">
        <v>50</v>
      </c>
      <c r="C58" s="1294">
        <v>10</v>
      </c>
      <c r="D58" s="1294">
        <v>279897.92410621</v>
      </c>
      <c r="E58" s="1294">
        <v>16</v>
      </c>
      <c r="F58" s="1294">
        <v>252382.03405926601</v>
      </c>
    </row>
    <row r="59" spans="1:6">
      <c r="A59" s="1293" t="s">
        <v>48</v>
      </c>
      <c r="B59" s="1293" t="s">
        <v>51</v>
      </c>
      <c r="C59" s="1294">
        <v>48</v>
      </c>
      <c r="D59" s="1294">
        <v>1672459.7594451699</v>
      </c>
      <c r="E59" s="1294">
        <v>127</v>
      </c>
      <c r="F59" s="1294">
        <v>3638406.4418495898</v>
      </c>
    </row>
    <row r="60" spans="1:6">
      <c r="A60" s="1293" t="s">
        <v>48</v>
      </c>
      <c r="B60" s="1293" t="s">
        <v>52</v>
      </c>
      <c r="C60" s="1294">
        <v>59</v>
      </c>
      <c r="D60" s="1294">
        <v>2899436.6769244201</v>
      </c>
      <c r="E60" s="1294">
        <v>128</v>
      </c>
      <c r="F60" s="1294">
        <v>6450244.5260951295</v>
      </c>
    </row>
    <row r="61" spans="1:6">
      <c r="A61" s="1293" t="s">
        <v>48</v>
      </c>
      <c r="B61" s="1293" t="s">
        <v>53</v>
      </c>
      <c r="C61" s="1294">
        <v>106</v>
      </c>
      <c r="D61" s="1294">
        <v>6982889.9072562996</v>
      </c>
      <c r="E61" s="1294">
        <v>329</v>
      </c>
      <c r="F61" s="1294">
        <v>3324669.2693929798</v>
      </c>
    </row>
    <row r="62" spans="1:6">
      <c r="A62" s="1293" t="s">
        <v>48</v>
      </c>
      <c r="B62" s="1293" t="s">
        <v>54</v>
      </c>
      <c r="C62" s="1294">
        <v>3</v>
      </c>
      <c r="D62" s="1294">
        <v>214228.38137711299</v>
      </c>
      <c r="E62" s="1294">
        <v>9</v>
      </c>
      <c r="F62" s="1294">
        <v>177511.95021073701</v>
      </c>
    </row>
    <row r="63" spans="1:6">
      <c r="A63" s="1293" t="s">
        <v>48</v>
      </c>
      <c r="B63" s="1293" t="s">
        <v>28</v>
      </c>
      <c r="C63" s="1294">
        <v>70</v>
      </c>
      <c r="D63" s="1294">
        <v>4691393.7126264405</v>
      </c>
      <c r="E63" s="1294">
        <v>107</v>
      </c>
      <c r="F63" s="1294">
        <v>2898105.3231750699</v>
      </c>
    </row>
    <row r="64" spans="1:6">
      <c r="A64" s="1293" t="s">
        <v>55</v>
      </c>
      <c r="B64" s="1293" t="s">
        <v>56</v>
      </c>
      <c r="C64" s="1294">
        <v>0</v>
      </c>
      <c r="D64" s="1294">
        <v>0</v>
      </c>
      <c r="E64" s="1294">
        <v>0</v>
      </c>
      <c r="F64" s="1294">
        <v>0</v>
      </c>
    </row>
    <row r="65" spans="1:6">
      <c r="A65" s="1293" t="s">
        <v>55</v>
      </c>
      <c r="B65" s="1293" t="s">
        <v>28</v>
      </c>
      <c r="C65" s="1294">
        <v>4</v>
      </c>
      <c r="D65" s="1294">
        <v>74134.055013536898</v>
      </c>
      <c r="E65" s="1294">
        <v>2</v>
      </c>
      <c r="F65" s="1294">
        <v>13385</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11</v>
      </c>
      <c r="F68" s="1296">
        <v>99550.784672686699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25707899</v>
      </c>
      <c r="E73" s="445"/>
      <c r="F73" s="327"/>
    </row>
    <row r="74" spans="1:6">
      <c r="A74" s="1293" t="s">
        <v>63</v>
      </c>
      <c r="B74" s="1293" t="s">
        <v>749</v>
      </c>
      <c r="C74" s="1306" t="s">
        <v>743</v>
      </c>
      <c r="D74" s="1294">
        <v>2572029.1426596213</v>
      </c>
      <c r="E74" s="445"/>
      <c r="F74" s="327"/>
    </row>
    <row r="75" spans="1:6">
      <c r="A75" s="1293" t="s">
        <v>64</v>
      </c>
      <c r="B75" s="1293" t="s">
        <v>748</v>
      </c>
      <c r="C75" s="1306" t="s">
        <v>744</v>
      </c>
      <c r="D75" s="1294">
        <v>5834952</v>
      </c>
      <c r="E75" s="445"/>
      <c r="F75" s="327"/>
    </row>
    <row r="76" spans="1:6">
      <c r="A76" s="1293" t="s">
        <v>64</v>
      </c>
      <c r="B76" s="1293" t="s">
        <v>749</v>
      </c>
      <c r="C76" s="1306" t="s">
        <v>745</v>
      </c>
      <c r="D76" s="1294">
        <v>19972.400000000001</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413565.71468075702</v>
      </c>
      <c r="C83" s="445"/>
      <c r="D83" s="327"/>
      <c r="E83" s="327"/>
      <c r="F83" s="327"/>
    </row>
    <row r="84" spans="1:6">
      <c r="A84" s="1288" t="s">
        <v>324</v>
      </c>
      <c r="B84" s="1296">
        <v>97911.160780265272</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2055.1549153214764</v>
      </c>
      <c r="C91" s="327"/>
      <c r="D91" s="327"/>
      <c r="E91" s="327"/>
      <c r="F91" s="327"/>
    </row>
    <row r="92" spans="1:6">
      <c r="A92" s="1288" t="s">
        <v>68</v>
      </c>
      <c r="B92" s="1289">
        <v>520.08580403485962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2961</v>
      </c>
      <c r="C97" s="327"/>
      <c r="D97" s="327"/>
      <c r="E97" s="327"/>
      <c r="F97" s="327"/>
    </row>
    <row r="98" spans="1:6">
      <c r="A98" s="1293" t="s">
        <v>71</v>
      </c>
      <c r="B98" s="1294">
        <v>1</v>
      </c>
      <c r="C98" s="327"/>
      <c r="D98" s="327"/>
      <c r="E98" s="327"/>
      <c r="F98" s="327"/>
    </row>
    <row r="99" spans="1:6">
      <c r="A99" s="1293" t="s">
        <v>72</v>
      </c>
      <c r="B99" s="1294">
        <v>39</v>
      </c>
      <c r="C99" s="327"/>
      <c r="D99" s="327"/>
      <c r="E99" s="327"/>
      <c r="F99" s="327"/>
    </row>
    <row r="100" spans="1:6">
      <c r="A100" s="1293" t="s">
        <v>73</v>
      </c>
      <c r="B100" s="1294">
        <v>1232</v>
      </c>
      <c r="C100" s="327"/>
      <c r="D100" s="327"/>
      <c r="E100" s="327"/>
      <c r="F100" s="327"/>
    </row>
    <row r="101" spans="1:6">
      <c r="A101" s="1293" t="s">
        <v>74</v>
      </c>
      <c r="B101" s="1294">
        <v>44</v>
      </c>
      <c r="C101" s="327"/>
      <c r="D101" s="327"/>
      <c r="E101" s="327"/>
      <c r="F101" s="327"/>
    </row>
    <row r="102" spans="1:6">
      <c r="A102" s="1293" t="s">
        <v>75</v>
      </c>
      <c r="B102" s="1294">
        <v>123</v>
      </c>
      <c r="C102" s="327"/>
      <c r="D102" s="327"/>
      <c r="E102" s="327"/>
      <c r="F102" s="327"/>
    </row>
    <row r="103" spans="1:6">
      <c r="A103" s="1293" t="s">
        <v>76</v>
      </c>
      <c r="B103" s="1294">
        <v>123</v>
      </c>
      <c r="C103" s="327"/>
      <c r="D103" s="327"/>
      <c r="E103" s="327"/>
      <c r="F103" s="327"/>
    </row>
    <row r="104" spans="1:6">
      <c r="A104" s="1293" t="s">
        <v>77</v>
      </c>
      <c r="B104" s="1294">
        <v>1184</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10</v>
      </c>
      <c r="C123" s="1294">
        <v>7</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23</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66959.086729231232</v>
      </c>
      <c r="C3" s="44" t="s">
        <v>163</v>
      </c>
      <c r="D3" s="44"/>
      <c r="E3" s="157"/>
      <c r="F3" s="44"/>
      <c r="G3" s="44"/>
      <c r="H3" s="44"/>
      <c r="I3" s="44"/>
      <c r="J3" s="44"/>
      <c r="K3" s="97"/>
    </row>
    <row r="4" spans="1:11">
      <c r="A4" s="352" t="s">
        <v>164</v>
      </c>
      <c r="B4" s="50">
        <f>IF(ISERROR('SEAP template'!B78+'SEAP template'!C78),0,'SEAP template'!B78+'SEAP template'!C78)</f>
        <v>2575.6498102654268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9.181818181818184E-2</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0.21250038004269273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0.45909090909090916</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2.0454545454545454</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0.22444444444444447</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1658.7840000000001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1658.7840000000001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0.21250038004269273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352.49223040873801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37568.029012804902</v>
      </c>
      <c r="C5" s="18">
        <f>IF(ISERROR('Eigen informatie GS &amp; warmtenet'!B57),0,'Eigen informatie GS &amp; warmtenet'!B57)</f>
        <v>0</v>
      </c>
      <c r="D5" s="31">
        <f>(SUM(HH_hh_gas_kWh,HH_rest_gas_kWh)/1000)*0.902</f>
        <v>65474.519612337528</v>
      </c>
      <c r="E5" s="18">
        <f>B32*B41</f>
        <v>1312.5521054790263</v>
      </c>
      <c r="F5" s="18">
        <f>B36*B45</f>
        <v>40015.902968959483</v>
      </c>
      <c r="G5" s="19"/>
      <c r="H5" s="18"/>
      <c r="I5" s="18"/>
      <c r="J5" s="18">
        <f>B35*B44+C35*C44</f>
        <v>726.07461599708813</v>
      </c>
      <c r="K5" s="18"/>
      <c r="L5" s="18"/>
      <c r="M5" s="18"/>
      <c r="N5" s="18">
        <f>B34*B43+C34*C43</f>
        <v>10092.535329222723</v>
      </c>
      <c r="O5" s="18">
        <f>B52*B53*B54</f>
        <v>48.463333333333338</v>
      </c>
      <c r="P5" s="18">
        <f>B60*B61*B62/1000-B60*B61*B62/1000/B63</f>
        <v>247.86666666666667</v>
      </c>
    </row>
    <row r="6" spans="1:16">
      <c r="A6" s="17" t="s">
        <v>622</v>
      </c>
      <c r="B6" s="766">
        <f>kWh_PV_kleiner_dan_10kW</f>
        <v>2055.1549153214764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39623.183928126382</v>
      </c>
      <c r="C8" s="22">
        <f>C5</f>
        <v>0</v>
      </c>
      <c r="D8" s="22">
        <f>D5</f>
        <v>65474.519612337528</v>
      </c>
      <c r="E8" s="22">
        <f>E5</f>
        <v>1312.5521054790263</v>
      </c>
      <c r="F8" s="22">
        <f>F5</f>
        <v>40015.902968959483</v>
      </c>
      <c r="G8" s="22"/>
      <c r="H8" s="22"/>
      <c r="I8" s="22"/>
      <c r="J8" s="22">
        <f>J5</f>
        <v>726.07461599708813</v>
      </c>
      <c r="K8" s="22"/>
      <c r="L8" s="22">
        <f>L5</f>
        <v>0</v>
      </c>
      <c r="M8" s="22">
        <f>M5</f>
        <v>0</v>
      </c>
      <c r="N8" s="22">
        <f>N5</f>
        <v>10092.535329222723</v>
      </c>
      <c r="O8" s="22">
        <f>O5</f>
        <v>48.463333333333338</v>
      </c>
      <c r="P8" s="22">
        <f>P5</f>
        <v>247.86666666666667</v>
      </c>
    </row>
    <row r="9" spans="1:16">
      <c r="B9" s="20"/>
      <c r="C9" s="20"/>
      <c r="D9" s="258"/>
      <c r="E9" s="20"/>
      <c r="F9" s="20"/>
      <c r="G9" s="20"/>
      <c r="H9" s="20"/>
      <c r="I9" s="20"/>
      <c r="J9" s="20"/>
      <c r="K9" s="20"/>
      <c r="L9" s="20"/>
      <c r="M9" s="20"/>
      <c r="N9" s="20"/>
      <c r="O9" s="20"/>
      <c r="P9" s="20"/>
    </row>
    <row r="10" spans="1:16">
      <c r="A10" s="25" t="s">
        <v>207</v>
      </c>
      <c r="B10" s="26">
        <f ca="1">'EF ele_warmte'!B12</f>
        <v>0.21250038004269273</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8419.9416432283706</v>
      </c>
      <c r="C12" s="24">
        <f ca="1">C10*C8</f>
        <v>0</v>
      </c>
      <c r="D12" s="24">
        <f>D8*D10</f>
        <v>13225.852961692182</v>
      </c>
      <c r="E12" s="24">
        <f>E10*E8</f>
        <v>297.94932794373898</v>
      </c>
      <c r="F12" s="24">
        <f>F10*F8</f>
        <v>10684.246092712183</v>
      </c>
      <c r="G12" s="24"/>
      <c r="H12" s="24"/>
      <c r="I12" s="24"/>
      <c r="J12" s="24">
        <f>J10*J8</f>
        <v>257.03041406296916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7145</v>
      </c>
      <c r="C26" s="37"/>
      <c r="D26" s="228"/>
    </row>
    <row r="27" spans="1:5" s="16" customFormat="1">
      <c r="A27" s="230" t="s">
        <v>648</v>
      </c>
      <c r="B27" s="38">
        <f>SUM(HH_hh_gas_aantal,HH_rest_gas_aantal)</f>
        <v>4851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4608.45</v>
      </c>
      <c r="C31" s="35" t="s">
        <v>104</v>
      </c>
      <c r="D31" s="174"/>
    </row>
    <row r="32" spans="1:5">
      <c r="A32" s="171" t="s">
        <v>72</v>
      </c>
      <c r="B32" s="34">
        <f>IF((B21*($B$26-($B$27-0.05*$B$27)-$B$60))&lt;0,0,B21*($B$26-($B$27-0.05*$B$27)-$B$60))</f>
        <v>62.017075455806967</v>
      </c>
      <c r="C32" s="35" t="s">
        <v>104</v>
      </c>
      <c r="D32" s="174"/>
    </row>
    <row r="33" spans="1:6">
      <c r="A33" s="171" t="s">
        <v>73</v>
      </c>
      <c r="B33" s="34">
        <f>IF((B22*($B$26-($B$27-0.05*$B$27)-$B$60))&lt;0,0,B22*($B$26-($B$27-0.05*$B$27)-$B$60))</f>
        <v>417.44765389373282</v>
      </c>
      <c r="C33" s="35" t="s">
        <v>104</v>
      </c>
      <c r="D33" s="174"/>
    </row>
    <row r="34" spans="1:6">
      <c r="A34" s="171" t="s">
        <v>74</v>
      </c>
      <c r="B34" s="34">
        <f>IF((B24*($B$26-($B$27-0.05*$B$27)-$B$60))&lt;0,0,B24*($B$26-($B$27-0.05*$B$27)-$B$60))</f>
        <v>105.87352402671397</v>
      </c>
      <c r="C34" s="34">
        <f>B26*C24</f>
        <v>1461.1691311955212</v>
      </c>
      <c r="D34" s="233"/>
    </row>
    <row r="35" spans="1:6">
      <c r="A35" s="171" t="s">
        <v>76</v>
      </c>
      <c r="B35" s="34">
        <f>IF((B19*($B$26-($B$27-0.05*$B$27)-$B$60))&lt;0,0,B19*($B$26-($B$27-0.05*$B$27)-$B$60))</f>
        <v>39.360425770254444</v>
      </c>
      <c r="C35" s="34">
        <f>B35/2</f>
        <v>19.680212885127222</v>
      </c>
      <c r="D35" s="233"/>
    </row>
    <row r="36" spans="1:6">
      <c r="A36" s="171" t="s">
        <v>77</v>
      </c>
      <c r="B36" s="34">
        <f>IF((B18*($B$26-($B$27-0.05*$B$27)-$B$60))&lt;0,0,B18*($B$26-($B$27-0.05*$B$27)-$B$60))</f>
        <v>1898.8513208534914</v>
      </c>
      <c r="C36" s="35" t="s">
        <v>104</v>
      </c>
      <c r="D36" s="174"/>
    </row>
    <row r="37" spans="1:6">
      <c r="A37" s="171" t="s">
        <v>78</v>
      </c>
      <c r="B37" s="34">
        <f>B60</f>
        <v>13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17148.529981064621</v>
      </c>
      <c r="C5" s="18">
        <f>IF(ISERROR('Eigen informatie GS &amp; warmtenet'!B58),0,'Eigen informatie GS &amp; warmtenet'!B58)</f>
        <v>0</v>
      </c>
      <c r="D5" s="31">
        <f>SUM(D6:D12)</f>
        <v>15508.385563081403</v>
      </c>
      <c r="E5" s="18">
        <f>SUM(E6:E12)</f>
        <v>388.5022678686725</v>
      </c>
      <c r="F5" s="18">
        <f>SUM(F6:F12)</f>
        <v>3458.3459637399433</v>
      </c>
      <c r="G5" s="19"/>
      <c r="H5" s="18"/>
      <c r="I5" s="18"/>
      <c r="J5" s="18">
        <f>SUM(J6:J12)</f>
        <v>0</v>
      </c>
      <c r="K5" s="18"/>
      <c r="L5" s="18"/>
      <c r="M5" s="18"/>
      <c r="N5" s="18">
        <f>SUM(N6:N12)</f>
        <v>447.72068370661196</v>
      </c>
      <c r="O5" s="18">
        <f>B38*B39*B40</f>
        <v>1.5633333333333335</v>
      </c>
      <c r="P5" s="18">
        <f>B46*B47*B48/1000-B46*B47*B48/1000/B49</f>
        <v>19.066666666666666</v>
      </c>
      <c r="R5" s="33"/>
    </row>
    <row r="6" spans="1:18">
      <c r="A6" s="33" t="s">
        <v>53</v>
      </c>
      <c r="B6" s="38">
        <f>B26</f>
        <v>3324.6692693929799</v>
      </c>
      <c r="C6" s="34"/>
      <c r="D6" s="38">
        <f>IF(ISERROR(TER_kantoor_gas_kWh/1000),0,TER_kantoor_gas_kWh/1000)*0.902</f>
        <v>6298.5666963451831</v>
      </c>
      <c r="E6" s="34">
        <f>$C$26*'E Balans VL '!I12/100/3.6*1000000</f>
        <v>5.4564561012406294</v>
      </c>
      <c r="F6" s="34">
        <f>$C$26*('E Balans VL '!L12+'E Balans VL '!N12)/100/3.6*1000000</f>
        <v>391.90028164150846</v>
      </c>
      <c r="G6" s="35"/>
      <c r="H6" s="34"/>
      <c r="I6" s="34"/>
      <c r="J6" s="34">
        <f>$C$26*('E Balans VL '!D12+'E Balans VL '!E12)/100/3.6*1000000</f>
        <v>0</v>
      </c>
      <c r="K6" s="34"/>
      <c r="L6" s="34"/>
      <c r="M6" s="34"/>
      <c r="N6" s="34">
        <f>$C$26*'E Balans VL '!Y12/100/3.6*1000000</f>
        <v>0.6717336822829737</v>
      </c>
      <c r="O6" s="34"/>
      <c r="P6" s="34"/>
      <c r="R6" s="33"/>
    </row>
    <row r="7" spans="1:18">
      <c r="A7" s="33" t="s">
        <v>52</v>
      </c>
      <c r="B7" s="38">
        <f t="shared" ref="B7:B12" si="0">B27</f>
        <v>6450.2445260951299</v>
      </c>
      <c r="C7" s="34"/>
      <c r="D7" s="38">
        <f>IF(ISERROR(TER_horeca_gas_kWh/1000),0,TER_horeca_gas_kWh/1000)*0.902</f>
        <v>2615.2918825858269</v>
      </c>
      <c r="E7" s="34">
        <f>$C$27*'E Balans VL '!I9/100/3.6*1000000</f>
        <v>334.72101593613928</v>
      </c>
      <c r="F7" s="34">
        <f>$C$27*('E Balans VL '!L9+'E Balans VL '!N9)/100/3.6*1000000</f>
        <v>1471.9504811755332</v>
      </c>
      <c r="G7" s="35"/>
      <c r="H7" s="34"/>
      <c r="I7" s="34"/>
      <c r="J7" s="34">
        <f>$C$27*('E Balans VL '!D9+'E Balans VL '!E9)/100/3.6*1000000</f>
        <v>0</v>
      </c>
      <c r="K7" s="34"/>
      <c r="L7" s="34"/>
      <c r="M7" s="34"/>
      <c r="N7" s="34">
        <f>$C$27*'E Balans VL '!Y9/100/3.6*1000000</f>
        <v>0.68114286600213125</v>
      </c>
      <c r="O7" s="34"/>
      <c r="P7" s="34"/>
      <c r="R7" s="33"/>
    </row>
    <row r="8" spans="1:18">
      <c r="A8" s="6" t="s">
        <v>51</v>
      </c>
      <c r="B8" s="38">
        <f t="shared" si="0"/>
        <v>3638.40644184959</v>
      </c>
      <c r="C8" s="34"/>
      <c r="D8" s="38">
        <f>IF(ISERROR(TER_handel_gas_kWh/1000),0,TER_handel_gas_kWh/1000)*0.902</f>
        <v>1508.5587030195434</v>
      </c>
      <c r="E8" s="34">
        <f>$C$28*'E Balans VL '!I13/100/3.6*1000000</f>
        <v>19.593265790087251</v>
      </c>
      <c r="F8" s="34">
        <f>$C$28*('E Balans VL '!L13+'E Balans VL '!N13)/100/3.6*1000000</f>
        <v>741.97919719423135</v>
      </c>
      <c r="G8" s="35"/>
      <c r="H8" s="34"/>
      <c r="I8" s="34"/>
      <c r="J8" s="34">
        <f>$C$28*('E Balans VL '!D13+'E Balans VL '!E13)/100/3.6*1000000</f>
        <v>0</v>
      </c>
      <c r="K8" s="34"/>
      <c r="L8" s="34"/>
      <c r="M8" s="34"/>
      <c r="N8" s="34">
        <f>$C$28*'E Balans VL '!Y13/100/3.6*1000000</f>
        <v>18.091873847924933</v>
      </c>
      <c r="O8" s="34"/>
      <c r="P8" s="34"/>
      <c r="R8" s="33"/>
    </row>
    <row r="9" spans="1:18">
      <c r="A9" s="33" t="s">
        <v>50</v>
      </c>
      <c r="B9" s="38">
        <f t="shared" si="0"/>
        <v>252.382034059266</v>
      </c>
      <c r="C9" s="34"/>
      <c r="D9" s="38">
        <f>IF(ISERROR(TER_gezond_gas_kWh/1000),0,TER_gezond_gas_kWh/1000)*0.902</f>
        <v>252.46792754380141</v>
      </c>
      <c r="E9" s="34">
        <f>$C$29*'E Balans VL '!I10/100/3.6*1000000</f>
        <v>0.25011346582934574</v>
      </c>
      <c r="F9" s="34">
        <f>$C$29*('E Balans VL '!L10+'E Balans VL '!N10)/100/3.6*1000000</f>
        <v>87.569291185520157</v>
      </c>
      <c r="G9" s="35"/>
      <c r="H9" s="34"/>
      <c r="I9" s="34"/>
      <c r="J9" s="34">
        <f>$C$29*('E Balans VL '!D10+'E Balans VL '!E10)/100/3.6*1000000</f>
        <v>0</v>
      </c>
      <c r="K9" s="34"/>
      <c r="L9" s="34"/>
      <c r="M9" s="34"/>
      <c r="N9" s="34">
        <f>$C$29*'E Balans VL '!Y10/100/3.6*1000000</f>
        <v>2.1747541237379062</v>
      </c>
      <c r="O9" s="34"/>
      <c r="P9" s="34"/>
      <c r="R9" s="33"/>
    </row>
    <row r="10" spans="1:18">
      <c r="A10" s="33" t="s">
        <v>49</v>
      </c>
      <c r="B10" s="38">
        <f t="shared" si="0"/>
        <v>407.21043628184799</v>
      </c>
      <c r="C10" s="34"/>
      <c r="D10" s="38">
        <f>IF(ISERROR(TER_ander_gas_kWh/1000),0,TER_ander_gas_kWh/1000)*0.902</f>
        <v>408.62922479584421</v>
      </c>
      <c r="E10" s="34">
        <f>$C$30*'E Balans VL '!I14/100/3.6*1000000</f>
        <v>3.3313883466324978</v>
      </c>
      <c r="F10" s="34">
        <f>$C$30*('E Balans VL '!L14+'E Balans VL '!N14)/100/3.6*1000000</f>
        <v>119.05175334533935</v>
      </c>
      <c r="G10" s="35"/>
      <c r="H10" s="34"/>
      <c r="I10" s="34"/>
      <c r="J10" s="34">
        <f>$C$30*('E Balans VL '!D14+'E Balans VL '!E14)/100/3.6*1000000</f>
        <v>0</v>
      </c>
      <c r="K10" s="34"/>
      <c r="L10" s="34"/>
      <c r="M10" s="34"/>
      <c r="N10" s="34">
        <f>$C$30*'E Balans VL '!Y14/100/3.6*1000000</f>
        <v>234.90699121080451</v>
      </c>
      <c r="O10" s="34"/>
      <c r="P10" s="34"/>
      <c r="R10" s="33"/>
    </row>
    <row r="11" spans="1:18">
      <c r="A11" s="33" t="s">
        <v>54</v>
      </c>
      <c r="B11" s="38">
        <f t="shared" si="0"/>
        <v>177.51195021073701</v>
      </c>
      <c r="C11" s="34"/>
      <c r="D11" s="38">
        <f>IF(ISERROR(TER_onderwijs_gas_kWh/1000),0,TER_onderwijs_gas_kWh/1000)*0.902</f>
        <v>193.23400000215591</v>
      </c>
      <c r="E11" s="34">
        <f>$C$31*'E Balans VL '!I11/100/3.6*1000000</f>
        <v>0.10941087613710078</v>
      </c>
      <c r="F11" s="34">
        <f>$C$31*('E Balans VL '!L11+'E Balans VL '!N11)/100/3.6*1000000</f>
        <v>68.628994698804021</v>
      </c>
      <c r="G11" s="35"/>
      <c r="H11" s="34"/>
      <c r="I11" s="34"/>
      <c r="J11" s="34">
        <f>$C$31*('E Balans VL '!D11+'E Balans VL '!E11)/100/3.6*1000000</f>
        <v>0</v>
      </c>
      <c r="K11" s="34"/>
      <c r="L11" s="34"/>
      <c r="M11" s="34"/>
      <c r="N11" s="34">
        <f>$C$31*'E Balans VL '!Y11/100/3.6*1000000</f>
        <v>0.57740833403680614</v>
      </c>
      <c r="O11" s="34"/>
      <c r="P11" s="34"/>
      <c r="R11" s="33"/>
    </row>
    <row r="12" spans="1:18">
      <c r="A12" s="33" t="s">
        <v>249</v>
      </c>
      <c r="B12" s="38">
        <f t="shared" si="0"/>
        <v>2898.1053231750698</v>
      </c>
      <c r="C12" s="34"/>
      <c r="D12" s="38">
        <f>IF(ISERROR(TER_rest_gas_kWh/1000),0,TER_rest_gas_kWh/1000)*0.902</f>
        <v>4231.6371287890497</v>
      </c>
      <c r="E12" s="34">
        <f>$C$32*'E Balans VL '!I8/100/3.6*1000000</f>
        <v>25.040617352606453</v>
      </c>
      <c r="F12" s="34">
        <f>$C$32*('E Balans VL '!L8+'E Balans VL '!N8)/100/3.6*1000000</f>
        <v>577.26596449900615</v>
      </c>
      <c r="G12" s="35"/>
      <c r="H12" s="34"/>
      <c r="I12" s="34"/>
      <c r="J12" s="34">
        <f>$C$32*('E Balans VL '!D8+'E Balans VL '!E8)/100/3.6*1000000</f>
        <v>0</v>
      </c>
      <c r="K12" s="34"/>
      <c r="L12" s="34"/>
      <c r="M12" s="34"/>
      <c r="N12" s="34">
        <f>$C$32*'E Balans VL '!Y8/100/3.6*1000000</f>
        <v>190.61677964182269</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17148.529981064621</v>
      </c>
      <c r="C16" s="22">
        <f t="shared" ca="1" si="1"/>
        <v>0</v>
      </c>
      <c r="D16" s="22">
        <f t="shared" ca="1" si="1"/>
        <v>15508.385563081403</v>
      </c>
      <c r="E16" s="22">
        <f t="shared" si="1"/>
        <v>388.5022678686725</v>
      </c>
      <c r="F16" s="22">
        <f t="shared" ca="1" si="1"/>
        <v>3458.3459637399433</v>
      </c>
      <c r="G16" s="22">
        <f t="shared" si="1"/>
        <v>0</v>
      </c>
      <c r="H16" s="22">
        <f t="shared" si="1"/>
        <v>0</v>
      </c>
      <c r="I16" s="22">
        <f t="shared" si="1"/>
        <v>0</v>
      </c>
      <c r="J16" s="22">
        <f t="shared" si="1"/>
        <v>0</v>
      </c>
      <c r="K16" s="22">
        <f t="shared" si="1"/>
        <v>0</v>
      </c>
      <c r="L16" s="22">
        <f t="shared" ca="1" si="1"/>
        <v>0</v>
      </c>
      <c r="M16" s="22">
        <f t="shared" si="1"/>
        <v>0</v>
      </c>
      <c r="N16" s="22">
        <f t="shared" ca="1" si="1"/>
        <v>447.72068370661196</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0.21250038004269273</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3644.0691381497422</v>
      </c>
      <c r="C20" s="24">
        <f t="shared" ref="C20:P20" ca="1" si="2">C16*C18</f>
        <v>0</v>
      </c>
      <c r="D20" s="24">
        <f t="shared" ca="1" si="2"/>
        <v>3132.6938837424436</v>
      </c>
      <c r="E20" s="24">
        <f t="shared" si="2"/>
        <v>88.190014806188657</v>
      </c>
      <c r="F20" s="24">
        <f t="shared" ca="1" si="2"/>
        <v>923.37837231856486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3324.6692693929799</v>
      </c>
      <c r="C26" s="40">
        <f>IF(ISERROR(B26*3.6/1000000/'E Balans VL '!Z12*100),0,B26*3.6/1000000/'E Balans VL '!Z12*100)</f>
        <v>7.0646837751057706E-2</v>
      </c>
      <c r="D26" s="236" t="s">
        <v>685</v>
      </c>
      <c r="F26" s="6"/>
    </row>
    <row r="27" spans="1:18">
      <c r="A27" s="231" t="s">
        <v>52</v>
      </c>
      <c r="B27" s="34">
        <f>IF(ISERROR(TER_horeca_ele_kWh/1000),0,TER_horeca_ele_kWh/1000)</f>
        <v>6450.2445260951299</v>
      </c>
      <c r="C27" s="40">
        <f>IF(ISERROR(B27*3.6/1000000/'E Balans VL '!Z9*100),0,B27*3.6/1000000/'E Balans VL '!Z9*100)</f>
        <v>0.50768412372829652</v>
      </c>
      <c r="D27" s="236" t="s">
        <v>685</v>
      </c>
      <c r="F27" s="6"/>
    </row>
    <row r="28" spans="1:18">
      <c r="A28" s="171" t="s">
        <v>51</v>
      </c>
      <c r="B28" s="34">
        <f>IF(ISERROR(TER_handel_ele_kWh/1000),0,TER_handel_ele_kWh/1000)</f>
        <v>3638.40644184959</v>
      </c>
      <c r="C28" s="40">
        <f>IF(ISERROR(B28*3.6/1000000/'E Balans VL '!Z13*100),0,B28*3.6/1000000/'E Balans VL '!Z13*100)</f>
        <v>0.10191371163445986</v>
      </c>
      <c r="D28" s="236" t="s">
        <v>685</v>
      </c>
      <c r="F28" s="6"/>
    </row>
    <row r="29" spans="1:18">
      <c r="A29" s="231" t="s">
        <v>50</v>
      </c>
      <c r="B29" s="34">
        <f>IF(ISERROR(TER_gezond_ele_kWh/1000),0,TER_gezond_ele_kWh/1000)</f>
        <v>252.382034059266</v>
      </c>
      <c r="C29" s="40">
        <f>IF(ISERROR(B29*3.6/1000000/'E Balans VL '!Z10*100),0,B29*3.6/1000000/'E Balans VL '!Z10*100)</f>
        <v>3.2287293881526978E-2</v>
      </c>
      <c r="D29" s="236" t="s">
        <v>685</v>
      </c>
      <c r="F29" s="6"/>
    </row>
    <row r="30" spans="1:18">
      <c r="A30" s="231" t="s">
        <v>49</v>
      </c>
      <c r="B30" s="34">
        <f>IF(ISERROR(TER_ander_ele_kWh/1000),0,TER_ander_ele_kWh/1000)</f>
        <v>407.21043628184799</v>
      </c>
      <c r="C30" s="40">
        <f>IF(ISERROR(B30*3.6/1000000/'E Balans VL '!Z14*100),0,B30*3.6/1000000/'E Balans VL '!Z14*100)</f>
        <v>3.0455909418806566E-2</v>
      </c>
      <c r="D30" s="236" t="s">
        <v>685</v>
      </c>
      <c r="F30" s="6"/>
    </row>
    <row r="31" spans="1:18">
      <c r="A31" s="231" t="s">
        <v>54</v>
      </c>
      <c r="B31" s="34">
        <f>IF(ISERROR(TER_onderwijs_ele_kWh/1000),0,TER_onderwijs_ele_kWh/1000)</f>
        <v>177.51195021073701</v>
      </c>
      <c r="C31" s="40">
        <f>IF(ISERROR(B31*3.6/1000000/'E Balans VL '!Z11*100),0,B31*3.6/1000000/'E Balans VL '!Z11*100)</f>
        <v>3.7481878223745935E-2</v>
      </c>
      <c r="D31" s="236" t="s">
        <v>685</v>
      </c>
    </row>
    <row r="32" spans="1:18">
      <c r="A32" s="231" t="s">
        <v>249</v>
      </c>
      <c r="B32" s="34">
        <f>IF(ISERROR(TER_rest_ele_kWh/1000),0,TER_rest_ele_kWh/1000)</f>
        <v>2898.1053231750698</v>
      </c>
      <c r="C32" s="40">
        <f>IF(ISERROR(B32*3.6/1000000/'E Balans VL '!Z8*100),0,B32*3.6/1000000/'E Balans VL '!Z8*100)</f>
        <v>2.3874394770805291E-2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7155.538615188957</v>
      </c>
      <c r="C5" s="18">
        <f>IF(ISERROR('Eigen informatie GS &amp; warmtenet'!B59),0,'Eigen informatie GS &amp; warmtenet'!B59)</f>
        <v>0</v>
      </c>
      <c r="D5" s="31">
        <f>SUM(D6:D15)</f>
        <v>4187.839810137385</v>
      </c>
      <c r="E5" s="18">
        <f>SUM(E6:E15)</f>
        <v>59.415765427753442</v>
      </c>
      <c r="F5" s="18">
        <f>SUM(F6:F15)</f>
        <v>2368.339320633514</v>
      </c>
      <c r="G5" s="19"/>
      <c r="H5" s="18"/>
      <c r="I5" s="18"/>
      <c r="J5" s="18">
        <f>SUM(J6:J15)</f>
        <v>24.744715250120887</v>
      </c>
      <c r="K5" s="18"/>
      <c r="L5" s="18"/>
      <c r="M5" s="18"/>
      <c r="N5" s="18">
        <f>SUM(N6:N15)</f>
        <v>284.01058369872459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59.365000000000002</v>
      </c>
      <c r="C8" s="34"/>
      <c r="D8" s="38">
        <f>IF( ISERROR(IND_metaal_Gas_kWH/1000),0,IND_metaal_Gas_kWH/1000)*0.902</f>
        <v>0</v>
      </c>
      <c r="E8" s="34">
        <f>C30*'E Balans VL '!I18/100/3.6*1000000</f>
        <v>0.54062635669357906</v>
      </c>
      <c r="F8" s="34">
        <f>C30*'E Balans VL '!L18/100/3.6*1000000+C30*'E Balans VL '!N18/100/3.6*1000000</f>
        <v>7.8297926744468267</v>
      </c>
      <c r="G8" s="35"/>
      <c r="H8" s="34"/>
      <c r="I8" s="34"/>
      <c r="J8" s="41">
        <f>C30*'E Balans VL '!D18/100/3.6*1000000+C30*'E Balans VL '!E18/100/3.6*1000000</f>
        <v>0.97349980512378442</v>
      </c>
      <c r="K8" s="34"/>
      <c r="L8" s="34"/>
      <c r="M8" s="34"/>
      <c r="N8" s="34">
        <f>C30*'E Balans VL '!Y18/100/3.6*1000000</f>
        <v>0.20401392231424412</v>
      </c>
      <c r="O8" s="34"/>
      <c r="P8" s="34"/>
      <c r="R8" s="33"/>
    </row>
    <row r="9" spans="1:18">
      <c r="A9" s="6" t="s">
        <v>32</v>
      </c>
      <c r="B9" s="38">
        <f t="shared" si="0"/>
        <v>1708.35084534578</v>
      </c>
      <c r="C9" s="34"/>
      <c r="D9" s="38">
        <f>IF( ISERROR(IND_andere_gas_kWh/1000),0,IND_andere_gas_kWh/1000)*0.902</f>
        <v>931.97199581513246</v>
      </c>
      <c r="E9" s="34">
        <f>C31*'E Balans VL '!I19/100/3.6*1000000</f>
        <v>9.8745231780164868</v>
      </c>
      <c r="F9" s="34">
        <f>C31*'E Balans VL '!L19/100/3.6*1000000+C31*'E Balans VL '!N19/100/3.6*1000000</f>
        <v>1359.0753000623699</v>
      </c>
      <c r="G9" s="35"/>
      <c r="H9" s="34"/>
      <c r="I9" s="34"/>
      <c r="J9" s="41">
        <f>C31*'E Balans VL '!D19/100/3.6*1000000+C31*'E Balans VL '!E19/100/3.6*1000000</f>
        <v>0.16159101414598806</v>
      </c>
      <c r="K9" s="34"/>
      <c r="L9" s="34"/>
      <c r="M9" s="34"/>
      <c r="N9" s="34">
        <f>C31*'E Balans VL '!Y19/100/3.6*1000000</f>
        <v>129.43342953317705</v>
      </c>
      <c r="O9" s="34"/>
      <c r="P9" s="34"/>
      <c r="R9" s="33"/>
    </row>
    <row r="10" spans="1:18">
      <c r="A10" s="6" t="s">
        <v>40</v>
      </c>
      <c r="B10" s="38">
        <f t="shared" si="0"/>
        <v>693.45629206356693</v>
      </c>
      <c r="C10" s="34"/>
      <c r="D10" s="38">
        <f>IF( ISERROR(IND_voed_gas_kWh/1000),0,IND_voed_gas_kWh/1000)*0.902</f>
        <v>1086.3916283215979</v>
      </c>
      <c r="E10" s="34">
        <f>C32*'E Balans VL '!I20/100/3.6*1000000</f>
        <v>6.8184895375750392</v>
      </c>
      <c r="F10" s="34">
        <f>C32*'E Balans VL '!L20/100/3.6*1000000+C32*'E Balans VL '!N20/100/3.6*1000000</f>
        <v>77.017372672040523</v>
      </c>
      <c r="G10" s="35"/>
      <c r="H10" s="34"/>
      <c r="I10" s="34"/>
      <c r="J10" s="41">
        <f>C32*'E Balans VL '!D20/100/3.6*1000000+C32*'E Balans VL '!E20/100/3.6*1000000</f>
        <v>2.7332260572362588E-3</v>
      </c>
      <c r="K10" s="34"/>
      <c r="L10" s="34"/>
      <c r="M10" s="34"/>
      <c r="N10" s="34">
        <f>C32*'E Balans VL '!Y20/100/3.6*1000000</f>
        <v>10.268456504323398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4694.3664777796102</v>
      </c>
      <c r="C15" s="34"/>
      <c r="D15" s="38">
        <f>IF( ISERROR(IND_rest_gas_kWh/1000),0,IND_rest_gas_kWh/1000)*0.902</f>
        <v>2169.4761860006547</v>
      </c>
      <c r="E15" s="34">
        <f>C37*'E Balans VL '!I15/100/3.6*1000000</f>
        <v>42.182126355468341</v>
      </c>
      <c r="F15" s="34">
        <f>C37*'E Balans VL '!L15/100/3.6*1000000+C37*'E Balans VL '!N15/100/3.6*1000000</f>
        <v>924.4168552246565</v>
      </c>
      <c r="G15" s="35"/>
      <c r="H15" s="34"/>
      <c r="I15" s="34"/>
      <c r="J15" s="41">
        <f>C37*'E Balans VL '!D15/100/3.6*1000000+C37*'E Balans VL '!E15/100/3.6*1000000</f>
        <v>23.606891204793879</v>
      </c>
      <c r="K15" s="34"/>
      <c r="L15" s="34"/>
      <c r="M15" s="34"/>
      <c r="N15" s="34">
        <f>C37*'E Balans VL '!Y15/100/3.6*1000000</f>
        <v>144.1046837389099</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7155.538615188957</v>
      </c>
      <c r="C18" s="22">
        <f>C5+C16</f>
        <v>0</v>
      </c>
      <c r="D18" s="22">
        <f>MAX((D5+D16),0)</f>
        <v>4187.839810137385</v>
      </c>
      <c r="E18" s="22">
        <f>MAX((E5+E16),0)</f>
        <v>59.415765427753442</v>
      </c>
      <c r="F18" s="22">
        <f>MAX((F5+F16),0)</f>
        <v>2368.339320633514</v>
      </c>
      <c r="G18" s="22"/>
      <c r="H18" s="22"/>
      <c r="I18" s="22"/>
      <c r="J18" s="22">
        <f>MAX((J5+J16),0)</f>
        <v>24.744715250120887</v>
      </c>
      <c r="K18" s="22"/>
      <c r="L18" s="22">
        <f>MAX((L5+L16),0)</f>
        <v>0</v>
      </c>
      <c r="M18" s="22"/>
      <c r="N18" s="22">
        <f>MAX((N5+N16),0)</f>
        <v>284.01058369872459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0.21250038004269273</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1520.5546751378165</v>
      </c>
      <c r="C22" s="24">
        <f ca="1">C18*C20</f>
        <v>0</v>
      </c>
      <c r="D22" s="24">
        <f>D18*D20</f>
        <v>845.94364164775186</v>
      </c>
      <c r="E22" s="24">
        <f>E18*E20</f>
        <v>13.487378752100032</v>
      </c>
      <c r="F22" s="24">
        <f>F18*F20</f>
        <v>632.34659860914826</v>
      </c>
      <c r="G22" s="24"/>
      <c r="H22" s="24"/>
      <c r="I22" s="24"/>
      <c r="J22" s="24">
        <f>J18*J20</f>
        <v>8.7596291985427932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59.365000000000002</v>
      </c>
      <c r="C30" s="40">
        <f>IF(ISERROR(B30*3.6/1000000/'E Balans VL '!Z18*100),0,B30*3.6/1000000/'E Balans VL '!Z18*100)</f>
        <v>3.3032652796509019E-3</v>
      </c>
      <c r="D30" s="236" t="s">
        <v>685</v>
      </c>
    </row>
    <row r="31" spans="1:18">
      <c r="A31" s="6" t="s">
        <v>32</v>
      </c>
      <c r="B31" s="38">
        <f>IF( ISERROR(IND_ander_ele_kWh/1000),0,IND_ander_ele_kWh/1000)</f>
        <v>1708.35084534578</v>
      </c>
      <c r="C31" s="40">
        <f>IF(ISERROR(B31*3.6/1000000/'E Balans VL '!Z19*100),0,B31*3.6/1000000/'E Balans VL '!Z19*100)</f>
        <v>7.9416744153659666E-2</v>
      </c>
      <c r="D31" s="236" t="s">
        <v>685</v>
      </c>
    </row>
    <row r="32" spans="1:18">
      <c r="A32" s="171" t="s">
        <v>40</v>
      </c>
      <c r="B32" s="38">
        <f>IF( ISERROR(IND_voed_ele_kWh/1000),0,IND_voed_ele_kWh/1000)</f>
        <v>693.45629206356693</v>
      </c>
      <c r="C32" s="40">
        <f>IF(ISERROR(B32*3.6/1000000/'E Balans VL '!Z20*100),0,B32*3.6/1000000/'E Balans VL '!Z20*100)</f>
        <v>2.4512279430153727E-2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4694.3664777796102</v>
      </c>
      <c r="C37" s="40">
        <f>IF(ISERROR(B37*3.6/1000000/'E Balans VL '!Z15*100),0,B37*3.6/1000000/'E Balans VL '!Z15*100)</f>
        <v>3.5449401535143268E-2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65.415674699320007</v>
      </c>
      <c r="C5" s="18">
        <f>'Eigen informatie GS &amp; warmtenet'!B60</f>
        <v>0</v>
      </c>
      <c r="D5" s="31">
        <f>IF(ISERROR(SUM(LB_lb_gas_kWh,LB_rest_gas_kWh)/1000),0,SUM(LB_lb_gas_kWh,LB_rest_gas_kWh)/1000)*0.902</f>
        <v>44.07496684232958</v>
      </c>
      <c r="E5" s="18">
        <f>B17*'E Balans VL '!I25/3.6*1000000/100</f>
        <v>0.61625948560740074</v>
      </c>
      <c r="F5" s="18">
        <f>B17*('E Balans VL '!L25/3.6*1000000+'E Balans VL '!N25/3.6*1000000)/100</f>
        <v>213.47305609970988</v>
      </c>
      <c r="G5" s="19"/>
      <c r="H5" s="18"/>
      <c r="I5" s="18"/>
      <c r="J5" s="18">
        <f>('E Balans VL '!D25+'E Balans VL '!E25)/3.6*1000000*landbouw!B17/100</f>
        <v>8.0922371420865016</v>
      </c>
      <c r="K5" s="18"/>
      <c r="L5" s="18">
        <f>L6*(-1)</f>
        <v>0</v>
      </c>
      <c r="M5" s="18"/>
      <c r="N5" s="18">
        <f>N6*(-1)</f>
        <v>0</v>
      </c>
      <c r="O5" s="18"/>
      <c r="P5" s="18"/>
      <c r="R5" s="33"/>
    </row>
    <row r="6" spans="1:18">
      <c r="A6" s="17" t="s">
        <v>489</v>
      </c>
      <c r="B6" s="18" t="s">
        <v>204</v>
      </c>
      <c r="C6" s="18">
        <f>'lokale energieproductie'!O39+'lokale energieproductie'!O32</f>
        <v>2.0454545454545454</v>
      </c>
      <c r="D6" s="305">
        <f>('lokale energieproductie'!P32+'lokale energieproductie'!P39)*(-1)</f>
        <v>-2.7272727272727275</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65.415674699320007</v>
      </c>
      <c r="C8" s="22">
        <f>C5+C6</f>
        <v>2.0454545454545454</v>
      </c>
      <c r="D8" s="22">
        <f>MAX((D5+D6),0)</f>
        <v>41.347694115056854</v>
      </c>
      <c r="E8" s="22">
        <f>MAX((E5+E6),0)</f>
        <v>0.61625948560740074</v>
      </c>
      <c r="F8" s="22">
        <f>MAX((F5+F6),0)</f>
        <v>213.47305609970988</v>
      </c>
      <c r="G8" s="22"/>
      <c r="H8" s="22"/>
      <c r="I8" s="22"/>
      <c r="J8" s="22">
        <f>MAX((J5+J6),0)</f>
        <v>8.0922371420865016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0.21250038004269273</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13.900855734354661</v>
      </c>
      <c r="C12" s="24">
        <f ca="1">C8*C10</f>
        <v>0.45909090909090916</v>
      </c>
      <c r="D12" s="24">
        <f>D8*D10</f>
        <v>8.3522342112414858</v>
      </c>
      <c r="E12" s="24">
        <f>E8*E10</f>
        <v>0.13989090323287998</v>
      </c>
      <c r="F12" s="24">
        <f>F8*F10</f>
        <v>56.997305978622542</v>
      </c>
      <c r="G12" s="24"/>
      <c r="H12" s="24"/>
      <c r="I12" s="24"/>
      <c r="J12" s="24">
        <f>J8*J10</f>
        <v>2.8646519482986212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8.8562370452215967E-3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23.287344131173409</v>
      </c>
      <c r="C26" s="246">
        <f>B26*'GWP N2O_CH4'!B5</f>
        <v>489.03422675464157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3.1035247844404084</v>
      </c>
      <c r="C27" s="246">
        <f>B27*'GWP N2O_CH4'!B5</f>
        <v>65.174020473248575</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0.32381912842316735</v>
      </c>
      <c r="C28" s="246">
        <f>B28*'GWP N2O_CH4'!B4</f>
        <v>100.38392981118187</v>
      </c>
      <c r="D28" s="51"/>
    </row>
    <row r="29" spans="1:4">
      <c r="A29" s="42" t="s">
        <v>266</v>
      </c>
      <c r="B29" s="246">
        <f>B34*'ha_N2O bodem landbouw'!B4</f>
        <v>2.7852592513409355</v>
      </c>
      <c r="C29" s="246">
        <f>B29*'GWP N2O_CH4'!B4</f>
        <v>863.43036791569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7.5193231715760646E-4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4.6165678780181169E-6</v>
      </c>
      <c r="C5" s="433" t="s">
        <v>204</v>
      </c>
      <c r="D5" s="418">
        <f>SUM(D6:D11)</f>
        <v>5.8309516249776831E-6</v>
      </c>
      <c r="E5" s="418">
        <f>SUM(E6:E11)</f>
        <v>3.7275136012809807E-4</v>
      </c>
      <c r="F5" s="431" t="s">
        <v>204</v>
      </c>
      <c r="G5" s="418">
        <f>SUM(G6:G11)</f>
        <v>8.2394774686440908E-2</v>
      </c>
      <c r="H5" s="418">
        <f>SUM(H6:H11)</f>
        <v>1.4039246514109656E-2</v>
      </c>
      <c r="I5" s="433" t="s">
        <v>204</v>
      </c>
      <c r="J5" s="433" t="s">
        <v>204</v>
      </c>
      <c r="K5" s="433" t="s">
        <v>204</v>
      </c>
      <c r="L5" s="433" t="s">
        <v>204</v>
      </c>
      <c r="M5" s="418">
        <f>SUM(M6:M11)</f>
        <v>4.3092835830022443E-3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3.6094742490158637E-6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4.2038877830401629E-6</v>
      </c>
      <c r="E6" s="421">
        <f>vkm_GW_PW*SUMIFS(TableVerdeelsleutelVkm[LPG],TableVerdeelsleutelVkm[Voertuigtype],"Lichte voertuigen")*SUMIFS(TableECFTransport[EnergieConsumptieFactor (PJ per km)],TableECFTransport[Index],CONCATENATE($A6,"_LPG_LPG"))</f>
        <v>2.7273743660658287E-4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4.2552167838500556E-2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1.0255065716621973E-2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2.3631271406448638E-3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1.5055301371820949E-7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2.490479100074202E-2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6.6828428918987492E-7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1.1081819555227143E-3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8.5537153638003253E-7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1.6270638419375199E-6</v>
      </c>
      <c r="E8" s="421">
        <f>vkm_NGW_PW*SUMIFS(TableVerdeelsleutelVkm[LPG],TableVerdeelsleutelVkm[Voertuigtype],"Lichte voertuigen")*SUMIFS(TableECFTransport[EnergieConsumptieFactor (PJ per km)],TableECFTransport[Index],CONCATENATE($A8,"_LPG_LPG"))</f>
        <v>1.0001392352151522E-4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1.4689821205938652E-2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3.7835062494823578E-3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8.2693955220678773E-4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1.1690789040112744E-9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2.4799464125969159E-4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6.2637161365620253E-9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1.103493462787859E-5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1.2823799661161437</v>
      </c>
      <c r="C14" s="22"/>
      <c r="D14" s="22">
        <f t="shared" ref="D14:M14" si="0">((D5)*10^9/3600)+D12</f>
        <v>1.6197087847160232</v>
      </c>
      <c r="E14" s="22">
        <f t="shared" si="0"/>
        <v>103.54204448002724</v>
      </c>
      <c r="F14" s="22"/>
      <c r="G14" s="22">
        <f t="shared" si="0"/>
        <v>22887.437412900254</v>
      </c>
      <c r="H14" s="22">
        <f t="shared" si="0"/>
        <v>3899.7906983637936</v>
      </c>
      <c r="I14" s="22"/>
      <c r="J14" s="22"/>
      <c r="K14" s="22"/>
      <c r="L14" s="22"/>
      <c r="M14" s="22">
        <f t="shared" si="0"/>
        <v>1197.0232175006233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0.21250038004269273</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0.27250623015881598</v>
      </c>
      <c r="C18" s="24"/>
      <c r="D18" s="24">
        <f t="shared" ref="D18:M18" si="1">D14*D16</f>
        <v>0.32718117451263673</v>
      </c>
      <c r="E18" s="24">
        <f t="shared" si="1"/>
        <v>23.504044096966187</v>
      </c>
      <c r="F18" s="24"/>
      <c r="G18" s="24">
        <f t="shared" si="1"/>
        <v>6110.9457892443679</v>
      </c>
      <c r="H18" s="24">
        <f t="shared" si="1"/>
        <v>971.04788389258465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1.2695166872868464E-3</v>
      </c>
      <c r="C50" s="316">
        <f t="shared" ref="C50:P50" si="2">SUM(C51:C52)</f>
        <v>0</v>
      </c>
      <c r="D50" s="316">
        <f t="shared" si="2"/>
        <v>0</v>
      </c>
      <c r="E50" s="316">
        <f t="shared" si="2"/>
        <v>0</v>
      </c>
      <c r="F50" s="316">
        <f t="shared" si="2"/>
        <v>0</v>
      </c>
      <c r="G50" s="316">
        <f t="shared" si="2"/>
        <v>5.3900014454084195E-3</v>
      </c>
      <c r="H50" s="316">
        <f t="shared" si="2"/>
        <v>0</v>
      </c>
      <c r="I50" s="316">
        <f t="shared" si="2"/>
        <v>0</v>
      </c>
      <c r="J50" s="316">
        <f t="shared" si="2"/>
        <v>0</v>
      </c>
      <c r="K50" s="316">
        <f t="shared" si="2"/>
        <v>0</v>
      </c>
      <c r="L50" s="316">
        <f t="shared" si="2"/>
        <v>0</v>
      </c>
      <c r="M50" s="316">
        <f t="shared" si="2"/>
        <v>2.3823232321326811E-4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2.7024056985280051E-5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5.3900014454084195E-3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2.3823232321326811E-4</v>
      </c>
      <c r="N51" s="318"/>
      <c r="O51" s="318"/>
      <c r="P51" s="321"/>
    </row>
    <row r="52" spans="1:18">
      <c r="A52" s="4" t="s">
        <v>318</v>
      </c>
      <c r="B52" s="322">
        <f>vkm_tram*SUMIFS(TableECFTransport[EnergieConsumptieFactor (PJ per km)],TableECFTransport[Index],"Tram_gemiddeld_Electric_Electric")</f>
        <v>1.2424926303015664E-3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352.6435242463462</v>
      </c>
      <c r="C54" s="22">
        <f t="shared" ref="C54:P54" si="3">(C50)*10^9/3600</f>
        <v>0</v>
      </c>
      <c r="D54" s="22">
        <f t="shared" si="3"/>
        <v>0</v>
      </c>
      <c r="E54" s="22">
        <f t="shared" si="3"/>
        <v>0</v>
      </c>
      <c r="F54" s="22">
        <f t="shared" si="3"/>
        <v>0</v>
      </c>
      <c r="G54" s="22">
        <f t="shared" si="3"/>
        <v>1497.2226237245611</v>
      </c>
      <c r="H54" s="22">
        <f t="shared" si="3"/>
        <v>0</v>
      </c>
      <c r="I54" s="22">
        <f t="shared" si="3"/>
        <v>0</v>
      </c>
      <c r="J54" s="22">
        <f t="shared" si="3"/>
        <v>0</v>
      </c>
      <c r="K54" s="22">
        <f t="shared" si="3"/>
        <v>0</v>
      </c>
      <c r="L54" s="22">
        <f t="shared" si="3"/>
        <v>0</v>
      </c>
      <c r="M54" s="22">
        <f t="shared" si="3"/>
        <v>66.175645337018921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0.21250038004269273</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74.936882921943095</v>
      </c>
      <c r="C58" s="24">
        <f t="shared" ref="C58:P58" ca="1" si="4">C54*C56</f>
        <v>0</v>
      </c>
      <c r="D58" s="24">
        <f t="shared" si="4"/>
        <v>0</v>
      </c>
      <c r="E58" s="24">
        <f t="shared" si="4"/>
        <v>0</v>
      </c>
      <c r="F58" s="24">
        <f t="shared" si="4"/>
        <v>0</v>
      </c>
      <c r="G58" s="24">
        <f t="shared" si="4"/>
        <v>399.75844053445786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2575.2407193563358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0.40909090909090912</v>
      </c>
      <c r="C8" s="544">
        <f>B48</f>
        <v>0.45454545454545464</v>
      </c>
      <c r="D8" s="967"/>
      <c r="E8" s="967">
        <f>E48</f>
        <v>0</v>
      </c>
      <c r="F8" s="968"/>
      <c r="G8" s="545"/>
      <c r="H8" s="967">
        <f>I48</f>
        <v>0</v>
      </c>
      <c r="I8" s="967">
        <f>G48+F48</f>
        <v>0</v>
      </c>
      <c r="J8" s="967">
        <f>H48+D48+C48</f>
        <v>0</v>
      </c>
      <c r="K8" s="967"/>
      <c r="L8" s="967"/>
      <c r="M8" s="967"/>
      <c r="N8" s="546"/>
      <c r="O8" s="547">
        <f>C8*$C$12+D8*$D$12+E8*$E$12+F8*$F$12+G8*$G$12+H8*$H$12+I8*$I$12+J8*$J$12</f>
        <v>9.181818181818184E-2</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2575.6498102654268</v>
      </c>
      <c r="C10" s="556">
        <f t="shared" ref="C10:L10" si="0">SUM(C8:C9)</f>
        <v>0.45454545454545464</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9.181818181818184E-2</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2.0454545454545454</v>
      </c>
      <c r="C17" s="568">
        <f>B49</f>
        <v>2.2727272727272729</v>
      </c>
      <c r="D17" s="569"/>
      <c r="E17" s="569">
        <f>E49</f>
        <v>0</v>
      </c>
      <c r="F17" s="570"/>
      <c r="G17" s="571"/>
      <c r="H17" s="568">
        <f>I49</f>
        <v>0</v>
      </c>
      <c r="I17" s="569">
        <f>G49+F49</f>
        <v>0</v>
      </c>
      <c r="J17" s="569">
        <f>H49+D49+C49</f>
        <v>0</v>
      </c>
      <c r="K17" s="569"/>
      <c r="L17" s="569"/>
      <c r="M17" s="569"/>
      <c r="N17" s="974"/>
      <c r="O17" s="572">
        <f>C17*$C$22+E17*$E$22+H17*$H$22+I17*$I$22+J17*$J$22+D17*$D$22+F17*$F$22+G17*$G$22+K17*$K$22+L17*$L$22</f>
        <v>0.45909090909090916</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2.0454545454545454</v>
      </c>
      <c r="C20" s="555">
        <f>SUM(C17:C19)</f>
        <v>2.2727272727272729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0.45909090909090916</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v>35002</v>
      </c>
      <c r="C28" s="775">
        <v>8450</v>
      </c>
      <c r="D28" s="628"/>
      <c r="E28" s="627"/>
      <c r="F28" s="627"/>
      <c r="G28" s="627" t="s">
        <v>959</v>
      </c>
      <c r="H28" s="627" t="s">
        <v>959</v>
      </c>
      <c r="I28" s="627"/>
      <c r="J28" s="774"/>
      <c r="K28" s="774"/>
      <c r="L28" s="627" t="s">
        <v>960</v>
      </c>
      <c r="M28" s="627">
        <v>1</v>
      </c>
      <c r="N28" s="627">
        <v>0.40909090909090912</v>
      </c>
      <c r="O28" s="627">
        <v>2.0454545454545454</v>
      </c>
      <c r="P28" s="627">
        <v>2.7272727272727275</v>
      </c>
      <c r="Q28" s="627">
        <v>0</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1</v>
      </c>
      <c r="N29" s="585">
        <f>SUM(N28:N28)</f>
        <v>0.40909090909090912</v>
      </c>
      <c r="O29" s="585">
        <f>SUM(O28:O28)</f>
        <v>2.0454545454545454</v>
      </c>
      <c r="P29" s="585">
        <f>SUM(P28:P28)</f>
        <v>2.7272727272727275</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1</v>
      </c>
      <c r="N32" s="590">
        <f>SUMIF($Z$28:$Z$28,"landbouw",N28:N28)</f>
        <v>0.40909090909090912</v>
      </c>
      <c r="O32" s="590">
        <f>SUMIF($Z$28:$Z$28,"landbouw",O28:O28)</f>
        <v>2.0454545454545454</v>
      </c>
      <c r="P32" s="590">
        <f>SUMIF($Z$28:$Z$28,"landbouw",P28:P28)</f>
        <v>2.7272727272727275</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0.83333333333333326</v>
      </c>
      <c r="C45" s="610">
        <f>IF(ISERROR(N29/(O29+N29)),0,N29/(N29+O29))</f>
        <v>0.16666666666666669</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0.45454545454545464</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2.2727272727272729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2021-11-11T13:34:29Z</dcterms:modified>
</cp:coreProperties>
</file>