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743D6DF-97C3-4DFA-A079-A7F7D6BEAC06}"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32"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4" i="13"/>
  <c r="B33" i="13"/>
  <c r="B36" i="13"/>
  <c r="B35" i="13"/>
  <c r="C35" i="13" s="1"/>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<sst xmlns="http://schemas.openxmlformats.org/spreadsheetml/2006/main" count="2553" uniqueCount="959">
  <si>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</si>
  <si>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</si>
  <si>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</si>
  <si>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</si>
  <si>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</si>
  <si>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</si>
  <si>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</si>
  <si>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</si>
  <si>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</si>
  <si>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</si>
  <si>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</si>
  <si>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</si>
  <si>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</si>
  <si>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</si>
  <si>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</si>
  <si>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</si>
  <si>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</si>
  <si>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</si>
  <si>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</si>
  <si>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</si>
  <si>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</si>
  <si>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</si>
  <si>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</si>
  <si>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</si>
  <si>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</si>
  <si>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</si>
  <si>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</si>
  <si>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</si>
  <si>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</si>
  <si>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</si>
  <si>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</si>
  <si>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</si>
  <si>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</si>
  <si>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</si>
  <si>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</si>
  <si>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</si>
  <si>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</si>
  <si>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</si>
  <si>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</si>
  <si>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</si>
  <si>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</si>
  <si>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</si>
  <si>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</si>
  <si>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</si>
  <si>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</si>
  <si>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</si>
  <si>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</si>
  <si>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</si>
  <si>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</si>
  <si>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</si>
  <si>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</si>
  <si>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</si>
  <si>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</si>
  <si>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</si>
  <si>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</si>
  <si>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</si>
  <si>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</si>
  <si>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</si>
  <si>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</si>
  <si>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</si>
  <si>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</si>
  <si>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</si>
  <si>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</si>
  <si>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</si>
  <si>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</si>
  <si>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</si>
  <si>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</si>
  <si>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</si>
  <si>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</si>
  <si>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</si>
  <si>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</si>
  <si>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</si>
  <si>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</si>
  <si>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</si>
  <si>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</si>
  <si>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</si>
  <si>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</si>
  <si>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</si>
  <si>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</si>
  <si>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</si>
  <si>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</si>
  <si>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</si>
  <si>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</si>
  <si>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</si>
  <si>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</si>
  <si>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</si>
  <si>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</si>
  <si>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</si>
  <si>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</si>
  <si>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</si>
  <si>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</si>
  <si>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</si>
  <si>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</si>
  <si>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</si>
  <si>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</si>
  <si>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</si>
  <si>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</si>
  <si>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</si>
  <si>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</si>
  <si>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</si>
  <si>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</si>
  <si>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</si>
  <si>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</si>
  <si>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</si>
  <si>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</si>
  <si>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</si>
  <si>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</si>
  <si>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</si>
  <si>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</si>
  <si>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</si>
  <si>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</si>
  <si>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</si>
  <si>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</si>
  <si>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</si>
  <si>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</si>
  <si>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</si>
  <si>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</si>
  <si>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</si>
  <si>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</si>
  <si>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</si>
  <si>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</si>
  <si>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</si>
  <si>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</si>
  <si>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</si>
  <si>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</si>
  <si>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</si>
  <si>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</si>
  <si>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</si>
  <si>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</si>
  <si>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</si>
  <si>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</si>
  <si>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</si>
  <si>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</si>
  <si>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</si>
  <si>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</si>
  <si>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</si>
  <si>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</si>
  <si>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</si>
  <si>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</si>
  <si>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</si>
  <si>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</si>
  <si>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</si>
  <si>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</si>
  <si>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</si>
  <si>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</si>
  <si>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</si>
  <si>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</si>
  <si>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</si>
  <si>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</si>
  <si>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</si>
  <si>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</si>
  <si>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</si>
  <si>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</si>
  <si>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</si>
  <si>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</si>
  <si>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</si>
  <si>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</si>
  <si>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</si>
  <si>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</si>
  <si>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</si>
  <si>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</si>
  <si>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</si>
  <si>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</si>
  <si>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</si>
  <si>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</si>
  <si>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</si>
  <si>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</si>
  <si>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</si>
  <si>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</si>
  <si>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</si>
  <si>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</si>
  <si>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</si>
  <si>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</si>
  <si>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</si>
  <si>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</si>
  <si>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</si>
  <si>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</si>
  <si>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</si>
  <si>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</si>
  <si>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</si>
  <si>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</si>
  <si>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</si>
  <si>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</si>
  <si>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</si>
  <si>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</si>
  <si>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</si>
  <si>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</si>
  <si>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</si>
  <si>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</si>
  <si>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</si>
  <si>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</si>
  <si>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</si>
  <si>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</si>
  <si>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</si>
  <si>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</si>
  <si>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</si>
  <si>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</si>
  <si>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</si>
  <si>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</si>
  <si>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</si>
  <si>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</si>
  <si>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</si>
  <si>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</si>
  <si>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</si>
  <si>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</si>
  <si>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</si>
  <si>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</si>
  <si>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</si>
  <si>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</si>
  <si>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</si>
  <si>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</si>
  <si>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</si>
  <si>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</si>
  <si>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</si>
  <si>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</si>
  <si>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</si>
  <si>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</si>
  <si>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</si>
  <si>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</si>
  <si>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</si>
  <si>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</si>
  <si>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</si>
  <si>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</si>
  <si>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</si>
  <si>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</si>
  <si>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</si>
  <si>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</si>
  <si>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</si>
  <si>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</si>
  <si>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</si>
  <si>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</si>
  <si>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</si>
  <si>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</si>
  <si>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</si>
  <si>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</si>
  <si>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</si>
  <si>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</si>
  <si>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</si>
  <si>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</si>
  <si>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</si>
  <si>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</si>
  <si>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</si>
  <si>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</si>
  <si>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</si>
  <si>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</si>
  <si>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</si>
  <si>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</si>
  <si>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</si>
  <si>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</si>
  <si>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</si>
  <si>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</si>
  <si>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</si>
  <si>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</si>
  <si>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</si>
  <si>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</si>
  <si>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</si>
  <si>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</si>
  <si>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</si>
  <si>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</si>
  <si>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</si>
  <si>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</si>
  <si>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</si>
  <si>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</si>
  <si>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</si>
  <si>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</si>
  <si>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</si>
  <si>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</si>
  <si>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</si>
  <si>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</si>
  <si>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</si>
  <si>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</si>
  <si>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</si>
  <si>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</si>
  <si>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</si>
  <si>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</si>
  <si>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</si>
  <si>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</si>
  <si>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</si>
  <si>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</si>
  <si>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</si>
  <si>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</si>
  <si>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</si>
  <si>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</si>
  <si>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</si>
  <si>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</si>
  <si>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</si>
  <si>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</si>
  <si>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</si>
  <si>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</si>
  <si>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</si>
  <si>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</si>
  <si>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</si>
  <si>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</si>
  <si>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</si>
  <si>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</si>
  <si>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</si>
  <si>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</si>
  <si>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</si>
  <si>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</si>
  <si>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</si>
  <si>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</si>
  <si>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</si>
  <si>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</si>
  <si>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</si>
  <si>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</si>
  <si>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</si>
  <si>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</si>
  <si>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</si>
  <si>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</si>
  <si>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</si>
  <si>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</si>
  <si>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</si>
  <si>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</si>
  <si>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</si>
  <si>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</si>
  <si>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</si>
  <si>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</si>
  <si>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</si>
  <si>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</si>
  <si>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</si>
  <si>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</si>
  <si>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</si>
  <si>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</si>
  <si>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</si>
  <si>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</si>
  <si>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</si>
  <si>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</si>
  <si>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</si>
  <si>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</si>
  <si>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</si>
  <si>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</si>
  <si>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</si>
  <si>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</si>
  <si>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</si>
  <si>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</si>
  <si>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</si>
  <si>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</si>
  <si>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</si>
  <si>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</si>
  <si>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</si>
  <si>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</si>
  <si>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</si>
  <si>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</si>
  <si>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</si>
  <si>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</si>
  <si>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</si>
  <si>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</si>
  <si>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</si>
  <si>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</si>
  <si>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</si>
  <si>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</si>
  <si>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</si>
  <si>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</si>
  <si>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</si>
  <si>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</si>
  <si>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</si>
  <si>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</si>
  <si>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</si>
  <si>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</si>
  <si>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</si>
  <si>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</si>
  <si>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</si>
  <si>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</si>
  <si>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</si>
  <si>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</si>
  <si>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</si>
  <si>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</si>
  <si>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</si>
  <si>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</si>
  <si>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</si>
  <si>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</si>
  <si>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</si>
  <si>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</si>
  <si>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</si>
  <si>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</si>
  <si>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</si>
  <si>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</si>
  <si>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</si>
  <si>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</si>
  <si>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</si>
  <si>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</si>
  <si>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</si>
  <si>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</si>
  <si>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</si>
  <si>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</si>
  <si>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</si>
  <si>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</si>
  <si>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</si>
  <si>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</si>
  <si>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</si>
  <si>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</si>
  <si>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</si>
  <si>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</si>
  <si>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</si>
  <si>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</si>
  <si>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</si>
  <si>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</si>
  <si>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</si>
  <si>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</si>
  <si>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</si>
  <si>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</si>
  <si>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</si>
  <si>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</si>
  <si>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</si>
  <si>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</si>
  <si>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</si>
  <si>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</si>
  <si>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</si>
  <si>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</si>
  <si>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</si>
  <si>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</si>
  <si>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</si>
  <si>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</si>
  <si>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</si>
  <si>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</si>
  <si>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</si>
  <si>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</si>
  <si>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</si>
  <si>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</si>
  <si>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</si>
  <si>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</si>
  <si>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</si>
  <si>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</si>
  <si>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</si>
  <si>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</si>
  <si>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</si>
  <si>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</si>
  <si>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</si>
  <si>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</si>
  <si>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</si>
  <si>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</si>
  <si>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</si>
  <si>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</si>
  <si>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</si>
  <si>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</si>
  <si>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</si>
  <si>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</si>
  <si>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</si>
  <si>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</si>
  <si>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</si>
  <si>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</si>
  <si>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</si>
  <si>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</si>
  <si>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</si>
  <si>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</si>
  <si>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</si>
  <si>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</si>
  <si>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</si>
  <si>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</si>
  <si>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</si>
  <si>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</si>
  <si>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</si>
  <si>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</si>
  <si>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</si>
  <si>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</si>
  <si>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</si>
  <si>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</si>
  <si>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</si>
  <si>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</si>
  <si>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</si>
  <si>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</si>
  <si>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</si>
  <si>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</si>
  <si>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</si>
  <si>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</si>
  <si>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</si>
  <si>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</si>
  <si>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</si>
  <si>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</si>
  <si>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</si>
  <si>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</si>
  <si>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</si>
  <si>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</si>
  <si>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</si>
  <si>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</si>
  <si>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</si>
  <si>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</si>
  <si>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</si>
  <si>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</si>
  <si>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</si>
  <si>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</si>
  <si>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</si>
  <si>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</si>
  <si>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</si>
  <si>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</si>
  <si>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</si>
  <si>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</si>
  <si>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</si>
  <si>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</si>
  <si>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</si>
  <si>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</si>
  <si>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</si>
  <si>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</si>
  <si>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</si>
  <si>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</si>
  <si>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</si>
  <si>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</si>
  <si>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</si>
  <si>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</si>
  <si>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</si>
  <si>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</si>
  <si>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</si>
  <si>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</si>
  <si>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</si>
  <si>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</si>
  <si>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</si>
  <si>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</si>
  <si>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</si>
  <si>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</si>
  <si>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</si>
  <si>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</si>
  <si>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</si>
  <si>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</si>
  <si>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</si>
  <si>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</si>
  <si>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</si>
  <si>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</si>
  <si>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</si>
  <si>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</si>
  <si>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</si>
  <si>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</si>
  <si>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</si>
  <si>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</si>
  <si>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</si>
  <si>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</si>
  <si>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</si>
  <si>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</si>
  <si>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</si>
  <si>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</si>
  <si>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</si>
  <si>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</si>
  <si>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</si>
  <si>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</si>
  <si>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</si>
  <si>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</si>
  <si>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</si>
  <si>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</si>
  <si>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</si>
  <si>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</si>
  <si>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</si>
  <si>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</si>
  <si>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</si>
  <si>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</si>
  <si>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</si>
  <si>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</si>
  <si>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</si>
  <si>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</si>
  <si>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</si>
  <si>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</si>
  <si>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</si>
  <si>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</si>
  <si>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</si>
  <si>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</si>
  <si>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</si>
  <si>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</si>
  <si>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</si>
  <si>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</si>
  <si>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</si>
  <si>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</si>
  <si>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</si>
  <si>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</si>
  <si>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</si>
  <si>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</si>
  <si>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</si>
  <si>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</si>
  <si>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</si>
  <si>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</si>
  <si>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</si>
  <si>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</si>
  <si>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</si>
  <si>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</si>
  <si>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</si>
  <si>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</si>
  <si>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</si>
  <si>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</si>
  <si>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</si>
  <si>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</si>
  <si>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</si>
  <si>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</si>
  <si>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</si>
  <si>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</si>
  <si>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</si>
  <si>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</si>
  <si>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</si>
  <si>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</si>
  <si>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</si>
  <si>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</si>
  <si>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</si>
  <si>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</si>
  <si>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</si>
  <si>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</si>
  <si>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</si>
  <si>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</si>
  <si>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</si>
  <si>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</si>
  <si>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</si>
  <si>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</si>
  <si>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</si>
  <si>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</si>
  <si>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</si>
  <si>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</si>
  <si>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</si>
  <si>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</si>
  <si>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</si>
  <si>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</si>
  <si>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</si>
  <si>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</si>
  <si>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</si>
  <si>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</si>
  <si>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</si>
  <si>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</si>
  <si>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</si>
  <si>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</si>
  <si>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</si>
  <si>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</si>
  <si>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</si>
  <si>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</si>
  <si>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</si>
  <si>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</si>
  <si>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</si>
  <si>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</si>
  <si>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</si>
  <si>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</si>
  <si>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</si>
  <si>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</si>
  <si>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</si>
  <si>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</si>
  <si>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</si>
  <si>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</si>
  <si>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</si>
  <si>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</si>
  <si>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</si>
  <si>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</si>
  <si>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</si>
  <si>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</si>
  <si>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</si>
  <si>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</si>
  <si>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</si>
  <si>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</si>
  <si>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</si>
  <si>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</si>
  <si>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</si>
  <si>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</si>
  <si>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</si>
  <si>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</si>
  <si>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</si>
  <si>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</si>
  <si>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</si>
  <si>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</si>
  <si>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</si>
  <si>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</si>
  <si>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</si>
  <si>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</si>
  <si>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</si>
  <si>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</si>
  <si>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</si>
  <si>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</si>
  <si>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</si>
  <si>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</si>
  <si>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</si>
  <si>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</si>
  <si>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</si>
  <si>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</si>
  <si>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</si>
  <si>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</si>
  <si>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</si>
  <si>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</si>
  <si>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</si>
  <si>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</si>
  <si>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</si>
  <si>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</si>
  <si>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</si>
  <si>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</si>
  <si>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</si>
  <si>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</si>
  <si>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</si>
  <si>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</si>
  <si>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</si>
  <si>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</si>
  <si>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</si>
  <si>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</si>
  <si>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</si>
  <si>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</si>
  <si>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</si>
  <si>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</si>
  <si>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</si>
  <si>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</si>
  <si>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</si>
  <si>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</si>
  <si>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</si>
  <si>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</si>
  <si>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</si>
  <si>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</si>
  <si>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</si>
  <si>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</si>
  <si>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</si>
  <si>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</si>
  <si>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</si>
  <si>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</si>
  <si>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</si>
  <si>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</si>
  <si>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</si>
  <si>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</si>
  <si>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</si>
  <si>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</si>
  <si>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</si>
  <si>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</si>
  <si>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</si>
  <si>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</si>
  <si>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</si>
  <si>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</si>
  <si>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</si>
  <si>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</si>
  <si>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</si>
  <si>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</si>
  <si>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</si>
  <si>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</si>
  <si>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</si>
  <si>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</si>
  <si>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</si>
  <si>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</si>
  <si>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</si>
  <si>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</si>
  <si>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</si>
  <si>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</si>
  <si>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</si>
  <si>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</si>
  <si>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</si>
  <si>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</si>
  <si>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</si>
  <si>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</si>
  <si>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</si>
  <si>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</si>
  <si>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</si>
  <si>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</si>
  <si>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</si>
  <si>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</si>
  <si>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</si>
  <si>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</si>
  <si>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</si>
  <si>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</si>
  <si>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</si>
  <si>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</si>
  <si>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</si>
  <si>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</si>
  <si>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</si>
  <si>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</si>
  <si>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</si>
  <si>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</si>
  <si>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</si>
  <si>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</si>
  <si>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</si>
  <si>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</si>
  <si>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</si>
  <si>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</si>
  <si>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</si>
  <si>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</si>
  <si>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</si>
  <si>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</si>
  <si>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</si>
  <si>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</si>
  <si>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</si>
  <si>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</si>
  <si>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</si>
  <si>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</si>
  <si>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</si>
  <si>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</si>
  <si>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</si>
  <si>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</si>
  <si>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</si>
  <si>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</si>
  <si>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</si>
  <si>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</si>
  <si>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</si>
  <si>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</si>
  <si>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</si>
  <si>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</si>
  <si>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</si>
  <si>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</si>
  <si>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</si>
  <si>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</si>
  <si>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</si>
  <si>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</si>
  <si>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</si>
  <si>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</si>
  <si>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</si>
  <si>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</si>
  <si>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</si>
  <si>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</si>
  <si>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</si>
  <si>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</si>
  <si>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</si>
  <si>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</si>
  <si>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</si>
  <si>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</si>
  <si>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</si>
  <si>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</si>
  <si>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</si>
  <si>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</si>
  <si>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</si>
  <si>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</si>
  <si>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</si>
  <si>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</si>
  <si>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</si>
  <si>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</si>
  <si>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</si>
  <si>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</si>
  <si>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</si>
  <si>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</si>
  <si>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</si>
  <si>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</si>
  <si>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</si>
  <si>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</si>
  <si>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</si>
  <si>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</si>
  <si>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</si>
  <si>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</si>
  <si>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</si>
  <si>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</si>
  <si>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</si>
  <si>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</si>
  <si>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</si>
  <si>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</si>
  <si>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</si>
  <si>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</si>
  <si>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</si>
  <si>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</si>
  <si>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</si>
  <si>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</si>
  <si>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</si>
  <si>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</si>
  <si>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</si>
  <si>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</si>
  <si>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</si>
  <si>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</si>
  <si>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</si>
  <si>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</si>
  <si>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</si>
  <si>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</si>
  <si>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</si>
  <si>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</si>
  <si>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</si>
  <si>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</si>
  <si>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</si>
  <si>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</si>
  <si>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</si>
  <si>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</si>
  <si>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</si>
  <si>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</si>
  <si>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</si>
  <si>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</si>
  <si>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</si>
  <si>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</si>
  <si>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</si>
  <si>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</si>
  <si>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</si>
  <si>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</si>
  <si>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</si>
  <si>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</si>
  <si>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</si>
  <si>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</si>
  <si>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</si>
  <si>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</si>
  <si>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</si>
  <si>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</si>
  <si>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</si>
  <si>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</si>
  <si>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</si>
  <si>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</si>
  <si>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</si>
  <si>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</si>
  <si>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</si>
  <si>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</si>
  <si>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</si>
  <si>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</si>
  <si>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</si>
  <si>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</si>
  <si>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</si>
  <si>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</si>
  <si>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</si>
  <si>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</si>
  <si>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</si>
  <si>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</si>
  <si>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</si>
  <si>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</si>
  <si>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</si>
  <si>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</si>
  <si>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</si>
  <si>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</si>
  <si>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</si>
  <si>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</si>
  <si>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</si>
  <si>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</si>
  <si>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</si>
  <si>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</si>
  <si>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</si>
  <si>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</si>
  <si>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</si>
  <si>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</si>
  <si>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</si>
  <si>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</si>
  <si>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</si>
  <si>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</si>
  <si>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</si>
  <si>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</si>
  <si>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</si>
  <si>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</si>
  <si>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</si>
  <si>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</si>
  <si>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</si>
  <si>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</si>
  <si>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</si>
  <si>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</si>
  <si>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</si>
  <si>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</si>
  <si>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</si>
  <si>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</si>
  <si>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</si>
  <si>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</si>
  <si>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</si>
  <si>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</si>
  <si>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</si>
  <si>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</si>
  <si>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</si>
  <si>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</si>
  <si>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</si>
  <si>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</si>
  <si>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</si>
  <si>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</si>
  <si>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</si>
  <si>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</si>
  <si>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</si>
  <si>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</si>
  <si>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</si>
  <si>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</si>
  <si>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</si>
  <si>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</si>
  <si>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</si>
  <si>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</si>
  <si>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</si>
  <si>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</si>
  <si>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</si>
  <si>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</si>
  <si>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</si>
  <si>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</si>
  <si>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</si>
  <si>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</si>
  <si>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</si>
  <si>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</si>
  <si>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</si>
  <si>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</si>
  <si>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</si>
  <si>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</si>
  <si>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34043</t>
  </si>
  <si>
    <t>SPIERE-HELKIJN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</si>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</sst>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177A9857-0F8C-4C7B-B0C5-575105B9A9BB}"/>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34043</v>
      </c>
      <c r="B6" s="384"/>
      <c r="C6" s="385"/>
    </row>
    <row r="7" spans="1:7" s="382" customFormat="1" ht="15.75" customHeight="1">
      <c r="A7" s="386" t="str">
        <f>txtMunicipality</f>
        <v>SPIERE-HELKIJN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2538.6417550400988</v>
      </c>
      <c r="D10" s="674">
        <f ca="1">tertiair!C16</f>
        <v>0</v>
      </c>
      <c r="E10" s="674">
        <f ca="1">tertiair!D16</f>
        <v>1033.8651917859161</v>
      </c>
      <c r="F10" s="674">
        <f>tertiair!E16</f>
        <v>23.704848682143837</v>
      </c>
      <c r="G10" s="674">
        <f ca="1">tertiair!F16</f>
        <v>508.40580488246894</v>
      </c>
      <c r="H10" s="674">
        <f>tertiair!G16</f>
        <v>0</v>
      </c>
      <c r="I10" s="674">
        <f>tertiair!H16</f>
        <v>0</v>
      </c>
      <c r="J10" s="674">
        <f>tertiair!I16</f>
        <v>0</v>
      </c>
      <c r="K10" s="674">
        <f>tertiair!J16</f>
        <v>0</v>
      </c>
      <c r="L10" s="674">
        <f>tertiair!K16</f>
        <v>0</v>
      </c>
      <c r="M10" s="674">
        <f ca="1">tertiair!L16</f>
        <v>0</v>
      </c>
      <c r="N10" s="674">
        <f>tertiair!M16</f>
        <v>0</v>
      </c>
      <c r="O10" s="674">
        <f ca="1">tertiair!N16</f>
        <v>271.1998098353107</v>
      </c>
      <c r="P10" s="674">
        <f>tertiair!O16</f>
        <v>0</v>
      </c>
      <c r="Q10" s="675">
        <f>tertiair!P16</f>
        <v>0</v>
      </c>
      <c r="R10" s="677">
        <f ca="1">SUM(C10:Q10)</f>
        <v>4375.8174102259381</v>
      </c>
      <c r="S10" s="68"/>
    </row>
    <row r="11" spans="1:19" s="443" customFormat="1">
      <c r="A11" s="789" t="s">
        <v>214</v>
      </c>
      <c r="B11" s="794"/>
      <c r="C11" s="674">
        <f>huishoudens!B8</f>
        <v>3883.476357450108</v>
      </c>
      <c r="D11" s="674">
        <f>huishoudens!C8</f>
        <v>0</v>
      </c>
      <c r="E11" s="674">
        <f>huishoudens!D8</f>
        <v>5348.409424013179</v>
      </c>
      <c r="F11" s="674">
        <f>huishoudens!E8</f>
        <v>264.19561410634674</v>
      </c>
      <c r="G11" s="674">
        <f>huishoudens!F8</f>
        <v>8054.5572360694132</v>
      </c>
      <c r="H11" s="674">
        <f>huishoudens!G8</f>
        <v>0</v>
      </c>
      <c r="I11" s="674">
        <f>huishoudens!H8</f>
        <v>0</v>
      </c>
      <c r="J11" s="674">
        <f>huishoudens!I8</f>
        <v>0</v>
      </c>
      <c r="K11" s="674">
        <f>huishoudens!J8</f>
        <v>146.14713447156623</v>
      </c>
      <c r="L11" s="674">
        <f>huishoudens!K8</f>
        <v>0</v>
      </c>
      <c r="M11" s="674">
        <f>huishoudens!L8</f>
        <v>0</v>
      </c>
      <c r="N11" s="674">
        <f>huishoudens!M8</f>
        <v>0</v>
      </c>
      <c r="O11" s="674">
        <f>huishoudens!N8</f>
        <v>1318.7176552703245</v>
      </c>
      <c r="P11" s="674">
        <f>huishoudens!O8</f>
        <v>7.8166666666666664</v>
      </c>
      <c r="Q11" s="675">
        <f>huishoudens!P8</f>
        <v>76.266666666666666</v>
      </c>
      <c r="R11" s="677">
        <f>SUM(C11:Q11)</f>
        <v>19099.58675471427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14579.342497338423</v>
      </c>
      <c r="D13" s="674">
        <f>industrie!C18</f>
        <v>0</v>
      </c>
      <c r="E13" s="674">
        <f>industrie!D18</f>
        <v>1131.1960992895806</v>
      </c>
      <c r="F13" s="674">
        <f>industrie!E18</f>
        <v>130.16205716609068</v>
      </c>
      <c r="G13" s="674">
        <f>industrie!F18</f>
        <v>2943.3709204592296</v>
      </c>
      <c r="H13" s="674">
        <f>industrie!G18</f>
        <v>0</v>
      </c>
      <c r="I13" s="674">
        <f>industrie!H18</f>
        <v>0</v>
      </c>
      <c r="J13" s="674">
        <f>industrie!I18</f>
        <v>0</v>
      </c>
      <c r="K13" s="674">
        <f>industrie!J18</f>
        <v>72.031912767389784</v>
      </c>
      <c r="L13" s="674">
        <f>industrie!K18</f>
        <v>0</v>
      </c>
      <c r="M13" s="674">
        <f>industrie!L18</f>
        <v>0</v>
      </c>
      <c r="N13" s="674">
        <f>industrie!M18</f>
        <v>0</v>
      </c>
      <c r="O13" s="674">
        <f>industrie!N18</f>
        <v>452.01846979854423</v>
      </c>
      <c r="P13" s="674">
        <f>industrie!O18</f>
        <v>0</v>
      </c>
      <c r="Q13" s="675">
        <f>industrie!P18</f>
        <v>0</v>
      </c>
      <c r="R13" s="677">
        <f>SUM(C13:Q13)</f>
        <v>19308.121956819261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21001.460609828631</v>
      </c>
      <c r="D16" s="707">
        <f t="shared" ref="D16:R16" ca="1" si="0">SUM(D9:D15)</f>
        <v>0</v>
      </c>
      <c r="E16" s="707">
        <f t="shared" ca="1" si="0"/>
        <v>7513.4707150886752</v>
      </c>
      <c r="F16" s="707">
        <f t="shared" si="0"/>
        <v>418.06251995458126</v>
      </c>
      <c r="G16" s="707">
        <f t="shared" ca="1" si="0"/>
        <v>11506.33396141111</v>
      </c>
      <c r="H16" s="707">
        <f t="shared" si="0"/>
        <v>0</v>
      </c>
      <c r="I16" s="707">
        <f t="shared" si="0"/>
        <v>0</v>
      </c>
      <c r="J16" s="707">
        <f t="shared" si="0"/>
        <v>0</v>
      </c>
      <c r="K16" s="707">
        <f t="shared" si="0"/>
        <v>218.179047238956</v>
      </c>
      <c r="L16" s="707">
        <f t="shared" si="0"/>
        <v>0</v>
      </c>
      <c r="M16" s="707">
        <f t="shared" ca="1" si="0"/>
        <v>0</v>
      </c>
      <c r="N16" s="707">
        <f t="shared" si="0"/>
        <v>0</v>
      </c>
      <c r="O16" s="707">
        <f t="shared" ca="1" si="0"/>
        <v>2041.9359349041792</v>
      </c>
      <c r="P16" s="707">
        <f t="shared" si="0"/>
        <v>7.8166666666666664</v>
      </c>
      <c r="Q16" s="707">
        <f t="shared" si="0"/>
        <v>76.266666666666666</v>
      </c>
      <c r="R16" s="707">
        <f t="shared" ca="1" si="0"/>
        <v>42783.526121759467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1.4359633118685464</v>
      </c>
      <c r="D19" s="674">
        <f>transport!C54</f>
        <v>0</v>
      </c>
      <c r="E19" s="674">
        <f>transport!D54</f>
        <v>0</v>
      </c>
      <c r="F19" s="674">
        <f>transport!E54</f>
        <v>0</v>
      </c>
      <c r="G19" s="674">
        <f>transport!F54</f>
        <v>0</v>
      </c>
      <c r="H19" s="674">
        <f>transport!G54</f>
        <v>286.40571364768812</v>
      </c>
      <c r="I19" s="674">
        <f>transport!H54</f>
        <v>0</v>
      </c>
      <c r="J19" s="674">
        <f>transport!I54</f>
        <v>0</v>
      </c>
      <c r="K19" s="674">
        <f>transport!J54</f>
        <v>0</v>
      </c>
      <c r="L19" s="674">
        <f>transport!K54</f>
        <v>0</v>
      </c>
      <c r="M19" s="674">
        <f>transport!L54</f>
        <v>0</v>
      </c>
      <c r="N19" s="674">
        <f>transport!M54</f>
        <v>12.658827504019834</v>
      </c>
      <c r="O19" s="674">
        <f>transport!N54</f>
        <v>0</v>
      </c>
      <c r="P19" s="674">
        <f>transport!O54</f>
        <v>0</v>
      </c>
      <c r="Q19" s="675">
        <f>transport!P54</f>
        <v>0</v>
      </c>
      <c r="R19" s="677">
        <f>SUM(C19:Q19)</f>
        <v>300.50050446357648</v>
      </c>
      <c r="S19" s="68"/>
    </row>
    <row r="20" spans="1:19" s="443" customFormat="1">
      <c r="A20" s="789" t="s">
        <v>296</v>
      </c>
      <c r="B20" s="794"/>
      <c r="C20" s="674">
        <f>transport!B14</f>
        <v>0.92206739988530029</v>
      </c>
      <c r="D20" s="674">
        <f>transport!C14</f>
        <v>0</v>
      </c>
      <c r="E20" s="674">
        <f>transport!D14</f>
        <v>1.0670372020031444</v>
      </c>
      <c r="F20" s="674">
        <f>transport!E14</f>
        <v>68.970865520926594</v>
      </c>
      <c r="G20" s="674">
        <f>transport!F14</f>
        <v>0</v>
      </c>
      <c r="H20" s="674">
        <f>transport!G14</f>
        <v>15830.857952689676</v>
      </c>
      <c r="I20" s="674">
        <f>transport!H14</f>
        <v>2594.5342267104284</v>
      </c>
      <c r="J20" s="674">
        <f>transport!I14</f>
        <v>0</v>
      </c>
      <c r="K20" s="674">
        <f>transport!J14</f>
        <v>0</v>
      </c>
      <c r="L20" s="674">
        <f>transport!K14</f>
        <v>0</v>
      </c>
      <c r="M20" s="674">
        <f>transport!L14</f>
        <v>0</v>
      </c>
      <c r="N20" s="674">
        <f>transport!M14</f>
        <v>823.24813367680906</v>
      </c>
      <c r="O20" s="674">
        <f>transport!N14</f>
        <v>0</v>
      </c>
      <c r="P20" s="674">
        <f>transport!O14</f>
        <v>0</v>
      </c>
      <c r="Q20" s="675">
        <f>transport!P14</f>
        <v>0</v>
      </c>
      <c r="R20" s="677">
        <f>SUM(C20:Q20)</f>
        <v>19319.600283199728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2.3580307117538468</v>
      </c>
      <c r="D22" s="792">
        <f t="shared" ref="D22:R22" si="1">SUM(D18:D21)</f>
        <v>0</v>
      </c>
      <c r="E22" s="792">
        <f t="shared" si="1"/>
        <v>1.0670372020031444</v>
      </c>
      <c r="F22" s="792">
        <f t="shared" si="1"/>
        <v>68.970865520926594</v>
      </c>
      <c r="G22" s="792">
        <f t="shared" si="1"/>
        <v>0</v>
      </c>
      <c r="H22" s="792">
        <f t="shared" si="1"/>
        <v>16117.263666337363</v>
      </c>
      <c r="I22" s="792">
        <f t="shared" si="1"/>
        <v>2594.5342267104284</v>
      </c>
      <c r="J22" s="792">
        <f t="shared" si="1"/>
        <v>0</v>
      </c>
      <c r="K22" s="792">
        <f t="shared" si="1"/>
        <v>0</v>
      </c>
      <c r="L22" s="792">
        <f t="shared" si="1"/>
        <v>0</v>
      </c>
      <c r="M22" s="792">
        <f t="shared" si="1"/>
        <v>0</v>
      </c>
      <c r="N22" s="792">
        <f t="shared" si="1"/>
        <v>835.90696118082894</v>
      </c>
      <c r="O22" s="792">
        <f t="shared" si="1"/>
        <v>0</v>
      </c>
      <c r="P22" s="792">
        <f t="shared" si="1"/>
        <v>0</v>
      </c>
      <c r="Q22" s="792">
        <f t="shared" si="1"/>
        <v>0</v>
      </c>
      <c r="R22" s="792">
        <f t="shared" si="1"/>
        <v>19620.100787663305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249.58090802650537</v>
      </c>
      <c r="D24" s="674">
        <f>+landbouw!C8</f>
        <v>0</v>
      </c>
      <c r="E24" s="674">
        <f>+landbouw!D8</f>
        <v>0</v>
      </c>
      <c r="F24" s="674">
        <f>+landbouw!E8</f>
        <v>2.3512193783035462</v>
      </c>
      <c r="G24" s="674">
        <f>+landbouw!F8</f>
        <v>814.46533151958067</v>
      </c>
      <c r="H24" s="674">
        <f>+landbouw!G8</f>
        <v>0</v>
      </c>
      <c r="I24" s="674">
        <f>+landbouw!H8</f>
        <v>0</v>
      </c>
      <c r="J24" s="674">
        <f>+landbouw!I8</f>
        <v>0</v>
      </c>
      <c r="K24" s="674">
        <f>+landbouw!J8</f>
        <v>30.874372284182165</v>
      </c>
      <c r="L24" s="674">
        <f>+landbouw!K8</f>
        <v>0</v>
      </c>
      <c r="M24" s="674">
        <f>+landbouw!L8</f>
        <v>0</v>
      </c>
      <c r="N24" s="674">
        <f>+landbouw!M8</f>
        <v>0</v>
      </c>
      <c r="O24" s="674">
        <f>+landbouw!N8</f>
        <v>0</v>
      </c>
      <c r="P24" s="674">
        <f>+landbouw!O8</f>
        <v>0</v>
      </c>
      <c r="Q24" s="675">
        <f>+landbouw!P8</f>
        <v>0</v>
      </c>
      <c r="R24" s="677">
        <f>SUM(C24:Q24)</f>
        <v>1097.2718312085717</v>
      </c>
      <c r="S24" s="68"/>
    </row>
    <row r="25" spans="1:19" s="443" customFormat="1" ht="15" thickBot="1">
      <c r="A25" s="811" t="s">
        <v>873</v>
      </c>
      <c r="B25" s="977"/>
      <c r="C25" s="978">
        <f>IF(Onbekend_ele_kWh="---",0,Onbekend_ele_kWh)/1000+IF(REST_rest_ele_kWh="---",0,REST_rest_ele_kWh)/1000</f>
        <v>59.411654297129502</v>
      </c>
      <c r="D25" s="978"/>
      <c r="E25" s="978">
        <f>IF(onbekend_gas_kWh="---",0,onbekend_gas_kWh)/1000+IF(REST_rest_gas_kWh="---",0,REST_rest_gas_kWh)/1000</f>
        <v>377.66160924841898</v>
      </c>
      <c r="F25" s="978"/>
      <c r="G25" s="978"/>
      <c r="H25" s="978"/>
      <c r="I25" s="978"/>
      <c r="J25" s="978"/>
      <c r="K25" s="978"/>
      <c r="L25" s="978"/>
      <c r="M25" s="978"/>
      <c r="N25" s="978"/>
      <c r="O25" s="978"/>
      <c r="P25" s="978"/>
      <c r="Q25" s="979"/>
      <c r="R25" s="677">
        <f>SUM(C25:Q25)</f>
        <v>437.07326354554846</v>
      </c>
      <c r="S25" s="68"/>
    </row>
    <row r="26" spans="1:19" s="443" customFormat="1" ht="15.75" thickBot="1">
      <c r="A26" s="680" t="s">
        <v>874</v>
      </c>
      <c r="B26" s="797"/>
      <c r="C26" s="792">
        <f>SUM(C24:C25)</f>
        <v>308.99256232363484</v>
      </c>
      <c r="D26" s="792">
        <f t="shared" ref="D26:R26" si="2">SUM(D24:D25)</f>
        <v>0</v>
      </c>
      <c r="E26" s="792">
        <f t="shared" si="2"/>
        <v>377.66160924841898</v>
      </c>
      <c r="F26" s="792">
        <f t="shared" si="2"/>
        <v>2.3512193783035462</v>
      </c>
      <c r="G26" s="792">
        <f t="shared" si="2"/>
        <v>814.46533151958067</v>
      </c>
      <c r="H26" s="792">
        <f t="shared" si="2"/>
        <v>0</v>
      </c>
      <c r="I26" s="792">
        <f t="shared" si="2"/>
        <v>0</v>
      </c>
      <c r="J26" s="792">
        <f t="shared" si="2"/>
        <v>0</v>
      </c>
      <c r="K26" s="792">
        <f t="shared" si="2"/>
        <v>30.874372284182165</v>
      </c>
      <c r="L26" s="792">
        <f t="shared" si="2"/>
        <v>0</v>
      </c>
      <c r="M26" s="792">
        <f t="shared" si="2"/>
        <v>0</v>
      </c>
      <c r="N26" s="792">
        <f t="shared" si="2"/>
        <v>0</v>
      </c>
      <c r="O26" s="792">
        <f t="shared" si="2"/>
        <v>0</v>
      </c>
      <c r="P26" s="792">
        <f t="shared" si="2"/>
        <v>0</v>
      </c>
      <c r="Q26" s="792">
        <f t="shared" si="2"/>
        <v>0</v>
      </c>
      <c r="R26" s="792">
        <f t="shared" si="2"/>
        <v>1534.3450947541201</v>
      </c>
      <c r="S26" s="68"/>
    </row>
    <row r="27" spans="1:19" s="443" customFormat="1" ht="17.25" thickTop="1" thickBot="1">
      <c r="A27" s="681" t="s">
        <v>109</v>
      </c>
      <c r="B27" s="784"/>
      <c r="C27" s="682">
        <f ca="1">C22+C16+C26</f>
        <v>21312.811202864021</v>
      </c>
      <c r="D27" s="682">
        <f t="shared" ref="D27:R27" ca="1" si="3">D22+D16+D26</f>
        <v>0</v>
      </c>
      <c r="E27" s="682">
        <f t="shared" ca="1" si="3"/>
        <v>7892.1993615390975</v>
      </c>
      <c r="F27" s="682">
        <f t="shared" si="3"/>
        <v>489.38460485381142</v>
      </c>
      <c r="G27" s="682">
        <f t="shared" ca="1" si="3"/>
        <v>12320.799292930691</v>
      </c>
      <c r="H27" s="682">
        <f t="shared" si="3"/>
        <v>16117.263666337363</v>
      </c>
      <c r="I27" s="682">
        <f t="shared" si="3"/>
        <v>2594.5342267104284</v>
      </c>
      <c r="J27" s="682">
        <f t="shared" si="3"/>
        <v>0</v>
      </c>
      <c r="K27" s="682">
        <f t="shared" si="3"/>
        <v>249.05341952313816</v>
      </c>
      <c r="L27" s="682">
        <f t="shared" si="3"/>
        <v>0</v>
      </c>
      <c r="M27" s="682">
        <f t="shared" ca="1" si="3"/>
        <v>0</v>
      </c>
      <c r="N27" s="682">
        <f t="shared" si="3"/>
        <v>835.90696118082894</v>
      </c>
      <c r="O27" s="682">
        <f t="shared" ca="1" si="3"/>
        <v>2041.9359349041792</v>
      </c>
      <c r="P27" s="682">
        <f t="shared" si="3"/>
        <v>7.8166666666666664</v>
      </c>
      <c r="Q27" s="682">
        <f t="shared" si="3"/>
        <v>76.266666666666666</v>
      </c>
      <c r="R27" s="682">
        <f t="shared" ca="1" si="3"/>
        <v>63937.972004176896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545.45657409899957</v>
      </c>
      <c r="D40" s="674">
        <f ca="1">tertiair!C20</f>
        <v>0</v>
      </c>
      <c r="E40" s="674">
        <f ca="1">tertiair!D20</f>
        <v>208.84076874075507</v>
      </c>
      <c r="F40" s="674">
        <f>tertiair!E20</f>
        <v>5.3810006508466515</v>
      </c>
      <c r="G40" s="674">
        <f ca="1">tertiair!F20</f>
        <v>135.74434990361922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895.42269339422046</v>
      </c>
    </row>
    <row r="41" spans="1:18">
      <c r="A41" s="802" t="s">
        <v>214</v>
      </c>
      <c r="B41" s="809"/>
      <c r="C41" s="674">
        <f ca="1">huishoudens!B12</f>
        <v>834.40985925788448</v>
      </c>
      <c r="D41" s="674">
        <f ca="1">huishoudens!C12</f>
        <v>0</v>
      </c>
      <c r="E41" s="674">
        <f>huishoudens!D12</f>
        <v>1080.3787036506621</v>
      </c>
      <c r="F41" s="674">
        <f>huishoudens!E12</f>
        <v>59.972404402140711</v>
      </c>
      <c r="G41" s="674">
        <f>huishoudens!F12</f>
        <v>2150.5667820305334</v>
      </c>
      <c r="H41" s="674">
        <f>huishoudens!G12</f>
        <v>0</v>
      </c>
      <c r="I41" s="674">
        <f>huishoudens!H12</f>
        <v>0</v>
      </c>
      <c r="J41" s="674">
        <f>huishoudens!I12</f>
        <v>0</v>
      </c>
      <c r="K41" s="674">
        <f>huishoudens!J12</f>
        <v>51.736085602934445</v>
      </c>
      <c r="L41" s="674">
        <f>huishoudens!K12</f>
        <v>0</v>
      </c>
      <c r="M41" s="674">
        <f>huishoudens!L12</f>
        <v>0</v>
      </c>
      <c r="N41" s="674">
        <f>huishoudens!M12</f>
        <v>0</v>
      </c>
      <c r="O41" s="674">
        <f>huishoudens!N12</f>
        <v>0</v>
      </c>
      <c r="P41" s="674">
        <f>huishoudens!O12</f>
        <v>0</v>
      </c>
      <c r="Q41" s="749">
        <f>huishoudens!P12</f>
        <v>0</v>
      </c>
      <c r="R41" s="830">
        <f t="shared" ca="1" si="4"/>
        <v>4177.0638349441551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3132.5405388239028</v>
      </c>
      <c r="D43" s="674">
        <f ca="1">industrie!C22</f>
        <v>0</v>
      </c>
      <c r="E43" s="674">
        <f>industrie!D22</f>
        <v>228.5016120564953</v>
      </c>
      <c r="F43" s="674">
        <f>industrie!E22</f>
        <v>29.546786976702585</v>
      </c>
      <c r="G43" s="674">
        <f>industrie!F22</f>
        <v>785.8800357626144</v>
      </c>
      <c r="H43" s="674">
        <f>industrie!G22</f>
        <v>0</v>
      </c>
      <c r="I43" s="674">
        <f>industrie!H22</f>
        <v>0</v>
      </c>
      <c r="J43" s="674">
        <f>industrie!I22</f>
        <v>0</v>
      </c>
      <c r="K43" s="674">
        <f>industrie!J22</f>
        <v>25.499297119655981</v>
      </c>
      <c r="L43" s="674">
        <f>industrie!K22</f>
        <v>0</v>
      </c>
      <c r="M43" s="674">
        <f>industrie!L22</f>
        <v>0</v>
      </c>
      <c r="N43" s="674">
        <f>industrie!M22</f>
        <v>0</v>
      </c>
      <c r="O43" s="674">
        <f>industrie!N22</f>
        <v>0</v>
      </c>
      <c r="P43" s="674">
        <f>industrie!O22</f>
        <v>0</v>
      </c>
      <c r="Q43" s="749">
        <f>industrie!P22</f>
        <v>0</v>
      </c>
      <c r="R43" s="829">
        <f t="shared" ca="1" si="4"/>
        <v>4201.9682707393713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4512.4069721807864</v>
      </c>
      <c r="D46" s="707">
        <f t="shared" ref="D46:Q46" ca="1" si="5">SUM(D39:D45)</f>
        <v>0</v>
      </c>
      <c r="E46" s="707">
        <f t="shared" ca="1" si="5"/>
        <v>1517.7210844479125</v>
      </c>
      <c r="F46" s="707">
        <f t="shared" si="5"/>
        <v>94.900192029689947</v>
      </c>
      <c r="G46" s="707">
        <f t="shared" ca="1" si="5"/>
        <v>3072.1911676967675</v>
      </c>
      <c r="H46" s="707">
        <f t="shared" si="5"/>
        <v>0</v>
      </c>
      <c r="I46" s="707">
        <f t="shared" si="5"/>
        <v>0</v>
      </c>
      <c r="J46" s="707">
        <f t="shared" si="5"/>
        <v>0</v>
      </c>
      <c r="K46" s="707">
        <f t="shared" si="5"/>
        <v>77.23538272259043</v>
      </c>
      <c r="L46" s="707">
        <f t="shared" si="5"/>
        <v>0</v>
      </c>
      <c r="M46" s="707">
        <f t="shared" ca="1" si="5"/>
        <v>0</v>
      </c>
      <c r="N46" s="707">
        <f t="shared" si="5"/>
        <v>0</v>
      </c>
      <c r="O46" s="707">
        <f t="shared" ca="1" si="5"/>
        <v>0</v>
      </c>
      <c r="P46" s="707">
        <f t="shared" si="5"/>
        <v>0</v>
      </c>
      <c r="Q46" s="707">
        <f t="shared" si="5"/>
        <v>0</v>
      </c>
      <c r="R46" s="707">
        <f ca="1">SUM(R39:R45)</f>
        <v>9274.4547990777464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0.30853334349702238</v>
      </c>
      <c r="D49" s="674">
        <f ca="1">transport!C58</f>
        <v>0</v>
      </c>
      <c r="E49" s="674">
        <f>transport!D58</f>
        <v>0</v>
      </c>
      <c r="F49" s="674">
        <f>transport!E58</f>
        <v>0</v>
      </c>
      <c r="G49" s="674">
        <f>transport!F58</f>
        <v>0</v>
      </c>
      <c r="H49" s="674">
        <f>transport!G58</f>
        <v>76.470325543932731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76.778858887429749</v>
      </c>
    </row>
    <row r="50" spans="1:18">
      <c r="A50" s="805" t="s">
        <v>296</v>
      </c>
      <c r="B50" s="815"/>
      <c r="C50" s="984">
        <f ca="1">transport!B18</f>
        <v>0.19811685679213289</v>
      </c>
      <c r="D50" s="984">
        <f>transport!C18</f>
        <v>0</v>
      </c>
      <c r="E50" s="984">
        <f>transport!D18</f>
        <v>0.21554151480463518</v>
      </c>
      <c r="F50" s="984">
        <f>transport!E18</f>
        <v>15.656386473250338</v>
      </c>
      <c r="G50" s="984">
        <f>transport!F18</f>
        <v>0</v>
      </c>
      <c r="H50" s="984">
        <f>transport!G18</f>
        <v>4226.8390733681435</v>
      </c>
      <c r="I50" s="984">
        <f>transport!H18</f>
        <v>646.03902245089671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4888.948140663887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0.50665020028915531</v>
      </c>
      <c r="D52" s="707">
        <f t="shared" ref="D52:Q52" ca="1" si="6">SUM(D48:D51)</f>
        <v>0</v>
      </c>
      <c r="E52" s="707">
        <f t="shared" si="6"/>
        <v>0.21554151480463518</v>
      </c>
      <c r="F52" s="707">
        <f t="shared" si="6"/>
        <v>15.656386473250338</v>
      </c>
      <c r="G52" s="707">
        <f t="shared" si="6"/>
        <v>0</v>
      </c>
      <c r="H52" s="707">
        <f t="shared" si="6"/>
        <v>4303.3093989120762</v>
      </c>
      <c r="I52" s="707">
        <f t="shared" si="6"/>
        <v>646.03902245089671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4965.726999551317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53.62534779961689</v>
      </c>
      <c r="D54" s="984">
        <f ca="1">+landbouw!C12</f>
        <v>0</v>
      </c>
      <c r="E54" s="984">
        <f>+landbouw!D12</f>
        <v>0</v>
      </c>
      <c r="F54" s="984">
        <f>+landbouw!E12</f>
        <v>0.53372679887490504</v>
      </c>
      <c r="G54" s="984">
        <f>+landbouw!F12</f>
        <v>217.46224351572806</v>
      </c>
      <c r="H54" s="984">
        <f>+landbouw!G12</f>
        <v>0</v>
      </c>
      <c r="I54" s="984">
        <f>+landbouw!H12</f>
        <v>0</v>
      </c>
      <c r="J54" s="984">
        <f>+landbouw!I12</f>
        <v>0</v>
      </c>
      <c r="K54" s="984">
        <f>+landbouw!J12</f>
        <v>10.929527788600486</v>
      </c>
      <c r="L54" s="984">
        <f>+landbouw!K12</f>
        <v>0</v>
      </c>
      <c r="M54" s="984">
        <f>+landbouw!L12</f>
        <v>0</v>
      </c>
      <c r="N54" s="984">
        <f>+landbouw!M12</f>
        <v>0</v>
      </c>
      <c r="O54" s="984">
        <f>+landbouw!N12</f>
        <v>0</v>
      </c>
      <c r="P54" s="984">
        <f>+landbouw!O12</f>
        <v>0</v>
      </c>
      <c r="Q54" s="985">
        <f>+landbouw!P12</f>
        <v>0</v>
      </c>
      <c r="R54" s="706">
        <f ca="1">SUM(C54:Q54)</f>
        <v>282.5508459028203</v>
      </c>
    </row>
    <row r="55" spans="1:18" ht="15" thickBot="1">
      <c r="A55" s="805" t="s">
        <v>873</v>
      </c>
      <c r="B55" s="815"/>
      <c r="C55" s="984">
        <f ca="1">C25*'EF ele_warmte'!B12</f>
        <v>12.765281808718415</v>
      </c>
      <c r="D55" s="984"/>
      <c r="E55" s="984">
        <f>E25*EF_CO2_aardgas</f>
        <v>76.287645068180638</v>
      </c>
      <c r="F55" s="984"/>
      <c r="G55" s="984"/>
      <c r="H55" s="984"/>
      <c r="I55" s="984"/>
      <c r="J55" s="984"/>
      <c r="K55" s="984"/>
      <c r="L55" s="984"/>
      <c r="M55" s="984"/>
      <c r="N55" s="984"/>
      <c r="O55" s="984"/>
      <c r="P55" s="984"/>
      <c r="Q55" s="985"/>
      <c r="R55" s="706">
        <f ca="1">SUM(C55:Q55)</f>
        <v>89.052926876899051</v>
      </c>
    </row>
    <row r="56" spans="1:18" ht="15.75" thickBot="1">
      <c r="A56" s="803" t="s">
        <v>874</v>
      </c>
      <c r="B56" s="816"/>
      <c r="C56" s="707">
        <f ca="1">SUM(C54:C55)</f>
        <v>66.390629608335303</v>
      </c>
      <c r="D56" s="707">
        <f t="shared" ref="D56:Q56" ca="1" si="7">SUM(D54:D55)</f>
        <v>0</v>
      </c>
      <c r="E56" s="707">
        <f t="shared" si="7"/>
        <v>76.287645068180638</v>
      </c>
      <c r="F56" s="707">
        <f t="shared" si="7"/>
        <v>0.53372679887490504</v>
      </c>
      <c r="G56" s="707">
        <f t="shared" si="7"/>
        <v>217.46224351572806</v>
      </c>
      <c r="H56" s="707">
        <f t="shared" si="7"/>
        <v>0</v>
      </c>
      <c r="I56" s="707">
        <f t="shared" si="7"/>
        <v>0</v>
      </c>
      <c r="J56" s="707">
        <f t="shared" si="7"/>
        <v>0</v>
      </c>
      <c r="K56" s="707">
        <f t="shared" si="7"/>
        <v>10.929527788600486</v>
      </c>
      <c r="L56" s="707">
        <f t="shared" si="7"/>
        <v>0</v>
      </c>
      <c r="M56" s="707">
        <f t="shared" si="7"/>
        <v>0</v>
      </c>
      <c r="N56" s="707">
        <f t="shared" si="7"/>
        <v>0</v>
      </c>
      <c r="O56" s="707">
        <f t="shared" si="7"/>
        <v>0</v>
      </c>
      <c r="P56" s="707">
        <f t="shared" si="7"/>
        <v>0</v>
      </c>
      <c r="Q56" s="708">
        <f t="shared" si="7"/>
        <v>0</v>
      </c>
      <c r="R56" s="709">
        <f ca="1">SUM(R54:R55)</f>
        <v>371.60377277971935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4579.3042519894107</v>
      </c>
      <c r="D61" s="715">
        <f t="shared" ref="D61:Q61" ca="1" si="8">D46+D52+D56</f>
        <v>0</v>
      </c>
      <c r="E61" s="715">
        <f t="shared" ca="1" si="8"/>
        <v>1594.2242710308979</v>
      </c>
      <c r="F61" s="715">
        <f t="shared" si="8"/>
        <v>111.09030530181519</v>
      </c>
      <c r="G61" s="715">
        <f t="shared" ca="1" si="8"/>
        <v>3289.6534112124955</v>
      </c>
      <c r="H61" s="715">
        <f t="shared" si="8"/>
        <v>4303.3093989120762</v>
      </c>
      <c r="I61" s="715">
        <f t="shared" si="8"/>
        <v>646.03902245089671</v>
      </c>
      <c r="J61" s="715">
        <f t="shared" si="8"/>
        <v>0</v>
      </c>
      <c r="K61" s="715">
        <f t="shared" si="8"/>
        <v>88.164910511190911</v>
      </c>
      <c r="L61" s="715">
        <f t="shared" si="8"/>
        <v>0</v>
      </c>
      <c r="M61" s="715">
        <f t="shared" ca="1" si="8"/>
        <v>0</v>
      </c>
      <c r="N61" s="715">
        <f t="shared" si="8"/>
        <v>0</v>
      </c>
      <c r="O61" s="715">
        <f t="shared" ca="1" si="8"/>
        <v>0</v>
      </c>
      <c r="P61" s="715">
        <f t="shared" si="8"/>
        <v>0</v>
      </c>
      <c r="Q61" s="715">
        <f t="shared" si="8"/>
        <v>0</v>
      </c>
      <c r="R61" s="715">
        <f ca="1">R46+R52+R56</f>
        <v>14611.785571408782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0.21486157824989519</v>
      </c>
      <c r="D63" s="759">
        <f t="shared" ca="1" si="9"/>
        <v>0</v>
      </c>
      <c r="E63" s="986">
        <f t="shared" ca="1" si="9"/>
        <v>0.20200000000000001</v>
      </c>
      <c r="F63" s="759">
        <f t="shared" si="9"/>
        <v>0.22700000000000001</v>
      </c>
      <c r="G63" s="759">
        <f t="shared" ca="1" si="9"/>
        <v>0.26700000000000007</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591.97748345491971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591.97748345491971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3883.476357450108</v>
      </c>
      <c r="C4" s="447">
        <f>huishoudens!C8</f>
        <v>0</v>
      </c>
      <c r="D4" s="447">
        <f>huishoudens!D8</f>
        <v>5348.409424013179</v>
      </c>
      <c r="E4" s="447">
        <f>huishoudens!E8</f>
        <v>264.19561410634674</v>
      </c>
      <c r="F4" s="447">
        <f>huishoudens!F8</f>
        <v>8054.5572360694132</v>
      </c>
      <c r="G4" s="447">
        <f>huishoudens!G8</f>
        <v>0</v>
      </c>
      <c r="H4" s="447">
        <f>huishoudens!H8</f>
        <v>0</v>
      </c>
      <c r="I4" s="447">
        <f>huishoudens!I8</f>
        <v>0</v>
      </c>
      <c r="J4" s="447">
        <f>huishoudens!J8</f>
        <v>146.14713447156623</v>
      </c>
      <c r="K4" s="447">
        <f>huishoudens!K8</f>
        <v>0</v>
      </c>
      <c r="L4" s="447">
        <f>huishoudens!L8</f>
        <v>0</v>
      </c>
      <c r="M4" s="447">
        <f>huishoudens!M8</f>
        <v>0</v>
      </c>
      <c r="N4" s="447">
        <f>huishoudens!N8</f>
        <v>1318.7176552703245</v>
      </c>
      <c r="O4" s="447">
        <f>huishoudens!O8</f>
        <v>7.8166666666666664</v>
      </c>
      <c r="P4" s="448">
        <f>huishoudens!P8</f>
        <v>76.266666666666666</v>
      </c>
      <c r="Q4" s="449">
        <f>SUM(B4:P4)</f>
        <v>19099.58675471427</v>
      </c>
    </row>
    <row r="5" spans="1:17">
      <c r="A5" s="446" t="s">
        <v>149</v>
      </c>
      <c r="B5" s="447">
        <f ca="1">tertiair!B16</f>
        <v>2344.5857550400988</v>
      </c>
      <c r="C5" s="447">
        <f ca="1">tertiair!C16</f>
        <v>0</v>
      </c>
      <c r="D5" s="447">
        <f ca="1">tertiair!D16</f>
        <v>1033.8651917859161</v>
      </c>
      <c r="E5" s="447">
        <f>tertiair!E16</f>
        <v>23.704848682143837</v>
      </c>
      <c r="F5" s="447">
        <f ca="1">tertiair!F16</f>
        <v>508.40580488246894</v>
      </c>
      <c r="G5" s="447">
        <f>tertiair!G16</f>
        <v>0</v>
      </c>
      <c r="H5" s="447">
        <f>tertiair!H16</f>
        <v>0</v>
      </c>
      <c r="I5" s="447">
        <f>tertiair!I16</f>
        <v>0</v>
      </c>
      <c r="J5" s="447">
        <f>tertiair!J16</f>
        <v>0</v>
      </c>
      <c r="K5" s="447">
        <f>tertiair!K16</f>
        <v>0</v>
      </c>
      <c r="L5" s="447">
        <f ca="1">tertiair!L16</f>
        <v>0</v>
      </c>
      <c r="M5" s="447">
        <f>tertiair!M16</f>
        <v>0</v>
      </c>
      <c r="N5" s="447">
        <f ca="1">tertiair!N16</f>
        <v>271.1998098353107</v>
      </c>
      <c r="O5" s="447">
        <f>tertiair!O16</f>
        <v>0</v>
      </c>
      <c r="P5" s="448">
        <f>tertiair!P16</f>
        <v>0</v>
      </c>
      <c r="Q5" s="446">
        <f t="shared" ref="Q5:Q14" ca="1" si="0">SUM(B5:P5)</f>
        <v>4181.7614102259386</v>
      </c>
    </row>
    <row r="6" spans="1:17">
      <c r="A6" s="446" t="s">
        <v>187</v>
      </c>
      <c r="B6" s="447">
        <f>'openbare verlichting'!B8</f>
        <v>194.05600000000001</v>
      </c>
      <c r="C6" s="447"/>
      <c r="D6" s="447"/>
      <c r="E6" s="447"/>
      <c r="F6" s="447"/>
      <c r="G6" s="447"/>
      <c r="H6" s="447"/>
      <c r="I6" s="447"/>
      <c r="J6" s="447"/>
      <c r="K6" s="447"/>
      <c r="L6" s="447"/>
      <c r="M6" s="447"/>
      <c r="N6" s="447"/>
      <c r="O6" s="447"/>
      <c r="P6" s="448"/>
      <c r="Q6" s="446">
        <f t="shared" si="0"/>
        <v>194.05600000000001</v>
      </c>
    </row>
    <row r="7" spans="1:17">
      <c r="A7" s="446" t="s">
        <v>105</v>
      </c>
      <c r="B7" s="447">
        <f>landbouw!B8</f>
        <v>249.58090802650537</v>
      </c>
      <c r="C7" s="447">
        <f>landbouw!C8</f>
        <v>0</v>
      </c>
      <c r="D7" s="447">
        <f>landbouw!D8</f>
        <v>0</v>
      </c>
      <c r="E7" s="447">
        <f>landbouw!E8</f>
        <v>2.3512193783035462</v>
      </c>
      <c r="F7" s="447">
        <f>landbouw!F8</f>
        <v>814.46533151958067</v>
      </c>
      <c r="G7" s="447">
        <f>landbouw!G8</f>
        <v>0</v>
      </c>
      <c r="H7" s="447">
        <f>landbouw!H8</f>
        <v>0</v>
      </c>
      <c r="I7" s="447">
        <f>landbouw!I8</f>
        <v>0</v>
      </c>
      <c r="J7" s="447">
        <f>landbouw!J8</f>
        <v>30.874372284182165</v>
      </c>
      <c r="K7" s="447">
        <f>landbouw!K8</f>
        <v>0</v>
      </c>
      <c r="L7" s="447">
        <f>landbouw!L8</f>
        <v>0</v>
      </c>
      <c r="M7" s="447">
        <f>landbouw!M8</f>
        <v>0</v>
      </c>
      <c r="N7" s="447">
        <f>landbouw!N8</f>
        <v>0</v>
      </c>
      <c r="O7" s="447">
        <f>landbouw!O8</f>
        <v>0</v>
      </c>
      <c r="P7" s="448">
        <f>landbouw!P8</f>
        <v>0</v>
      </c>
      <c r="Q7" s="446">
        <f t="shared" si="0"/>
        <v>1097.2718312085717</v>
      </c>
    </row>
    <row r="8" spans="1:17">
      <c r="A8" s="446" t="s">
        <v>665</v>
      </c>
      <c r="B8" s="447">
        <f>industrie!B18</f>
        <v>14579.342497338423</v>
      </c>
      <c r="C8" s="447">
        <f>industrie!C18</f>
        <v>0</v>
      </c>
      <c r="D8" s="447">
        <f>industrie!D18</f>
        <v>1131.1960992895806</v>
      </c>
      <c r="E8" s="447">
        <f>industrie!E18</f>
        <v>130.16205716609068</v>
      </c>
      <c r="F8" s="447">
        <f>industrie!F18</f>
        <v>2943.3709204592296</v>
      </c>
      <c r="G8" s="447">
        <f>industrie!G18</f>
        <v>0</v>
      </c>
      <c r="H8" s="447">
        <f>industrie!H18</f>
        <v>0</v>
      </c>
      <c r="I8" s="447">
        <f>industrie!I18</f>
        <v>0</v>
      </c>
      <c r="J8" s="447">
        <f>industrie!J18</f>
        <v>72.031912767389784</v>
      </c>
      <c r="K8" s="447">
        <f>industrie!K18</f>
        <v>0</v>
      </c>
      <c r="L8" s="447">
        <f>industrie!L18</f>
        <v>0</v>
      </c>
      <c r="M8" s="447">
        <f>industrie!M18</f>
        <v>0</v>
      </c>
      <c r="N8" s="447">
        <f>industrie!N18</f>
        <v>452.01846979854423</v>
      </c>
      <c r="O8" s="447">
        <f>industrie!O18</f>
        <v>0</v>
      </c>
      <c r="P8" s="448">
        <f>industrie!P18</f>
        <v>0</v>
      </c>
      <c r="Q8" s="446">
        <f t="shared" si="0"/>
        <v>19308.121956819261</v>
      </c>
    </row>
    <row r="9" spans="1:17" s="452" customFormat="1">
      <c r="A9" s="450" t="s">
        <v>562</v>
      </c>
      <c r="B9" s="451">
        <f>transport!B14</f>
        <v>0.92206739988530029</v>
      </c>
      <c r="C9" s="451">
        <f>transport!C14</f>
        <v>0</v>
      </c>
      <c r="D9" s="451">
        <f>transport!D14</f>
        <v>1.0670372020031444</v>
      </c>
      <c r="E9" s="451">
        <f>transport!E14</f>
        <v>68.970865520926594</v>
      </c>
      <c r="F9" s="451">
        <f>transport!F14</f>
        <v>0</v>
      </c>
      <c r="G9" s="451">
        <f>transport!G14</f>
        <v>15830.857952689676</v>
      </c>
      <c r="H9" s="451">
        <f>transport!H14</f>
        <v>2594.5342267104284</v>
      </c>
      <c r="I9" s="451">
        <f>transport!I14</f>
        <v>0</v>
      </c>
      <c r="J9" s="451">
        <f>transport!J14</f>
        <v>0</v>
      </c>
      <c r="K9" s="451">
        <f>transport!K14</f>
        <v>0</v>
      </c>
      <c r="L9" s="451">
        <f>transport!L14</f>
        <v>0</v>
      </c>
      <c r="M9" s="451">
        <f>transport!M14</f>
        <v>823.24813367680906</v>
      </c>
      <c r="N9" s="451">
        <f>transport!N14</f>
        <v>0</v>
      </c>
      <c r="O9" s="451">
        <f>transport!O14</f>
        <v>0</v>
      </c>
      <c r="P9" s="451">
        <f>transport!P14</f>
        <v>0</v>
      </c>
      <c r="Q9" s="450">
        <f>SUM(B9:P9)</f>
        <v>19319.600283199728</v>
      </c>
    </row>
    <row r="10" spans="1:17">
      <c r="A10" s="446" t="s">
        <v>552</v>
      </c>
      <c r="B10" s="447">
        <f>transport!B54</f>
        <v>1.4359633118685464</v>
      </c>
      <c r="C10" s="447">
        <f>transport!C54</f>
        <v>0</v>
      </c>
      <c r="D10" s="447">
        <f>transport!D54</f>
        <v>0</v>
      </c>
      <c r="E10" s="447">
        <f>transport!E54</f>
        <v>0</v>
      </c>
      <c r="F10" s="447">
        <f>transport!F54</f>
        <v>0</v>
      </c>
      <c r="G10" s="447">
        <f>transport!G54</f>
        <v>286.40571364768812</v>
      </c>
      <c r="H10" s="447">
        <f>transport!H54</f>
        <v>0</v>
      </c>
      <c r="I10" s="447">
        <f>transport!I54</f>
        <v>0</v>
      </c>
      <c r="J10" s="447">
        <f>transport!J54</f>
        <v>0</v>
      </c>
      <c r="K10" s="447">
        <f>transport!K54</f>
        <v>0</v>
      </c>
      <c r="L10" s="447">
        <f>transport!L54</f>
        <v>0</v>
      </c>
      <c r="M10" s="447">
        <f>transport!M54</f>
        <v>12.658827504019834</v>
      </c>
      <c r="N10" s="447">
        <f>transport!N54</f>
        <v>0</v>
      </c>
      <c r="O10" s="447">
        <f>transport!O54</f>
        <v>0</v>
      </c>
      <c r="P10" s="448">
        <f>transport!P54</f>
        <v>0</v>
      </c>
      <c r="Q10" s="446">
        <f t="shared" si="0"/>
        <v>300.50050446357648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59.411654297129502</v>
      </c>
      <c r="C14" s="454"/>
      <c r="D14" s="454">
        <f>'SEAP template'!E25</f>
        <v>377.66160924841898</v>
      </c>
      <c r="E14" s="454"/>
      <c r="F14" s="454"/>
      <c r="G14" s="454"/>
      <c r="H14" s="454"/>
      <c r="I14" s="454"/>
      <c r="J14" s="454"/>
      <c r="K14" s="454"/>
      <c r="L14" s="454"/>
      <c r="M14" s="454"/>
      <c r="N14" s="454"/>
      <c r="O14" s="454"/>
      <c r="P14" s="455"/>
      <c r="Q14" s="446">
        <f t="shared" si="0"/>
        <v>437.07326354554846</v>
      </c>
    </row>
    <row r="15" spans="1:17" s="459" customFormat="1">
      <c r="A15" s="456" t="s">
        <v>556</v>
      </c>
      <c r="B15" s="457">
        <f ca="1">SUM(B4:B14)</f>
        <v>21312.811202864017</v>
      </c>
      <c r="C15" s="457">
        <f t="shared" ref="C15:Q15" ca="1" si="1">SUM(C4:C14)</f>
        <v>0</v>
      </c>
      <c r="D15" s="457">
        <f t="shared" ca="1" si="1"/>
        <v>7892.1993615390975</v>
      </c>
      <c r="E15" s="457">
        <f t="shared" si="1"/>
        <v>489.38460485381142</v>
      </c>
      <c r="F15" s="457">
        <f t="shared" ca="1" si="1"/>
        <v>12320.799292930693</v>
      </c>
      <c r="G15" s="457">
        <f t="shared" si="1"/>
        <v>16117.263666337363</v>
      </c>
      <c r="H15" s="457">
        <f t="shared" si="1"/>
        <v>2594.5342267104284</v>
      </c>
      <c r="I15" s="457">
        <f t="shared" si="1"/>
        <v>0</v>
      </c>
      <c r="J15" s="457">
        <f t="shared" si="1"/>
        <v>249.05341952313819</v>
      </c>
      <c r="K15" s="457">
        <f t="shared" si="1"/>
        <v>0</v>
      </c>
      <c r="L15" s="457">
        <f t="shared" ca="1" si="1"/>
        <v>0</v>
      </c>
      <c r="M15" s="457">
        <f t="shared" si="1"/>
        <v>835.90696118082894</v>
      </c>
      <c r="N15" s="457">
        <f t="shared" ca="1" si="1"/>
        <v>2041.9359349041792</v>
      </c>
      <c r="O15" s="457">
        <f t="shared" si="1"/>
        <v>7.8166666666666664</v>
      </c>
      <c r="P15" s="457">
        <f t="shared" si="1"/>
        <v>76.266666666666666</v>
      </c>
      <c r="Q15" s="457">
        <f t="shared" ca="1" si="1"/>
        <v>63937.972004176903</v>
      </c>
    </row>
    <row r="17" spans="1:17">
      <c r="A17" s="460" t="s">
        <v>557</v>
      </c>
      <c r="B17" s="764">
        <f ca="1">huishoudens!B10</f>
        <v>0.21486157824989524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834.40985925788448</v>
      </c>
      <c r="C22" s="447">
        <f t="shared" ref="C22:C32" ca="1" si="3">C4*$C$17</f>
        <v>0</v>
      </c>
      <c r="D22" s="447">
        <f t="shared" ref="D22:D32" si="4">D4*$D$17</f>
        <v>1080.3787036506621</v>
      </c>
      <c r="E22" s="447">
        <f t="shared" ref="E22:E32" si="5">E4*$E$17</f>
        <v>59.972404402140711</v>
      </c>
      <c r="F22" s="447">
        <f t="shared" ref="F22:F32" si="6">F4*$F$17</f>
        <v>2150.5667820305334</v>
      </c>
      <c r="G22" s="447">
        <f t="shared" ref="G22:G32" si="7">G4*$G$17</f>
        <v>0</v>
      </c>
      <c r="H22" s="447">
        <f t="shared" ref="H22:H32" si="8">H4*$H$17</f>
        <v>0</v>
      </c>
      <c r="I22" s="447">
        <f t="shared" ref="I22:I32" si="9">I4*$I$17</f>
        <v>0</v>
      </c>
      <c r="J22" s="447">
        <f t="shared" ref="J22:J32" si="10">J4*$J$17</f>
        <v>51.736085602934445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4177.0638349441551</v>
      </c>
    </row>
    <row r="23" spans="1:17">
      <c r="A23" s="446" t="s">
        <v>149</v>
      </c>
      <c r="B23" s="447">
        <f t="shared" ca="1" si="2"/>
        <v>503.76139567013792</v>
      </c>
      <c r="C23" s="447">
        <f t="shared" ca="1" si="3"/>
        <v>0</v>
      </c>
      <c r="D23" s="447">
        <f t="shared" ca="1" si="4"/>
        <v>208.84076874075507</v>
      </c>
      <c r="E23" s="447">
        <f t="shared" si="5"/>
        <v>5.3810006508466515</v>
      </c>
      <c r="F23" s="447">
        <f t="shared" ca="1" si="6"/>
        <v>135.74434990361922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853.72751496535886</v>
      </c>
    </row>
    <row r="24" spans="1:17">
      <c r="A24" s="446" t="s">
        <v>187</v>
      </c>
      <c r="B24" s="447">
        <f t="shared" ca="1" si="2"/>
        <v>41.695178428861674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41.695178428861674</v>
      </c>
    </row>
    <row r="25" spans="1:17">
      <c r="A25" s="446" t="s">
        <v>105</v>
      </c>
      <c r="B25" s="447">
        <f t="shared" ca="1" si="2"/>
        <v>53.62534779961689</v>
      </c>
      <c r="C25" s="447">
        <f t="shared" ca="1" si="3"/>
        <v>0</v>
      </c>
      <c r="D25" s="447">
        <f t="shared" si="4"/>
        <v>0</v>
      </c>
      <c r="E25" s="447">
        <f t="shared" si="5"/>
        <v>0.53372679887490504</v>
      </c>
      <c r="F25" s="447">
        <f t="shared" si="6"/>
        <v>217.46224351572806</v>
      </c>
      <c r="G25" s="447">
        <f t="shared" si="7"/>
        <v>0</v>
      </c>
      <c r="H25" s="447">
        <f t="shared" si="8"/>
        <v>0</v>
      </c>
      <c r="I25" s="447">
        <f t="shared" si="9"/>
        <v>0</v>
      </c>
      <c r="J25" s="447">
        <f t="shared" si="10"/>
        <v>10.929527788600486</v>
      </c>
      <c r="K25" s="447">
        <f t="shared" si="11"/>
        <v>0</v>
      </c>
      <c r="L25" s="447">
        <f t="shared" si="12"/>
        <v>0</v>
      </c>
      <c r="M25" s="447">
        <f t="shared" si="13"/>
        <v>0</v>
      </c>
      <c r="N25" s="447">
        <f t="shared" si="14"/>
        <v>0</v>
      </c>
      <c r="O25" s="447">
        <f t="shared" si="15"/>
        <v>0</v>
      </c>
      <c r="P25" s="448">
        <f t="shared" si="16"/>
        <v>0</v>
      </c>
      <c r="Q25" s="446">
        <f t="shared" ca="1" si="17"/>
        <v>282.5508459028203</v>
      </c>
    </row>
    <row r="26" spans="1:17">
      <c r="A26" s="446" t="s">
        <v>665</v>
      </c>
      <c r="B26" s="447">
        <f t="shared" ca="1" si="2"/>
        <v>3132.5405388239028</v>
      </c>
      <c r="C26" s="447">
        <f t="shared" ca="1" si="3"/>
        <v>0</v>
      </c>
      <c r="D26" s="447">
        <f t="shared" si="4"/>
        <v>228.5016120564953</v>
      </c>
      <c r="E26" s="447">
        <f t="shared" si="5"/>
        <v>29.546786976702585</v>
      </c>
      <c r="F26" s="447">
        <f t="shared" si="6"/>
        <v>785.8800357626144</v>
      </c>
      <c r="G26" s="447">
        <f t="shared" si="7"/>
        <v>0</v>
      </c>
      <c r="H26" s="447">
        <f t="shared" si="8"/>
        <v>0</v>
      </c>
      <c r="I26" s="447">
        <f t="shared" si="9"/>
        <v>0</v>
      </c>
      <c r="J26" s="447">
        <f t="shared" si="10"/>
        <v>25.499297119655981</v>
      </c>
      <c r="K26" s="447">
        <f t="shared" si="11"/>
        <v>0</v>
      </c>
      <c r="L26" s="447">
        <f t="shared" si="12"/>
        <v>0</v>
      </c>
      <c r="M26" s="447">
        <f t="shared" si="13"/>
        <v>0</v>
      </c>
      <c r="N26" s="447">
        <f t="shared" si="14"/>
        <v>0</v>
      </c>
      <c r="O26" s="447">
        <f t="shared" si="15"/>
        <v>0</v>
      </c>
      <c r="P26" s="448">
        <f t="shared" si="16"/>
        <v>0</v>
      </c>
      <c r="Q26" s="446">
        <f t="shared" ca="1" si="17"/>
        <v>4201.9682707393713</v>
      </c>
    </row>
    <row r="27" spans="1:17" s="452" customFormat="1">
      <c r="A27" s="450" t="s">
        <v>562</v>
      </c>
      <c r="B27" s="758">
        <f t="shared" ca="1" si="2"/>
        <v>0.19811685679213289</v>
      </c>
      <c r="C27" s="451">
        <f t="shared" ca="1" si="3"/>
        <v>0</v>
      </c>
      <c r="D27" s="451">
        <f t="shared" si="4"/>
        <v>0.21554151480463518</v>
      </c>
      <c r="E27" s="451">
        <f t="shared" si="5"/>
        <v>15.656386473250338</v>
      </c>
      <c r="F27" s="451">
        <f t="shared" si="6"/>
        <v>0</v>
      </c>
      <c r="G27" s="451">
        <f t="shared" si="7"/>
        <v>4226.8390733681435</v>
      </c>
      <c r="H27" s="451">
        <f t="shared" si="8"/>
        <v>646.03902245089671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4888.948140663887</v>
      </c>
    </row>
    <row r="28" spans="1:17">
      <c r="A28" s="446" t="s">
        <v>552</v>
      </c>
      <c r="B28" s="447">
        <f t="shared" ca="1" si="2"/>
        <v>0.30853334349702238</v>
      </c>
      <c r="C28" s="447">
        <f t="shared" ca="1" si="3"/>
        <v>0</v>
      </c>
      <c r="D28" s="447">
        <f t="shared" si="4"/>
        <v>0</v>
      </c>
      <c r="E28" s="447">
        <f t="shared" si="5"/>
        <v>0</v>
      </c>
      <c r="F28" s="447">
        <f t="shared" si="6"/>
        <v>0</v>
      </c>
      <c r="G28" s="447">
        <f t="shared" si="7"/>
        <v>76.470325543932731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76.778858887429749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12.765281808718415</v>
      </c>
      <c r="C32" s="447">
        <f t="shared" ca="1" si="3"/>
        <v>0</v>
      </c>
      <c r="D32" s="447">
        <f t="shared" si="4"/>
        <v>76.287645068180638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89.052926876899051</v>
      </c>
    </row>
    <row r="33" spans="1:17" s="459" customFormat="1">
      <c r="A33" s="456" t="s">
        <v>556</v>
      </c>
      <c r="B33" s="457">
        <f ca="1">SUM(B22:B32)</f>
        <v>4579.3042519894116</v>
      </c>
      <c r="C33" s="457">
        <f t="shared" ref="C33:Q33" ca="1" si="18">SUM(C22:C32)</f>
        <v>0</v>
      </c>
      <c r="D33" s="457">
        <f t="shared" ca="1" si="18"/>
        <v>1594.2242710308979</v>
      </c>
      <c r="E33" s="457">
        <f t="shared" si="18"/>
        <v>111.09030530181519</v>
      </c>
      <c r="F33" s="457">
        <f t="shared" ca="1" si="18"/>
        <v>3289.6534112124955</v>
      </c>
      <c r="G33" s="457">
        <f t="shared" si="18"/>
        <v>4303.3093989120762</v>
      </c>
      <c r="H33" s="457">
        <f t="shared" si="18"/>
        <v>646.03902245089671</v>
      </c>
      <c r="I33" s="457">
        <f t="shared" si="18"/>
        <v>0</v>
      </c>
      <c r="J33" s="457">
        <f t="shared" si="18"/>
        <v>88.164910511190911</v>
      </c>
      <c r="K33" s="457">
        <f t="shared" si="18"/>
        <v>0</v>
      </c>
      <c r="L33" s="457">
        <f t="shared" ca="1" si="18"/>
        <v>0</v>
      </c>
      <c r="M33" s="457">
        <f t="shared" si="18"/>
        <v>0</v>
      </c>
      <c r="N33" s="457">
        <f t="shared" ca="1" si="18"/>
        <v>0</v>
      </c>
      <c r="O33" s="457">
        <f t="shared" si="18"/>
        <v>0</v>
      </c>
      <c r="P33" s="457">
        <f t="shared" si="18"/>
        <v>0</v>
      </c>
      <c r="Q33" s="457">
        <f t="shared" ca="1" si="18"/>
        <v>14611.785571408784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591.97748345491971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591.97748345491971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0.21486157824989524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0.21486157824989524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0.21486157824989524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0.21486157824989524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872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765</v>
      </c>
      <c r="C14" s="327"/>
      <c r="D14" s="327"/>
      <c r="E14" s="327"/>
      <c r="F14" s="327"/>
    </row>
    <row r="15" spans="1:6">
      <c r="A15" s="1293" t="s">
        <v>177</v>
      </c>
      <c r="B15" s="1294">
        <v>2</v>
      </c>
      <c r="C15" s="327"/>
      <c r="D15" s="327"/>
      <c r="E15" s="327"/>
      <c r="F15" s="327"/>
    </row>
    <row r="16" spans="1:6">
      <c r="A16" s="1293" t="s">
        <v>6</v>
      </c>
      <c r="B16" s="1294">
        <v>0</v>
      </c>
      <c r="C16" s="327"/>
      <c r="D16" s="327"/>
      <c r="E16" s="327"/>
      <c r="F16" s="327"/>
    </row>
    <row r="17" spans="1:6">
      <c r="A17" s="1293" t="s">
        <v>7</v>
      </c>
      <c r="B17" s="1294">
        <v>138</v>
      </c>
      <c r="C17" s="327"/>
      <c r="D17" s="327"/>
      <c r="E17" s="327"/>
      <c r="F17" s="327"/>
    </row>
    <row r="18" spans="1:6">
      <c r="A18" s="1293" t="s">
        <v>8</v>
      </c>
      <c r="B18" s="1294">
        <v>140</v>
      </c>
      <c r="C18" s="327"/>
      <c r="D18" s="327"/>
      <c r="E18" s="327"/>
      <c r="F18" s="327"/>
    </row>
    <row r="19" spans="1:6">
      <c r="A19" s="1293" t="s">
        <v>9</v>
      </c>
      <c r="B19" s="1294">
        <v>112</v>
      </c>
      <c r="C19" s="327"/>
      <c r="D19" s="327"/>
      <c r="E19" s="327"/>
      <c r="F19" s="327"/>
    </row>
    <row r="20" spans="1:6">
      <c r="A20" s="1293" t="s">
        <v>10</v>
      </c>
      <c r="B20" s="1294">
        <v>43</v>
      </c>
      <c r="C20" s="327"/>
      <c r="D20" s="327"/>
      <c r="E20" s="327"/>
      <c r="F20" s="327"/>
    </row>
    <row r="21" spans="1:6">
      <c r="A21" s="1293" t="s">
        <v>11</v>
      </c>
      <c r="B21" s="1294">
        <v>588</v>
      </c>
      <c r="C21" s="327"/>
      <c r="D21" s="327"/>
      <c r="E21" s="327"/>
      <c r="F21" s="327"/>
    </row>
    <row r="22" spans="1:6">
      <c r="A22" s="1293" t="s">
        <v>12</v>
      </c>
      <c r="B22" s="1294">
        <v>1765</v>
      </c>
      <c r="C22" s="327"/>
      <c r="D22" s="327"/>
      <c r="E22" s="327"/>
      <c r="F22" s="327"/>
    </row>
    <row r="23" spans="1:6">
      <c r="A23" s="1293" t="s">
        <v>13</v>
      </c>
      <c r="B23" s="1294">
        <v>24</v>
      </c>
      <c r="C23" s="327"/>
      <c r="D23" s="327"/>
      <c r="E23" s="327"/>
      <c r="F23" s="327"/>
    </row>
    <row r="24" spans="1:6">
      <c r="A24" s="1293" t="s">
        <v>14</v>
      </c>
      <c r="B24" s="1294">
        <v>6</v>
      </c>
      <c r="C24" s="327"/>
      <c r="D24" s="327"/>
      <c r="E24" s="327"/>
      <c r="F24" s="327"/>
    </row>
    <row r="25" spans="1:6">
      <c r="A25" s="1293" t="s">
        <v>15</v>
      </c>
      <c r="B25" s="1294">
        <v>257</v>
      </c>
      <c r="C25" s="327"/>
      <c r="D25" s="327"/>
      <c r="E25" s="327"/>
      <c r="F25" s="327"/>
    </row>
    <row r="26" spans="1:6">
      <c r="A26" s="1293" t="s">
        <v>16</v>
      </c>
      <c r="B26" s="1294">
        <v>39</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49</v>
      </c>
      <c r="C29" s="327"/>
      <c r="D29" s="327"/>
      <c r="E29" s="327"/>
      <c r="F29" s="327"/>
    </row>
    <row r="30" spans="1:6">
      <c r="A30" s="1288" t="s">
        <v>956</v>
      </c>
      <c r="B30" s="1296">
        <v>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0</v>
      </c>
      <c r="E38" s="1294">
        <v>2</v>
      </c>
      <c r="F38" s="1294">
        <v>1086.2844878307001</v>
      </c>
    </row>
    <row r="39" spans="1:6">
      <c r="A39" s="1293" t="s">
        <v>29</v>
      </c>
      <c r="B39" s="1293" t="s">
        <v>30</v>
      </c>
      <c r="C39" s="1294">
        <v>379</v>
      </c>
      <c r="D39" s="1294">
        <v>5929500.47008113</v>
      </c>
      <c r="E39" s="1294">
        <v>828</v>
      </c>
      <c r="F39" s="1294">
        <v>3672445.8691762099</v>
      </c>
    </row>
    <row r="40" spans="1:6">
      <c r="A40" s="1293" t="s">
        <v>29</v>
      </c>
      <c r="B40" s="1293" t="s">
        <v>28</v>
      </c>
      <c r="C40" s="1294">
        <v>0</v>
      </c>
      <c r="D40" s="1294">
        <v>0</v>
      </c>
      <c r="E40" s="1294">
        <v>0</v>
      </c>
      <c r="F40" s="1294">
        <v>0</v>
      </c>
    </row>
    <row r="41" spans="1:6">
      <c r="A41" s="1293" t="s">
        <v>31</v>
      </c>
      <c r="B41" s="1293" t="s">
        <v>32</v>
      </c>
      <c r="C41" s="1294">
        <v>0</v>
      </c>
      <c r="D41" s="1294">
        <v>0</v>
      </c>
      <c r="E41" s="1294">
        <v>10</v>
      </c>
      <c r="F41" s="1294">
        <v>145015.87814544301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8</v>
      </c>
      <c r="D48" s="1294">
        <v>1254097.67105275</v>
      </c>
      <c r="E48" s="1294">
        <v>23</v>
      </c>
      <c r="F48" s="1294">
        <v>14321192.1204629</v>
      </c>
    </row>
    <row r="49" spans="1:6">
      <c r="A49" s="1293" t="s">
        <v>31</v>
      </c>
      <c r="B49" s="1293" t="s">
        <v>39</v>
      </c>
      <c r="C49" s="1294">
        <v>0</v>
      </c>
      <c r="D49" s="1294">
        <v>0</v>
      </c>
      <c r="E49" s="1294">
        <v>4</v>
      </c>
      <c r="F49" s="1294">
        <v>60158.231050406503</v>
      </c>
    </row>
    <row r="50" spans="1:6">
      <c r="A50" s="1293" t="s">
        <v>31</v>
      </c>
      <c r="B50" s="1293" t="s">
        <v>40</v>
      </c>
      <c r="C50" s="1294">
        <v>0</v>
      </c>
      <c r="D50" s="1294">
        <v>0</v>
      </c>
      <c r="E50" s="1294">
        <v>3</v>
      </c>
      <c r="F50" s="1294">
        <v>52976.267679673503</v>
      </c>
    </row>
    <row r="51" spans="1:6">
      <c r="A51" s="1293" t="s">
        <v>41</v>
      </c>
      <c r="B51" s="1293" t="s">
        <v>42</v>
      </c>
      <c r="C51" s="1294">
        <v>0</v>
      </c>
      <c r="D51" s="1294">
        <v>0</v>
      </c>
      <c r="E51" s="1294">
        <v>16</v>
      </c>
      <c r="F51" s="1294">
        <v>202404.28304595899</v>
      </c>
    </row>
    <row r="52" spans="1:6">
      <c r="A52" s="1293" t="s">
        <v>41</v>
      </c>
      <c r="B52" s="1293" t="s">
        <v>28</v>
      </c>
      <c r="C52" s="1294">
        <v>0</v>
      </c>
      <c r="D52" s="1294">
        <v>0</v>
      </c>
      <c r="E52" s="1294">
        <v>6</v>
      </c>
      <c r="F52" s="1294">
        <v>47176.624980546403</v>
      </c>
    </row>
    <row r="53" spans="1:6">
      <c r="A53" s="1293" t="s">
        <v>43</v>
      </c>
      <c r="B53" s="1293" t="s">
        <v>44</v>
      </c>
      <c r="C53" s="1294">
        <v>9</v>
      </c>
      <c r="D53" s="1294">
        <v>377661.609248419</v>
      </c>
      <c r="E53" s="1294">
        <v>19</v>
      </c>
      <c r="F53" s="1294">
        <v>59411.654297129498</v>
      </c>
    </row>
    <row r="54" spans="1:6">
      <c r="A54" s="1293" t="s">
        <v>45</v>
      </c>
      <c r="B54" s="1293" t="s">
        <v>46</v>
      </c>
      <c r="C54" s="1294">
        <v>0</v>
      </c>
      <c r="D54" s="1294">
        <v>0</v>
      </c>
      <c r="E54" s="1294">
        <v>1</v>
      </c>
      <c r="F54" s="1294">
        <v>194056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19</v>
      </c>
      <c r="F57" s="1294">
        <v>353581.86254224298</v>
      </c>
    </row>
    <row r="58" spans="1:6">
      <c r="A58" s="1293" t="s">
        <v>48</v>
      </c>
      <c r="B58" s="1293" t="s">
        <v>50</v>
      </c>
      <c r="C58" s="1294">
        <v>0</v>
      </c>
      <c r="D58" s="1294">
        <v>0</v>
      </c>
      <c r="E58" s="1294">
        <v>0</v>
      </c>
      <c r="F58" s="1294">
        <v>0</v>
      </c>
    </row>
    <row r="59" spans="1:6">
      <c r="A59" s="1293" t="s">
        <v>48</v>
      </c>
      <c r="B59" s="1293" t="s">
        <v>51</v>
      </c>
      <c r="C59" s="1294">
        <v>0</v>
      </c>
      <c r="D59" s="1294">
        <v>0</v>
      </c>
      <c r="E59" s="1294">
        <v>24</v>
      </c>
      <c r="F59" s="1294">
        <v>609239.11374357902</v>
      </c>
    </row>
    <row r="60" spans="1:6">
      <c r="A60" s="1293" t="s">
        <v>48</v>
      </c>
      <c r="B60" s="1293" t="s">
        <v>52</v>
      </c>
      <c r="C60" s="1294">
        <v>6</v>
      </c>
      <c r="D60" s="1294">
        <v>196342.66304850599</v>
      </c>
      <c r="E60" s="1294">
        <v>11</v>
      </c>
      <c r="F60" s="1294">
        <v>169948.327170131</v>
      </c>
    </row>
    <row r="61" spans="1:6">
      <c r="A61" s="1293" t="s">
        <v>48</v>
      </c>
      <c r="B61" s="1293" t="s">
        <v>53</v>
      </c>
      <c r="C61" s="1294">
        <v>8</v>
      </c>
      <c r="D61" s="1294">
        <v>110208.590549926</v>
      </c>
      <c r="E61" s="1294">
        <v>24</v>
      </c>
      <c r="F61" s="1294">
        <v>165194.07667665399</v>
      </c>
    </row>
    <row r="62" spans="1:6">
      <c r="A62" s="1293" t="s">
        <v>48</v>
      </c>
      <c r="B62" s="1293" t="s">
        <v>54</v>
      </c>
      <c r="C62" s="1294">
        <v>0</v>
      </c>
      <c r="D62" s="1294">
        <v>0</v>
      </c>
      <c r="E62" s="1294">
        <v>3</v>
      </c>
      <c r="F62" s="1294">
        <v>75026.467291392604</v>
      </c>
    </row>
    <row r="63" spans="1:6">
      <c r="A63" s="1293" t="s">
        <v>48</v>
      </c>
      <c r="B63" s="1293" t="s">
        <v>28</v>
      </c>
      <c r="C63" s="1294">
        <v>21</v>
      </c>
      <c r="D63" s="1294">
        <v>839640.75503340398</v>
      </c>
      <c r="E63" s="1294">
        <v>52</v>
      </c>
      <c r="F63" s="1294">
        <v>971595.90761609899</v>
      </c>
    </row>
    <row r="64" spans="1:6">
      <c r="A64" s="1293" t="s">
        <v>55</v>
      </c>
      <c r="B64" s="1293" t="s">
        <v>56</v>
      </c>
      <c r="C64" s="1294">
        <v>0</v>
      </c>
      <c r="D64" s="1294">
        <v>0</v>
      </c>
      <c r="E64" s="1294">
        <v>0</v>
      </c>
      <c r="F64" s="1294">
        <v>0</v>
      </c>
    </row>
    <row r="65" spans="1:6">
      <c r="A65" s="1293" t="s">
        <v>55</v>
      </c>
      <c r="B65" s="1293" t="s">
        <v>28</v>
      </c>
      <c r="C65" s="1294">
        <v>1</v>
      </c>
      <c r="D65" s="1294">
        <v>42423.175589360799</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5</v>
      </c>
      <c r="F68" s="1296">
        <v>58057.118551092099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21838817</v>
      </c>
      <c r="E73" s="445"/>
      <c r="F73" s="327"/>
    </row>
    <row r="74" spans="1:6">
      <c r="A74" s="1293" t="s">
        <v>63</v>
      </c>
      <c r="B74" s="1293" t="s">
        <v>749</v>
      </c>
      <c r="C74" s="1306" t="s">
        <v>743</v>
      </c>
      <c r="D74" s="1294">
        <v>1895155.2312798137</v>
      </c>
      <c r="E74" s="445"/>
      <c r="F74" s="327"/>
    </row>
    <row r="75" spans="1:6">
      <c r="A75" s="1293" t="s">
        <v>64</v>
      </c>
      <c r="B75" s="1293" t="s">
        <v>748</v>
      </c>
      <c r="C75" s="1306" t="s">
        <v>744</v>
      </c>
      <c r="D75" s="1294">
        <v>968766</v>
      </c>
      <c r="E75" s="445"/>
      <c r="F75" s="327"/>
    </row>
    <row r="76" spans="1:6">
      <c r="A76" s="1293" t="s">
        <v>64</v>
      </c>
      <c r="B76" s="1293" t="s">
        <v>749</v>
      </c>
      <c r="C76" s="1306" t="s">
        <v>745</v>
      </c>
      <c r="D76" s="1294">
        <v>4309.1000000000004</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79111.537440372529</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211.03048827389827</v>
      </c>
      <c r="C91" s="327"/>
      <c r="D91" s="327"/>
      <c r="E91" s="327"/>
      <c r="F91" s="327"/>
    </row>
    <row r="92" spans="1:6">
      <c r="A92" s="1288" t="s">
        <v>68</v>
      </c>
      <c r="B92" s="1289">
        <v>380.94699518102141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110</v>
      </c>
      <c r="C97" s="327"/>
      <c r="D97" s="327"/>
      <c r="E97" s="327"/>
      <c r="F97" s="327"/>
    </row>
    <row r="98" spans="1:6">
      <c r="A98" s="1293" t="s">
        <v>71</v>
      </c>
      <c r="B98" s="1294">
        <v>0</v>
      </c>
      <c r="C98" s="327"/>
      <c r="D98" s="327"/>
      <c r="E98" s="327"/>
      <c r="F98" s="327"/>
    </row>
    <row r="99" spans="1:6">
      <c r="A99" s="1293" t="s">
        <v>72</v>
      </c>
      <c r="B99" s="1294">
        <v>20</v>
      </c>
      <c r="C99" s="327"/>
      <c r="D99" s="327"/>
      <c r="E99" s="327"/>
      <c r="F99" s="327"/>
    </row>
    <row r="100" spans="1:6">
      <c r="A100" s="1293" t="s">
        <v>73</v>
      </c>
      <c r="B100" s="1294">
        <v>71</v>
      </c>
      <c r="C100" s="327"/>
      <c r="D100" s="327"/>
      <c r="E100" s="327"/>
      <c r="F100" s="327"/>
    </row>
    <row r="101" spans="1:6">
      <c r="A101" s="1293" t="s">
        <v>74</v>
      </c>
      <c r="B101" s="1294">
        <v>18</v>
      </c>
      <c r="C101" s="327"/>
      <c r="D101" s="327"/>
      <c r="E101" s="327"/>
      <c r="F101" s="327"/>
    </row>
    <row r="102" spans="1:6">
      <c r="A102" s="1293" t="s">
        <v>75</v>
      </c>
      <c r="B102" s="1294">
        <v>11</v>
      </c>
      <c r="C102" s="327"/>
      <c r="D102" s="327"/>
      <c r="E102" s="327"/>
      <c r="F102" s="327"/>
    </row>
    <row r="103" spans="1:6">
      <c r="A103" s="1293" t="s">
        <v>76</v>
      </c>
      <c r="B103" s="1294">
        <v>62</v>
      </c>
      <c r="C103" s="327"/>
      <c r="D103" s="327"/>
      <c r="E103" s="327"/>
      <c r="F103" s="327"/>
    </row>
    <row r="104" spans="1:6">
      <c r="A104" s="1293" t="s">
        <v>77</v>
      </c>
      <c r="B104" s="1294">
        <v>463</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v>
      </c>
      <c r="C123" s="1294">
        <v>0</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21312.811202864021</v>
      </c>
      <c r="C3" s="44" t="s">
        <v>163</v>
      </c>
      <c r="D3" s="44"/>
      <c r="E3" s="157"/>
      <c r="F3" s="44"/>
      <c r="G3" s="44"/>
      <c r="H3" s="44"/>
      <c r="I3" s="44"/>
      <c r="J3" s="44"/>
      <c r="K3" s="97"/>
    </row>
    <row r="4" spans="1:11">
      <c r="A4" s="352" t="s">
        <v>164</v>
      </c>
      <c r="B4" s="50">
        <f>IF(ISERROR('SEAP template'!B78+'SEAP template'!C78),0,'SEAP template'!B78+'SEAP template'!C78)</f>
        <v>591.97748345491971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0.21486157824989524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194.05600000000001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194.05600000000001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0.21486157824989524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41.695178428861674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3672.4458691762097</v>
      </c>
      <c r="C5" s="18">
        <f>IF(ISERROR('Eigen informatie GS &amp; warmtenet'!B57),0,'Eigen informatie GS &amp; warmtenet'!B57)</f>
        <v>0</v>
      </c>
      <c r="D5" s="31">
        <f>(SUM(HH_hh_gas_kWh,HH_rest_gas_kWh)/1000)*0.902</f>
        <v>5348.409424013179</v>
      </c>
      <c r="E5" s="18">
        <f>B32*B41</f>
        <v>264.19561410634674</v>
      </c>
      <c r="F5" s="18">
        <f>B36*B45</f>
        <v>8054.5572360694132</v>
      </c>
      <c r="G5" s="19"/>
      <c r="H5" s="18"/>
      <c r="I5" s="18"/>
      <c r="J5" s="18">
        <f>B35*B44+C35*C44</f>
        <v>146.14713447156623</v>
      </c>
      <c r="K5" s="18"/>
      <c r="L5" s="18"/>
      <c r="M5" s="18"/>
      <c r="N5" s="18">
        <f>B34*B43+C34*C43</f>
        <v>1318.7176552703245</v>
      </c>
      <c r="O5" s="18">
        <f>B52*B53*B54</f>
        <v>7.8166666666666664</v>
      </c>
      <c r="P5" s="18">
        <f>B60*B61*B62/1000-B60*B61*B62/1000/B63</f>
        <v>76.266666666666666</v>
      </c>
    </row>
    <row r="6" spans="1:16">
      <c r="A6" s="17" t="s">
        <v>622</v>
      </c>
      <c r="B6" s="766">
        <f>kWh_PV_kleiner_dan_10kW</f>
        <v>211.03048827389827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3883.476357450108</v>
      </c>
      <c r="C8" s="22">
        <f>C5</f>
        <v>0</v>
      </c>
      <c r="D8" s="22">
        <f>D5</f>
        <v>5348.409424013179</v>
      </c>
      <c r="E8" s="22">
        <f>E5</f>
        <v>264.19561410634674</v>
      </c>
      <c r="F8" s="22">
        <f>F5</f>
        <v>8054.5572360694132</v>
      </c>
      <c r="G8" s="22"/>
      <c r="H8" s="22"/>
      <c r="I8" s="22"/>
      <c r="J8" s="22">
        <f>J5</f>
        <v>146.14713447156623</v>
      </c>
      <c r="K8" s="22"/>
      <c r="L8" s="22">
        <f>L5</f>
        <v>0</v>
      </c>
      <c r="M8" s="22">
        <f>M5</f>
        <v>0</v>
      </c>
      <c r="N8" s="22">
        <f>N5</f>
        <v>1318.7176552703245</v>
      </c>
      <c r="O8" s="22">
        <f>O5</f>
        <v>7.8166666666666664</v>
      </c>
      <c r="P8" s="22">
        <f>P5</f>
        <v>76.266666666666666</v>
      </c>
    </row>
    <row r="9" spans="1:16">
      <c r="B9" s="20"/>
      <c r="C9" s="20"/>
      <c r="D9" s="258"/>
      <c r="E9" s="20"/>
      <c r="F9" s="20"/>
      <c r="G9" s="20"/>
      <c r="H9" s="20"/>
      <c r="I9" s="20"/>
      <c r="J9" s="20"/>
      <c r="K9" s="20"/>
      <c r="L9" s="20"/>
      <c r="M9" s="20"/>
      <c r="N9" s="20"/>
      <c r="O9" s="20"/>
      <c r="P9" s="20"/>
    </row>
    <row r="10" spans="1:16">
      <c r="A10" s="25" t="s">
        <v>207</v>
      </c>
      <c r="B10" s="26">
        <f ca="1">'EF ele_warmte'!B12</f>
        <v>0.21486157824989524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834.40985925788448</v>
      </c>
      <c r="C12" s="24">
        <f ca="1">C10*C8</f>
        <v>0</v>
      </c>
      <c r="D12" s="24">
        <f>D8*D10</f>
        <v>1080.3787036506621</v>
      </c>
      <c r="E12" s="24">
        <f>E10*E8</f>
        <v>59.972404402140711</v>
      </c>
      <c r="F12" s="24">
        <f>F10*F8</f>
        <v>2150.5667820305334</v>
      </c>
      <c r="G12" s="24"/>
      <c r="H12" s="24"/>
      <c r="I12" s="24"/>
      <c r="J12" s="24">
        <f>J10*J8</f>
        <v>51.736085602934445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872</v>
      </c>
      <c r="C26" s="37"/>
      <c r="D26" s="228"/>
    </row>
    <row r="27" spans="1:5" s="16" customFormat="1">
      <c r="A27" s="230" t="s">
        <v>648</v>
      </c>
      <c r="B27" s="38">
        <f>SUM(HH_hh_gas_aantal,HH_rest_gas_aantal)</f>
        <v>379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360.05</v>
      </c>
      <c r="C31" s="35" t="s">
        <v>104</v>
      </c>
      <c r="D31" s="174"/>
    </row>
    <row r="32" spans="1:5">
      <c r="A32" s="171" t="s">
        <v>72</v>
      </c>
      <c r="B32" s="34">
        <f>IF((B21*($B$26-($B$27-0.05*$B$27)-$B$60))&lt;0,0,B21*($B$26-($B$27-0.05*$B$27)-$B$60))</f>
        <v>12.483039162202907</v>
      </c>
      <c r="C32" s="35" t="s">
        <v>104</v>
      </c>
      <c r="D32" s="174"/>
    </row>
    <row r="33" spans="1:6">
      <c r="A33" s="171" t="s">
        <v>73</v>
      </c>
      <c r="B33" s="34">
        <f>IF((B22*($B$26-($B$27-0.05*$B$27)-$B$60))&lt;0,0,B22*($B$26-($B$27-0.05*$B$27)-$B$60))</f>
        <v>84.025494163112114</v>
      </c>
      <c r="C33" s="35" t="s">
        <v>104</v>
      </c>
      <c r="D33" s="174"/>
    </row>
    <row r="34" spans="1:6">
      <c r="A34" s="171" t="s">
        <v>74</v>
      </c>
      <c r="B34" s="34">
        <f>IF((B24*($B$26-($B$27-0.05*$B$27)-$B$60))&lt;0,0,B24*($B$26-($B$27-0.05*$B$27)-$B$60))</f>
        <v>21.310636416702405</v>
      </c>
      <c r="C34" s="34">
        <f>B26*C24</f>
        <v>178.32602972743101</v>
      </c>
      <c r="D34" s="233"/>
    </row>
    <row r="35" spans="1:6">
      <c r="A35" s="171" t="s">
        <v>76</v>
      </c>
      <c r="B35" s="34">
        <f>IF((B19*($B$26-($B$27-0.05*$B$27)-$B$60))&lt;0,0,B19*($B$26-($B$27-0.05*$B$27)-$B$60))</f>
        <v>7.9226202254763107</v>
      </c>
      <c r="C35" s="34">
        <f>B35/2</f>
        <v>3.9613101127381554</v>
      </c>
      <c r="D35" s="233"/>
    </row>
    <row r="36" spans="1:6">
      <c r="A36" s="171" t="s">
        <v>77</v>
      </c>
      <c r="B36" s="34">
        <f>IF((B18*($B$26-($B$27-0.05*$B$27)-$B$60))&lt;0,0,B18*($B$26-($B$27-0.05*$B$27)-$B$60))</f>
        <v>382.20821003250614</v>
      </c>
      <c r="C36" s="35" t="s">
        <v>104</v>
      </c>
      <c r="D36" s="174"/>
    </row>
    <row r="37" spans="1:6">
      <c r="A37" s="171" t="s">
        <v>78</v>
      </c>
      <c r="B37" s="34">
        <f>B60</f>
        <v>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2344.5857550400988</v>
      </c>
      <c r="C5" s="18">
        <f>IF(ISERROR('Eigen informatie GS &amp; warmtenet'!B58),0,'Eigen informatie GS &amp; warmtenet'!B58)</f>
        <v>0</v>
      </c>
      <c r="D5" s="31">
        <f>SUM(D6:D12)</f>
        <v>1033.8651917859161</v>
      </c>
      <c r="E5" s="18">
        <f>SUM(E6:E12)</f>
        <v>23.704848682143837</v>
      </c>
      <c r="F5" s="18">
        <f>SUM(F6:F12)</f>
        <v>508.40580488246894</v>
      </c>
      <c r="G5" s="19"/>
      <c r="H5" s="18"/>
      <c r="I5" s="18"/>
      <c r="J5" s="18">
        <f>SUM(J6:J12)</f>
        <v>0</v>
      </c>
      <c r="K5" s="18"/>
      <c r="L5" s="18"/>
      <c r="M5" s="18"/>
      <c r="N5" s="18">
        <f>SUM(N6:N12)</f>
        <v>271.1998098353107</v>
      </c>
      <c r="O5" s="18">
        <f>B38*B39*B40</f>
        <v>0</v>
      </c>
      <c r="P5" s="18">
        <f>B46*B47*B48/1000-B46*B47*B48/1000/B49</f>
        <v>0</v>
      </c>
      <c r="R5" s="33"/>
    </row>
    <row r="6" spans="1:18">
      <c r="A6" s="33" t="s">
        <v>53</v>
      </c>
      <c r="B6" s="38">
        <f>B26</f>
        <v>165.19407667665399</v>
      </c>
      <c r="C6" s="34"/>
      <c r="D6" s="38">
        <f>IF(ISERROR(TER_kantoor_gas_kWh/1000),0,TER_kantoor_gas_kWh/1000)*0.902</f>
        <v>99.40814867603325</v>
      </c>
      <c r="E6" s="34">
        <f>$C$26*'E Balans VL '!I12/100/3.6*1000000</f>
        <v>0.27111696067612601</v>
      </c>
      <c r="F6" s="34">
        <f>$C$26*('E Balans VL '!L12+'E Balans VL '!N12)/100/3.6*1000000</f>
        <v>19.472494834624509</v>
      </c>
      <c r="G6" s="35"/>
      <c r="H6" s="34"/>
      <c r="I6" s="34"/>
      <c r="J6" s="34">
        <f>$C$26*('E Balans VL '!D12+'E Balans VL '!E12)/100/3.6*1000000</f>
        <v>0</v>
      </c>
      <c r="K6" s="34"/>
      <c r="L6" s="34"/>
      <c r="M6" s="34"/>
      <c r="N6" s="34">
        <f>$C$26*'E Balans VL '!Y12/100/3.6*1000000</f>
        <v>3.3376680934523451E-2</v>
      </c>
      <c r="O6" s="34"/>
      <c r="P6" s="34"/>
      <c r="R6" s="33"/>
    </row>
    <row r="7" spans="1:18">
      <c r="A7" s="33" t="s">
        <v>52</v>
      </c>
      <c r="B7" s="38">
        <f t="shared" ref="B7:B12" si="0">B27</f>
        <v>169.94832717013099</v>
      </c>
      <c r="C7" s="34"/>
      <c r="D7" s="38">
        <f>IF(ISERROR(TER_horeca_gas_kWh/1000),0,TER_horeca_gas_kWh/1000)*0.902</f>
        <v>177.10108206975241</v>
      </c>
      <c r="E7" s="34">
        <f>$C$27*'E Balans VL '!I9/100/3.6*1000000</f>
        <v>8.8190884077182474</v>
      </c>
      <c r="F7" s="34">
        <f>$C$27*('E Balans VL '!L9+'E Balans VL '!N9)/100/3.6*1000000</f>
        <v>38.78233157534126</v>
      </c>
      <c r="G7" s="35"/>
      <c r="H7" s="34"/>
      <c r="I7" s="34"/>
      <c r="J7" s="34">
        <f>$C$27*('E Balans VL '!D9+'E Balans VL '!E9)/100/3.6*1000000</f>
        <v>0</v>
      </c>
      <c r="K7" s="34"/>
      <c r="L7" s="34"/>
      <c r="M7" s="34"/>
      <c r="N7" s="34">
        <f>$C$27*'E Balans VL '!Y9/100/3.6*1000000</f>
        <v>1.7946465466947108E-2</v>
      </c>
      <c r="O7" s="34"/>
      <c r="P7" s="34"/>
      <c r="R7" s="33"/>
    </row>
    <row r="8" spans="1:18">
      <c r="A8" s="6" t="s">
        <v>51</v>
      </c>
      <c r="B8" s="38">
        <f t="shared" si="0"/>
        <v>609.23911374357897</v>
      </c>
      <c r="C8" s="34"/>
      <c r="D8" s="38">
        <f>IF(ISERROR(TER_handel_gas_kWh/1000),0,TER_handel_gas_kWh/1000)*0.902</f>
        <v>0</v>
      </c>
      <c r="E8" s="34">
        <f>$C$28*'E Balans VL '!I13/100/3.6*1000000</f>
        <v>3.2808274930458183</v>
      </c>
      <c r="F8" s="34">
        <f>$C$28*('E Balans VL '!L13+'E Balans VL '!N13)/100/3.6*1000000</f>
        <v>124.24196024812144</v>
      </c>
      <c r="G8" s="35"/>
      <c r="H8" s="34"/>
      <c r="I8" s="34"/>
      <c r="J8" s="34">
        <f>$C$28*('E Balans VL '!D13+'E Balans VL '!E13)/100/3.6*1000000</f>
        <v>0</v>
      </c>
      <c r="K8" s="34"/>
      <c r="L8" s="34"/>
      <c r="M8" s="34"/>
      <c r="N8" s="34">
        <f>$C$28*'E Balans VL '!Y13/100/3.6*1000000</f>
        <v>3.0294243826886014</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353.58186254224296</v>
      </c>
      <c r="C10" s="34"/>
      <c r="D10" s="38">
        <f>IF(ISERROR(TER_ander_gas_kWh/1000),0,TER_ander_gas_kWh/1000)*0.902</f>
        <v>0</v>
      </c>
      <c r="E10" s="34">
        <f>$C$30*'E Balans VL '!I14/100/3.6*1000000</f>
        <v>2.8926530155002061</v>
      </c>
      <c r="F10" s="34">
        <f>$C$30*('E Balans VL '!L14+'E Balans VL '!N14)/100/3.6*1000000</f>
        <v>103.37294169354082</v>
      </c>
      <c r="G10" s="35"/>
      <c r="H10" s="34"/>
      <c r="I10" s="34"/>
      <c r="J10" s="34">
        <f>$C$30*('E Balans VL '!D14+'E Balans VL '!E14)/100/3.6*1000000</f>
        <v>0</v>
      </c>
      <c r="K10" s="34"/>
      <c r="L10" s="34"/>
      <c r="M10" s="34"/>
      <c r="N10" s="34">
        <f>$C$30*'E Balans VL '!Y14/100/3.6*1000000</f>
        <v>203.97034082648588</v>
      </c>
      <c r="O10" s="34"/>
      <c r="P10" s="34"/>
      <c r="R10" s="33"/>
    </row>
    <row r="11" spans="1:18">
      <c r="A11" s="33" t="s">
        <v>54</v>
      </c>
      <c r="B11" s="38">
        <f t="shared" si="0"/>
        <v>75.026467291392606</v>
      </c>
      <c r="C11" s="34"/>
      <c r="D11" s="38">
        <f>IF(ISERROR(TER_onderwijs_gas_kWh/1000),0,TER_onderwijs_gas_kWh/1000)*0.902</f>
        <v>0</v>
      </c>
      <c r="E11" s="34">
        <f>$C$31*'E Balans VL '!I11/100/3.6*1000000</f>
        <v>4.6243148757464818E-2</v>
      </c>
      <c r="F11" s="34">
        <f>$C$31*('E Balans VL '!L11+'E Balans VL '!N11)/100/3.6*1000000</f>
        <v>29.006447283680025</v>
      </c>
      <c r="G11" s="35"/>
      <c r="H11" s="34"/>
      <c r="I11" s="34"/>
      <c r="J11" s="34">
        <f>$C$31*('E Balans VL '!D11+'E Balans VL '!E11)/100/3.6*1000000</f>
        <v>0</v>
      </c>
      <c r="K11" s="34"/>
      <c r="L11" s="34"/>
      <c r="M11" s="34"/>
      <c r="N11" s="34">
        <f>$C$31*'E Balans VL '!Y11/100/3.6*1000000</f>
        <v>0.24404502027024444</v>
      </c>
      <c r="O11" s="34"/>
      <c r="P11" s="34"/>
      <c r="R11" s="33"/>
    </row>
    <row r="12" spans="1:18">
      <c r="A12" s="33" t="s">
        <v>249</v>
      </c>
      <c r="B12" s="38">
        <f t="shared" si="0"/>
        <v>971.595907616099</v>
      </c>
      <c r="C12" s="34"/>
      <c r="D12" s="38">
        <f>IF(ISERROR(TER_rest_gas_kWh/1000),0,TER_rest_gas_kWh/1000)*0.902</f>
        <v>757.35596104013041</v>
      </c>
      <c r="E12" s="34">
        <f>$C$32*'E Balans VL '!I8/100/3.6*1000000</f>
        <v>8.3949196564459729</v>
      </c>
      <c r="F12" s="34">
        <f>$C$32*('E Balans VL '!L8+'E Balans VL '!N8)/100/3.6*1000000</f>
        <v>193.52962924716084</v>
      </c>
      <c r="G12" s="35"/>
      <c r="H12" s="34"/>
      <c r="I12" s="34"/>
      <c r="J12" s="34">
        <f>$C$32*('E Balans VL '!D8+'E Balans VL '!E8)/100/3.6*1000000</f>
        <v>0</v>
      </c>
      <c r="K12" s="34"/>
      <c r="L12" s="34"/>
      <c r="M12" s="34"/>
      <c r="N12" s="34">
        <f>$C$32*'E Balans VL '!Y8/100/3.6*1000000</f>
        <v>63.904676459464497</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2344.5857550400988</v>
      </c>
      <c r="C16" s="22">
        <f t="shared" ca="1" si="1"/>
        <v>0</v>
      </c>
      <c r="D16" s="22">
        <f t="shared" ca="1" si="1"/>
        <v>1033.8651917859161</v>
      </c>
      <c r="E16" s="22">
        <f t="shared" si="1"/>
        <v>23.704848682143837</v>
      </c>
      <c r="F16" s="22">
        <f t="shared" ca="1" si="1"/>
        <v>508.40580488246894</v>
      </c>
      <c r="G16" s="22">
        <f t="shared" si="1"/>
        <v>0</v>
      </c>
      <c r="H16" s="22">
        <f t="shared" si="1"/>
        <v>0</v>
      </c>
      <c r="I16" s="22">
        <f t="shared" si="1"/>
        <v>0</v>
      </c>
      <c r="J16" s="22">
        <f t="shared" si="1"/>
        <v>0</v>
      </c>
      <c r="K16" s="22">
        <f t="shared" si="1"/>
        <v>0</v>
      </c>
      <c r="L16" s="22">
        <f t="shared" ca="1" si="1"/>
        <v>0</v>
      </c>
      <c r="M16" s="22">
        <f t="shared" si="1"/>
        <v>0</v>
      </c>
      <c r="N16" s="22">
        <f t="shared" ca="1" si="1"/>
        <v>271.1998098353107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0.21486157824989524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503.76139567013792</v>
      </c>
      <c r="C20" s="24">
        <f t="shared" ref="C20:P20" ca="1" si="2">C16*C18</f>
        <v>0</v>
      </c>
      <c r="D20" s="24">
        <f t="shared" ca="1" si="2"/>
        <v>208.84076874075507</v>
      </c>
      <c r="E20" s="24">
        <f t="shared" si="2"/>
        <v>5.3810006508466515</v>
      </c>
      <c r="F20" s="24">
        <f t="shared" ca="1" si="2"/>
        <v>135.74434990361922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165.19407667665399</v>
      </c>
      <c r="C26" s="40">
        <f>IF(ISERROR(B26*3.6/1000000/'E Balans VL '!Z12*100),0,B26*3.6/1000000/'E Balans VL '!Z12*100)</f>
        <v>3.5102556635782773E-3</v>
      </c>
      <c r="D26" s="236" t="s">
        <v>685</v>
      </c>
      <c r="F26" s="6"/>
    </row>
    <row r="27" spans="1:18">
      <c r="A27" s="231" t="s">
        <v>52</v>
      </c>
      <c r="B27" s="34">
        <f>IF(ISERROR(TER_horeca_ele_kWh/1000),0,TER_horeca_ele_kWh/1000)</f>
        <v>169.94832717013099</v>
      </c>
      <c r="C27" s="40">
        <f>IF(ISERROR(B27*3.6/1000000/'E Balans VL '!Z9*100),0,B27*3.6/1000000/'E Balans VL '!Z9*100)</f>
        <v>1.3376247553004058E-2</v>
      </c>
      <c r="D27" s="236" t="s">
        <v>685</v>
      </c>
      <c r="F27" s="6"/>
    </row>
    <row r="28" spans="1:18">
      <c r="A28" s="171" t="s">
        <v>51</v>
      </c>
      <c r="B28" s="34">
        <f>IF(ISERROR(TER_handel_ele_kWh/1000),0,TER_handel_ele_kWh/1000)</f>
        <v>609.23911374357897</v>
      </c>
      <c r="C28" s="40">
        <f>IF(ISERROR(B28*3.6/1000000/'E Balans VL '!Z13*100),0,B28*3.6/1000000/'E Balans VL '!Z13*100)</f>
        <v>1.706511362785889E-2</v>
      </c>
      <c r="D28" s="236" t="s">
        <v>685</v>
      </c>
      <c r="F28" s="6"/>
    </row>
    <row r="29" spans="1:18">
      <c r="A29" s="231" t="s">
        <v>50</v>
      </c>
      <c r="B29" s="34">
        <f>IF(ISERROR(TER_gezond_ele_kWh/1000),0,TER_gezond_ele_kWh/1000)</f>
        <v>0</v>
      </c>
      <c r="C29" s="40">
        <f>IF(ISERROR(B29*3.6/1000000/'E Balans VL '!Z10*100),0,B29*3.6/1000000/'E Balans VL '!Z10*100)</f>
        <v>0</v>
      </c>
      <c r="D29" s="236" t="s">
        <v>685</v>
      </c>
      <c r="F29" s="6"/>
    </row>
    <row r="30" spans="1:18">
      <c r="A30" s="231" t="s">
        <v>49</v>
      </c>
      <c r="B30" s="34">
        <f>IF(ISERROR(TER_ander_ele_kWh/1000),0,TER_ander_ele_kWh/1000)</f>
        <v>353.58186254224296</v>
      </c>
      <c r="C30" s="40">
        <f>IF(ISERROR(B30*3.6/1000000/'E Balans VL '!Z14*100),0,B30*3.6/1000000/'E Balans VL '!Z14*100)</f>
        <v>2.6444943985340325E-2</v>
      </c>
      <c r="D30" s="236" t="s">
        <v>685</v>
      </c>
      <c r="F30" s="6"/>
    </row>
    <row r="31" spans="1:18">
      <c r="A31" s="231" t="s">
        <v>54</v>
      </c>
      <c r="B31" s="34">
        <f>IF(ISERROR(TER_onderwijs_ele_kWh/1000),0,TER_onderwijs_ele_kWh/1000)</f>
        <v>75.026467291392606</v>
      </c>
      <c r="C31" s="40">
        <f>IF(ISERROR(B31*3.6/1000000/'E Balans VL '!Z11*100),0,B31*3.6/1000000/'E Balans VL '!Z11*100)</f>
        <v>1.5841935752693569E-2</v>
      </c>
      <c r="D31" s="236" t="s">
        <v>685</v>
      </c>
    </row>
    <row r="32" spans="1:18">
      <c r="A32" s="231" t="s">
        <v>249</v>
      </c>
      <c r="B32" s="34">
        <f>IF(ISERROR(TER_rest_ele_kWh/1000),0,TER_rest_ele_kWh/1000)</f>
        <v>971.595907616099</v>
      </c>
      <c r="C32" s="40">
        <f>IF(ISERROR(B32*3.6/1000000/'E Balans VL '!Z8*100),0,B32*3.6/1000000/'E Balans VL '!Z8*100)</f>
        <v>8.0039410820006152E-3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14579.342497338423</v>
      </c>
      <c r="C5" s="18">
        <f>IF(ISERROR('Eigen informatie GS &amp; warmtenet'!B59),0,'Eigen informatie GS &amp; warmtenet'!B59)</f>
        <v>0</v>
      </c>
      <c r="D5" s="31">
        <f>SUM(D6:D15)</f>
        <v>1131.1960992895806</v>
      </c>
      <c r="E5" s="18">
        <f>SUM(E6:E15)</f>
        <v>130.16205716609068</v>
      </c>
      <c r="F5" s="18">
        <f>SUM(F6:F15)</f>
        <v>2943.3709204592296</v>
      </c>
      <c r="G5" s="19"/>
      <c r="H5" s="18"/>
      <c r="I5" s="18"/>
      <c r="J5" s="18">
        <f>SUM(J6:J15)</f>
        <v>72.031912767389784</v>
      </c>
      <c r="K5" s="18"/>
      <c r="L5" s="18"/>
      <c r="M5" s="18"/>
      <c r="N5" s="18">
        <f>SUM(N6:N15)</f>
        <v>452.01846979854423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145.01587814544303</v>
      </c>
      <c r="C9" s="34"/>
      <c r="D9" s="38">
        <f>IF( ISERROR(IND_andere_gas_kWh/1000),0,IND_andere_gas_kWh/1000)*0.902</f>
        <v>0</v>
      </c>
      <c r="E9" s="34">
        <f>C31*'E Balans VL '!I19/100/3.6*1000000</f>
        <v>0.83821344651119045</v>
      </c>
      <c r="F9" s="34">
        <f>C31*'E Balans VL '!L19/100/3.6*1000000+C31*'E Balans VL '!N19/100/3.6*1000000</f>
        <v>115.36710895263109</v>
      </c>
      <c r="G9" s="35"/>
      <c r="H9" s="34"/>
      <c r="I9" s="34"/>
      <c r="J9" s="41">
        <f>C31*'E Balans VL '!D19/100/3.6*1000000+C31*'E Balans VL '!E19/100/3.6*1000000</f>
        <v>1.3716891281808183E-2</v>
      </c>
      <c r="K9" s="34"/>
      <c r="L9" s="34"/>
      <c r="M9" s="34"/>
      <c r="N9" s="34">
        <f>C31*'E Balans VL '!Y19/100/3.6*1000000</f>
        <v>10.987147339357479</v>
      </c>
      <c r="O9" s="34"/>
      <c r="P9" s="34"/>
      <c r="R9" s="33"/>
    </row>
    <row r="10" spans="1:18">
      <c r="A10" s="6" t="s">
        <v>40</v>
      </c>
      <c r="B10" s="38">
        <f t="shared" si="0"/>
        <v>52.976267679673505</v>
      </c>
      <c r="C10" s="34"/>
      <c r="D10" s="38">
        <f>IF( ISERROR(IND_voed_gas_kWh/1000),0,IND_voed_gas_kWh/1000)*0.902</f>
        <v>0</v>
      </c>
      <c r="E10" s="34">
        <f>C32*'E Balans VL '!I20/100/3.6*1000000</f>
        <v>0.52089530522352911</v>
      </c>
      <c r="F10" s="34">
        <f>C32*'E Balans VL '!L20/100/3.6*1000000+C32*'E Balans VL '!N20/100/3.6*1000000</f>
        <v>5.8837060062109581</v>
      </c>
      <c r="G10" s="35"/>
      <c r="H10" s="34"/>
      <c r="I10" s="34"/>
      <c r="J10" s="41">
        <f>C32*'E Balans VL '!D20/100/3.6*1000000+C32*'E Balans VL '!E20/100/3.6*1000000</f>
        <v>2.0880352070398928E-4</v>
      </c>
      <c r="K10" s="34"/>
      <c r="L10" s="34"/>
      <c r="M10" s="34"/>
      <c r="N10" s="34">
        <f>C32*'E Balans VL '!Y20/100/3.6*1000000</f>
        <v>0.78445391101917561</v>
      </c>
      <c r="O10" s="34"/>
      <c r="P10" s="34"/>
      <c r="R10" s="33"/>
    </row>
    <row r="11" spans="1:18">
      <c r="A11" s="6" t="s">
        <v>39</v>
      </c>
      <c r="B11" s="38">
        <f t="shared" si="0"/>
        <v>60.158231050406499</v>
      </c>
      <c r="C11" s="34"/>
      <c r="D11" s="38">
        <f>IF( ISERROR(IND_textiel_gas_kWh/1000),0,IND_textiel_gas_kWh/1000)*0.902</f>
        <v>0</v>
      </c>
      <c r="E11" s="34">
        <f>C33*'E Balans VL '!I21/100/3.6*1000000</f>
        <v>0.11714204500823674</v>
      </c>
      <c r="F11" s="34">
        <f>C33*'E Balans VL '!L21/100/3.6*1000000+C33*'E Balans VL '!N21/100/3.6*1000000</f>
        <v>1.9842158694931045</v>
      </c>
      <c r="G11" s="35"/>
      <c r="H11" s="34"/>
      <c r="I11" s="34"/>
      <c r="J11" s="41">
        <f>C33*'E Balans VL '!D21/100/3.6*1000000+C33*'E Balans VL '!E21/100/3.6*1000000</f>
        <v>0</v>
      </c>
      <c r="K11" s="34"/>
      <c r="L11" s="34"/>
      <c r="M11" s="34"/>
      <c r="N11" s="34">
        <f>C33*'E Balans VL '!Y21/100/3.6*1000000</f>
        <v>0.62399908280605565</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14321.1921204629</v>
      </c>
      <c r="C15" s="34"/>
      <c r="D15" s="38">
        <f>IF( ISERROR(IND_rest_gas_kWh/1000),0,IND_rest_gas_kWh/1000)*0.902</f>
        <v>1131.1960992895806</v>
      </c>
      <c r="E15" s="34">
        <f>C37*'E Balans VL '!I15/100/3.6*1000000</f>
        <v>128.68580636934772</v>
      </c>
      <c r="F15" s="34">
        <f>C37*'E Balans VL '!L15/100/3.6*1000000+C37*'E Balans VL '!N15/100/3.6*1000000</f>
        <v>2820.1358896308943</v>
      </c>
      <c r="G15" s="35"/>
      <c r="H15" s="34"/>
      <c r="I15" s="34"/>
      <c r="J15" s="41">
        <f>C37*'E Balans VL '!D15/100/3.6*1000000+C37*'E Balans VL '!E15/100/3.6*1000000</f>
        <v>72.017987072587275</v>
      </c>
      <c r="K15" s="34"/>
      <c r="L15" s="34"/>
      <c r="M15" s="34"/>
      <c r="N15" s="34">
        <f>C37*'E Balans VL '!Y15/100/3.6*1000000</f>
        <v>439.62286946536153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14579.342497338423</v>
      </c>
      <c r="C18" s="22">
        <f>C5+C16</f>
        <v>0</v>
      </c>
      <c r="D18" s="22">
        <f>MAX((D5+D16),0)</f>
        <v>1131.1960992895806</v>
      </c>
      <c r="E18" s="22">
        <f>MAX((E5+E16),0)</f>
        <v>130.16205716609068</v>
      </c>
      <c r="F18" s="22">
        <f>MAX((F5+F16),0)</f>
        <v>2943.3709204592296</v>
      </c>
      <c r="G18" s="22"/>
      <c r="H18" s="22"/>
      <c r="I18" s="22"/>
      <c r="J18" s="22">
        <f>MAX((J5+J16),0)</f>
        <v>72.031912767389784</v>
      </c>
      <c r="K18" s="22"/>
      <c r="L18" s="22">
        <f>MAX((L5+L16),0)</f>
        <v>0</v>
      </c>
      <c r="M18" s="22"/>
      <c r="N18" s="22">
        <f>MAX((N5+N16),0)</f>
        <v>452.01846979854423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0.21486157824989524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3132.5405388239028</v>
      </c>
      <c r="C22" s="24">
        <f ca="1">C18*C20</f>
        <v>0</v>
      </c>
      <c r="D22" s="24">
        <f>D18*D20</f>
        <v>228.5016120564953</v>
      </c>
      <c r="E22" s="24">
        <f>E18*E20</f>
        <v>29.546786976702585</v>
      </c>
      <c r="F22" s="24">
        <f>F18*F20</f>
        <v>785.8800357626144</v>
      </c>
      <c r="G22" s="24"/>
      <c r="H22" s="24"/>
      <c r="I22" s="24"/>
      <c r="J22" s="24">
        <f>J18*J20</f>
        <v>25.499297119655981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145.01587814544303</v>
      </c>
      <c r="C31" s="40">
        <f>IF(ISERROR(B31*3.6/1000000/'E Balans VL '!Z19*100),0,B31*3.6/1000000/'E Balans VL '!Z19*100)</f>
        <v>6.7414073193869557E-3</v>
      </c>
      <c r="D31" s="236" t="s">
        <v>685</v>
      </c>
    </row>
    <row r="32" spans="1:18">
      <c r="A32" s="171" t="s">
        <v>40</v>
      </c>
      <c r="B32" s="38">
        <f>IF( ISERROR(IND_voed_ele_kWh/1000),0,IND_voed_ele_kWh/1000)</f>
        <v>52.976267679673505</v>
      </c>
      <c r="C32" s="40">
        <f>IF(ISERROR(B32*3.6/1000000/'E Balans VL '!Z20*100),0,B32*3.6/1000000/'E Balans VL '!Z20*100)</f>
        <v>1.8726040723728017E-3</v>
      </c>
      <c r="D32" s="236" t="s">
        <v>685</v>
      </c>
    </row>
    <row r="33" spans="1:5">
      <c r="A33" s="171" t="s">
        <v>39</v>
      </c>
      <c r="B33" s="38">
        <f>IF( ISERROR(IND_textiel_ele_kWh/1000),0,IND_textiel_ele_kWh/1000)</f>
        <v>60.158231050406499</v>
      </c>
      <c r="C33" s="40">
        <f>IF(ISERROR(B33*3.6/1000000/'E Balans VL '!Z21*100),0,B33*3.6/1000000/'E Balans VL '!Z21*100)</f>
        <v>8.1252819405425551E-3</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14321.1921204629</v>
      </c>
      <c r="C37" s="40">
        <f>IF(ISERROR(B37*3.6/1000000/'E Balans VL '!Z15*100),0,B37*3.6/1000000/'E Balans VL '!Z15*100)</f>
        <v>0.10814615610930016</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249.58090802650537</v>
      </c>
      <c r="C5" s="18">
        <f>'Eigen informatie GS &amp; warmtenet'!B60</f>
        <v>0</v>
      </c>
      <c r="D5" s="31">
        <f>IF(ISERROR(SUM(LB_lb_gas_kWh,LB_rest_gas_kWh)/1000),0,SUM(LB_lb_gas_kWh,LB_rest_gas_kWh)/1000)*0.902</f>
        <v>0</v>
      </c>
      <c r="E5" s="18">
        <f>B17*'E Balans VL '!I25/3.6*1000000/100</f>
        <v>2.3512193783035462</v>
      </c>
      <c r="F5" s="18">
        <f>B17*('E Balans VL '!L25/3.6*1000000+'E Balans VL '!N25/3.6*1000000)/100</f>
        <v>814.46533151958067</v>
      </c>
      <c r="G5" s="19"/>
      <c r="H5" s="18"/>
      <c r="I5" s="18"/>
      <c r="J5" s="18">
        <f>('E Balans VL '!D25+'E Balans VL '!E25)/3.6*1000000*landbouw!B17/100</f>
        <v>30.874372284182165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249.58090802650537</v>
      </c>
      <c r="C8" s="22">
        <f>C5+C6</f>
        <v>0</v>
      </c>
      <c r="D8" s="22">
        <f>MAX((D5+D6),0)</f>
        <v>0</v>
      </c>
      <c r="E8" s="22">
        <f>MAX((E5+E6),0)</f>
        <v>2.3512193783035462</v>
      </c>
      <c r="F8" s="22">
        <f>MAX((F5+F6),0)</f>
        <v>814.46533151958067</v>
      </c>
      <c r="G8" s="22"/>
      <c r="H8" s="22"/>
      <c r="I8" s="22"/>
      <c r="J8" s="22">
        <f>MAX((J5+J6),0)</f>
        <v>30.874372284182165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0.21486157824989524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53.62534779961689</v>
      </c>
      <c r="C12" s="24">
        <f ca="1">C8*C10</f>
        <v>0</v>
      </c>
      <c r="D12" s="24">
        <f>D8*D10</f>
        <v>0</v>
      </c>
      <c r="E12" s="24">
        <f>E8*E10</f>
        <v>0.53372679887490504</v>
      </c>
      <c r="F12" s="24">
        <f>F8*F10</f>
        <v>217.46224351572806</v>
      </c>
      <c r="G12" s="24"/>
      <c r="H12" s="24"/>
      <c r="I12" s="24"/>
      <c r="J12" s="24">
        <f>J8*J10</f>
        <v>10.929527788600486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3.3789266771368447E-2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26.329627880742461</v>
      </c>
      <c r="C26" s="246">
        <f>B26*'GWP N2O_CH4'!B5</f>
        <v>552.92218549559163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14.013527766101387</v>
      </c>
      <c r="C27" s="246">
        <f>B27*'GWP N2O_CH4'!B5</f>
        <v>294.28408308812914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0.49106511343890924</v>
      </c>
      <c r="C28" s="246">
        <f>B28*'GWP N2O_CH4'!B4</f>
        <v>152.23018516606186</v>
      </c>
      <c r="D28" s="51"/>
    </row>
    <row r="29" spans="1:4">
      <c r="A29" s="42" t="s">
        <v>266</v>
      </c>
      <c r="B29" s="246">
        <f>B34*'ha_N2O bodem landbouw'!B4</f>
        <v>4.219254113417457</v>
      </c>
      <c r="C29" s="246">
        <f>B29*'GWP N2O_CH4'!B4</f>
        <v>1307.9687751594117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1.1390657873773643E-3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3.3194426395870808E-6</v>
      </c>
      <c r="C5" s="433" t="s">
        <v>204</v>
      </c>
      <c r="D5" s="418">
        <f>SUM(D6:D11)</f>
        <v>3.8413339272113202E-6</v>
      </c>
      <c r="E5" s="418">
        <f>SUM(E6:E11)</f>
        <v>2.4829511587533574E-4</v>
      </c>
      <c r="F5" s="431" t="s">
        <v>204</v>
      </c>
      <c r="G5" s="418">
        <f>SUM(G6:G11)</f>
        <v>5.6991088629682829E-2</v>
      </c>
      <c r="H5" s="418">
        <f>SUM(H6:H11)</f>
        <v>9.3403232161575426E-3</v>
      </c>
      <c r="I5" s="433" t="s">
        <v>204</v>
      </c>
      <c r="J5" s="433" t="s">
        <v>204</v>
      </c>
      <c r="K5" s="433" t="s">
        <v>204</v>
      </c>
      <c r="L5" s="433" t="s">
        <v>204</v>
      </c>
      <c r="M5" s="418">
        <f>SUM(M6:M11)</f>
        <v>2.9636932812365127E-3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3.0662423090455535E-6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3.571195607324808E-6</v>
      </c>
      <c r="E6" s="421">
        <f>vkm_GW_PW*SUMIFS(TableVerdeelsleutelVkm[LPG],TableVerdeelsleutelVkm[Voertuigtype],"Lichte voertuigen")*SUMIFS(TableECFTransport[EnergieConsumptieFactor (PJ per km)],TableECFTransport[Index],CONCATENATE($A6,"_LPG_LPG"))</f>
        <v>2.3168999407926195E-4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3.614799507257669E-2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8.7116610932803616E-3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2.0074725348919581E-3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1.1093238672947855E-7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1.8350664915165328E-2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4.9241373110207815E-7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8.1654472547969118E-4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1.4201571183665926E-7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2.7013831988651204E-7</v>
      </c>
      <c r="E8" s="421">
        <f>vkm_NGW_PW*SUMIFS(TableVerdeelsleutelVkm[LPG],TableVerdeelsleutelVkm[Voertuigtype],"Lichte voertuigen")*SUMIFS(TableECFTransport[EnergieConsumptieFactor (PJ per km)],TableECFTransport[Index],CONCATENATE($A8,"_LPG_LPG"))</f>
        <v>1.6605121796073767E-5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2.4389231188863872E-3</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6.2816835773216759E-4</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1.3729520349664589E-4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2.5223197538978702E-10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5.3505523054421949E-5</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1.3514139114007043E-9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2.3808173682177214E-6</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0.92206739988530029</v>
      </c>
      <c r="C14" s="22"/>
      <c r="D14" s="22">
        <f t="shared" ref="D14:M14" si="0">((D5)*10^9/3600)+D12</f>
        <v>1.0670372020031444</v>
      </c>
      <c r="E14" s="22">
        <f t="shared" si="0"/>
        <v>68.970865520926594</v>
      </c>
      <c r="F14" s="22"/>
      <c r="G14" s="22">
        <f t="shared" si="0"/>
        <v>15830.857952689676</v>
      </c>
      <c r="H14" s="22">
        <f t="shared" si="0"/>
        <v>2594.5342267104284</v>
      </c>
      <c r="I14" s="22"/>
      <c r="J14" s="22"/>
      <c r="K14" s="22"/>
      <c r="L14" s="22"/>
      <c r="M14" s="22">
        <f t="shared" si="0"/>
        <v>823.24813367680906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0.21486157824989524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0.19811685679213289</v>
      </c>
      <c r="C18" s="24"/>
      <c r="D18" s="24">
        <f t="shared" ref="D18:M18" si="1">D14*D16</f>
        <v>0.21554151480463518</v>
      </c>
      <c r="E18" s="24">
        <f t="shared" si="1"/>
        <v>15.656386473250338</v>
      </c>
      <c r="F18" s="24"/>
      <c r="G18" s="24">
        <f t="shared" si="1"/>
        <v>4226.8390733681435</v>
      </c>
      <c r="H18" s="24">
        <f t="shared" si="1"/>
        <v>646.03902245089671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5.1694679227267667E-6</v>
      </c>
      <c r="C50" s="316">
        <f t="shared" ref="C50:P50" si="2">SUM(C51:C52)</f>
        <v>0</v>
      </c>
      <c r="D50" s="316">
        <f t="shared" si="2"/>
        <v>0</v>
      </c>
      <c r="E50" s="316">
        <f t="shared" si="2"/>
        <v>0</v>
      </c>
      <c r="F50" s="316">
        <f t="shared" si="2"/>
        <v>0</v>
      </c>
      <c r="G50" s="316">
        <f t="shared" si="2"/>
        <v>1.0310605691316772E-3</v>
      </c>
      <c r="H50" s="316">
        <f t="shared" si="2"/>
        <v>0</v>
      </c>
      <c r="I50" s="316">
        <f t="shared" si="2"/>
        <v>0</v>
      </c>
      <c r="J50" s="316">
        <f t="shared" si="2"/>
        <v>0</v>
      </c>
      <c r="K50" s="316">
        <f t="shared" si="2"/>
        <v>0</v>
      </c>
      <c r="L50" s="316">
        <f t="shared" si="2"/>
        <v>0</v>
      </c>
      <c r="M50" s="316">
        <f t="shared" si="2"/>
        <v>4.5571779014471401E-5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5.1694679227267667E-6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1.0310605691316772E-3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4.5571779014471401E-5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1.4359633118685464</v>
      </c>
      <c r="C54" s="22">
        <f t="shared" ref="C54:P54" si="3">(C50)*10^9/3600</f>
        <v>0</v>
      </c>
      <c r="D54" s="22">
        <f t="shared" si="3"/>
        <v>0</v>
      </c>
      <c r="E54" s="22">
        <f t="shared" si="3"/>
        <v>0</v>
      </c>
      <c r="F54" s="22">
        <f t="shared" si="3"/>
        <v>0</v>
      </c>
      <c r="G54" s="22">
        <f t="shared" si="3"/>
        <v>286.40571364768812</v>
      </c>
      <c r="H54" s="22">
        <f t="shared" si="3"/>
        <v>0</v>
      </c>
      <c r="I54" s="22">
        <f t="shared" si="3"/>
        <v>0</v>
      </c>
      <c r="J54" s="22">
        <f t="shared" si="3"/>
        <v>0</v>
      </c>
      <c r="K54" s="22">
        <f t="shared" si="3"/>
        <v>0</v>
      </c>
      <c r="L54" s="22">
        <f t="shared" si="3"/>
        <v>0</v>
      </c>
      <c r="M54" s="22">
        <f t="shared" si="3"/>
        <v>12.658827504019834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0.21486157824989524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0.30853334349702238</v>
      </c>
      <c r="C58" s="24">
        <f t="shared" ref="C58:P58" ca="1" si="4">C54*C56</f>
        <v>0</v>
      </c>
      <c r="D58" s="24">
        <f t="shared" si="4"/>
        <v>0</v>
      </c>
      <c r="E58" s="24">
        <f t="shared" si="4"/>
        <v>0</v>
      </c>
      <c r="F58" s="24">
        <f t="shared" si="4"/>
        <v>0</v>
      </c>
      <c r="G58" s="24">
        <f t="shared" si="4"/>
        <v>76.470325543932731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591.97748345491971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591.97748345491971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2021-11-11T13:34:27Z</dcterms:modified>
</cp:coreProperties>
</file>