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BE2E78CF-C97F-4192-BA30-FFB81C2FD0D6}"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L20" i="18"/>
  <c r="D20" i="18"/>
  <c r="G12" i="18"/>
  <c r="F12" i="18"/>
  <c r="E12" i="18"/>
  <c r="D12" i="18"/>
  <c r="C12" i="18"/>
  <c r="L10" i="18"/>
  <c r="K10" i="18"/>
  <c r="G10" i="18"/>
  <c r="D10" i="18"/>
  <c r="B8" i="18"/>
  <c r="B6" i="18"/>
  <c r="B5" i="18"/>
  <c r="B4" i="18"/>
  <c r="J9" i="18" l="1"/>
  <c r="F20" i="18"/>
  <c r="B17" i="18"/>
  <c r="C47" i="18"/>
  <c r="B50" i="18" s="1"/>
  <c r="C8" i="18" s="1"/>
  <c r="G20" i="18"/>
  <c r="K20" i="18"/>
  <c r="B10" i="18"/>
  <c r="O9" i="18"/>
  <c r="O19" i="18"/>
  <c r="O18" i="18"/>
  <c r="B20" i="18"/>
  <c r="I51" i="18"/>
  <c r="H17" i="18" s="1"/>
  <c r="H20" i="18" s="1"/>
  <c r="E51" i="18"/>
  <c r="E17" i="18" s="1"/>
  <c r="E20" i="18" s="1"/>
  <c r="G51" i="18"/>
  <c r="C51" i="18"/>
  <c r="H51" i="18"/>
  <c r="D51" i="18"/>
  <c r="F51" i="18"/>
  <c r="B51" i="18"/>
  <c r="C17" i="18" s="1"/>
  <c r="I50" i="18"/>
  <c r="H8" i="18" s="1"/>
  <c r="H10" i="18" s="1"/>
  <c r="C50" i="18"/>
  <c r="H50" i="18"/>
  <c r="D50" i="18"/>
  <c r="N6" i="17"/>
  <c r="L6" i="17"/>
  <c r="F6" i="17"/>
  <c r="D6" i="17"/>
  <c r="C6" i="17"/>
  <c r="N16" i="16"/>
  <c r="L16" i="16"/>
  <c r="F16" i="16"/>
  <c r="D16" i="16"/>
  <c r="C16" i="16"/>
  <c r="B16" i="16"/>
  <c r="B13" i="15"/>
  <c r="F50" i="18" l="1"/>
  <c r="E50" i="18"/>
  <c r="E8" i="18" s="1"/>
  <c r="E10" i="18" s="1"/>
  <c r="G50"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O25" i="48" s="1"/>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0" i="14" s="1"/>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<sst xmlns="http://schemas.openxmlformats.org/spreadsheetml/2006/main" count="2568" uniqueCount="962">
  <si>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</si>
  <si>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</si>
  <si>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</si>
  <si>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</si>
  <si>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</si>
  <si>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</si>
  <si>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</si>
  <si>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</si>
  <si>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</si>
  <si>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</si>
  <si>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</si>
  <si>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</si>
  <si>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</si>
  <si>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</si>
  <si>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</si>
  <si>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</si>
  <si>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</si>
  <si>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</si>
  <si>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</si>
  <si>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</si>
  <si>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</si>
  <si>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</si>
  <si>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</si>
  <si>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</si>
  <si>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</si>
  <si>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</si>
  <si>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</si>
  <si>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</si>
  <si>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</si>
  <si>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</si>
  <si>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</si>
  <si>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</si>
  <si>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</si>
  <si>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</si>
  <si>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</si>
  <si>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</si>
  <si>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</si>
  <si>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</si>
  <si>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</si>
  <si>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</si>
  <si>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</si>
  <si>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</si>
  <si>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</si>
  <si>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</si>
  <si>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</si>
  <si>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</si>
  <si>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</si>
  <si>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</si>
  <si>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</si>
  <si>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</si>
  <si>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</si>
  <si>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</si>
  <si>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</si>
  <si>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</si>
  <si>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</si>
  <si>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</si>
  <si>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</si>
  <si>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</si>
  <si>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</si>
  <si>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</si>
  <si>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</si>
  <si>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</si>
  <si>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</si>
  <si>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</si>
  <si>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</si>
  <si>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</si>
  <si>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</si>
  <si>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</si>
  <si>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</si>
  <si>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</si>
  <si>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</si>
  <si>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</si>
  <si>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</si>
  <si>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</si>
  <si>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</si>
  <si>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</si>
  <si>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</si>
  <si>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</si>
  <si>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</si>
  <si>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</si>
  <si>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</si>
  <si>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</si>
  <si>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</si>
  <si>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</si>
  <si>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</si>
  <si>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</si>
  <si>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</si>
  <si>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</si>
  <si>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</si>
  <si>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</si>
  <si>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</si>
  <si>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</si>
  <si>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</si>
  <si>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</si>
  <si>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</si>
  <si>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</si>
  <si>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</si>
  <si>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</si>
  <si>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</si>
  <si>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</si>
  <si>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</si>
  <si>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</si>
  <si>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</si>
  <si>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</si>
  <si>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</si>
  <si>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</si>
  <si>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</si>
  <si>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</si>
  <si>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</si>
  <si>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</si>
  <si>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</si>
  <si>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</si>
  <si>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</si>
  <si>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</si>
  <si>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</si>
  <si>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</si>
  <si>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</si>
  <si>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</si>
  <si>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</si>
  <si>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</si>
  <si>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</si>
  <si>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</si>
  <si>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</si>
  <si>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</si>
  <si>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</si>
  <si>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</si>
  <si>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</si>
  <si>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</si>
  <si>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</si>
  <si>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</si>
  <si>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</si>
  <si>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</si>
  <si>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</si>
  <si>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</si>
  <si>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</si>
  <si>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</si>
  <si>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</si>
  <si>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</si>
  <si>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</si>
  <si>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</si>
  <si>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</si>
  <si>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</si>
  <si>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</si>
  <si>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</si>
  <si>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</si>
  <si>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</si>
  <si>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</si>
  <si>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</si>
  <si>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</si>
  <si>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</si>
  <si>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</si>
  <si>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</si>
  <si>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</si>
  <si>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</si>
  <si>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</si>
  <si>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</si>
  <si>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</si>
  <si>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</si>
  <si>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</si>
  <si>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</si>
  <si>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</si>
  <si>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</si>
  <si>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</si>
  <si>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</si>
  <si>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</si>
  <si>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</si>
  <si>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</si>
  <si>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</si>
  <si>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</si>
  <si>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</si>
  <si>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</si>
  <si>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</si>
  <si>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</si>
  <si>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</si>
  <si>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</si>
  <si>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</si>
  <si>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</si>
  <si>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</si>
  <si>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</si>
  <si>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</si>
  <si>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</si>
  <si>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</si>
  <si>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</si>
  <si>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</si>
  <si>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</si>
  <si>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</si>
  <si>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</si>
  <si>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</si>
  <si>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</si>
  <si>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</si>
  <si>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</si>
  <si>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</si>
  <si>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</si>
  <si>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</si>
  <si>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</si>
  <si>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</si>
  <si>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</si>
  <si>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</si>
  <si>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</si>
  <si>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</si>
  <si>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</si>
  <si>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</si>
  <si>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</si>
  <si>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</si>
  <si>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</si>
  <si>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</si>
  <si>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</si>
  <si>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</si>
  <si>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</si>
  <si>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</si>
  <si>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</si>
  <si>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</si>
  <si>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</si>
  <si>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</si>
  <si>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</si>
  <si>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</si>
  <si>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</si>
  <si>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</si>
  <si>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</si>
  <si>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</si>
  <si>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</si>
  <si>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</si>
  <si>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</si>
  <si>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</si>
  <si>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</si>
  <si>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</si>
  <si>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</si>
  <si>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</si>
  <si>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</si>
  <si>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</si>
  <si>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</si>
  <si>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</si>
  <si>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</si>
  <si>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</si>
  <si>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</si>
  <si>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</si>
  <si>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</si>
  <si>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</si>
  <si>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</si>
  <si>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</si>
  <si>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</si>
  <si>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</si>
  <si>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</si>
  <si>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</si>
  <si>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</si>
  <si>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</si>
  <si>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</si>
  <si>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</si>
  <si>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</si>
  <si>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</si>
  <si>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</si>
  <si>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</si>
  <si>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</si>
  <si>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</si>
  <si>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</si>
  <si>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</si>
  <si>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</si>
  <si>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</si>
  <si>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</si>
  <si>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</si>
  <si>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</si>
  <si>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</si>
  <si>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</si>
  <si>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</si>
  <si>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</si>
  <si>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</si>
  <si>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</si>
  <si>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</si>
  <si>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</si>
  <si>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</si>
  <si>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</si>
  <si>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</si>
  <si>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</si>
  <si>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</si>
  <si>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</si>
  <si>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</si>
  <si>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</si>
  <si>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</si>
  <si>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</si>
  <si>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</si>
  <si>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</si>
  <si>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</si>
  <si>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</si>
  <si>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</si>
  <si>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</si>
  <si>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</si>
  <si>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</si>
  <si>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</si>
  <si>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</si>
  <si>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</si>
  <si>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</si>
  <si>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</si>
  <si>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</si>
  <si>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</si>
  <si>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</si>
  <si>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</si>
  <si>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</si>
  <si>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</si>
  <si>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</si>
  <si>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</si>
  <si>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</si>
  <si>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</si>
  <si>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</si>
  <si>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</si>
  <si>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</si>
  <si>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</si>
  <si>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</si>
  <si>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</si>
  <si>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</si>
  <si>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</si>
  <si>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</si>
  <si>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</si>
  <si>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</si>
  <si>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</si>
  <si>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</si>
  <si>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</si>
  <si>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</si>
  <si>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</si>
  <si>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</si>
  <si>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</si>
  <si>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</si>
  <si>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</si>
  <si>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</si>
  <si>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</si>
  <si>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</si>
  <si>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</si>
  <si>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</si>
  <si>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</si>
  <si>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</si>
  <si>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</si>
  <si>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</si>
  <si>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</si>
  <si>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</si>
  <si>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</si>
  <si>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</si>
  <si>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</si>
  <si>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</si>
  <si>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</si>
  <si>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</si>
  <si>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</si>
  <si>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</si>
  <si>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</si>
  <si>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</si>
  <si>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</si>
  <si>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</si>
  <si>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</si>
  <si>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</si>
  <si>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</si>
  <si>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</si>
  <si>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</si>
  <si>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</si>
  <si>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</si>
  <si>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</si>
  <si>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</si>
  <si>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</si>
  <si>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</si>
  <si>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</si>
  <si>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</si>
  <si>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</si>
  <si>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</si>
  <si>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</si>
  <si>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</si>
  <si>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</si>
  <si>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</si>
  <si>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</si>
  <si>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</si>
  <si>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</si>
  <si>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</si>
  <si>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</si>
  <si>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</si>
  <si>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</si>
  <si>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</si>
  <si>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</si>
  <si>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</si>
  <si>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</si>
  <si>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</si>
  <si>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</si>
  <si>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</si>
  <si>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</si>
  <si>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</si>
  <si>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</si>
  <si>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</si>
  <si>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</si>
  <si>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</si>
  <si>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</si>
  <si>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</si>
  <si>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</si>
  <si>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</si>
  <si>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</si>
  <si>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</si>
  <si>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</si>
  <si>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</si>
  <si>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</si>
  <si>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</si>
  <si>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</si>
  <si>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</si>
  <si>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</si>
  <si>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</si>
  <si>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</si>
  <si>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</si>
  <si>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</si>
  <si>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</si>
  <si>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</si>
  <si>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</si>
  <si>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</si>
  <si>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</si>
  <si>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</si>
  <si>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</si>
  <si>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</si>
  <si>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</si>
  <si>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</si>
  <si>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</si>
  <si>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</si>
  <si>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</si>
  <si>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</si>
  <si>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</si>
  <si>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</si>
  <si>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</si>
  <si>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</si>
  <si>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</si>
  <si>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</si>
  <si>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</si>
  <si>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</si>
  <si>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</si>
  <si>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</si>
  <si>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</si>
  <si>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</si>
  <si>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</si>
  <si>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</si>
  <si>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</si>
  <si>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</si>
  <si>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</si>
  <si>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</si>
  <si>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</si>
  <si>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</si>
  <si>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</si>
  <si>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</si>
  <si>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</si>
  <si>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</si>
  <si>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</si>
  <si>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</si>
  <si>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</si>
  <si>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</si>
  <si>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</si>
  <si>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</si>
  <si>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</si>
  <si>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</si>
  <si>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</si>
  <si>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</si>
  <si>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</si>
  <si>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</si>
  <si>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</si>
  <si>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</si>
  <si>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</si>
  <si>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</si>
  <si>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</si>
  <si>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</si>
  <si>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</si>
  <si>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</si>
  <si>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</si>
  <si>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</si>
  <si>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</si>
  <si>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</si>
  <si>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</si>
  <si>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</si>
  <si>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</si>
  <si>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</si>
  <si>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</si>
  <si>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</si>
  <si>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</si>
  <si>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</si>
  <si>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</si>
  <si>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</si>
  <si>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</si>
  <si>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</si>
  <si>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</si>
  <si>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</si>
  <si>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</si>
  <si>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</si>
  <si>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</si>
  <si>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</si>
  <si>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</si>
  <si>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</si>
  <si>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</si>
  <si>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</si>
  <si>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</si>
  <si>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</si>
  <si>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</si>
  <si>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</si>
  <si>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</si>
  <si>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</si>
  <si>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</si>
  <si>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</si>
  <si>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</si>
  <si>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</si>
  <si>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</si>
  <si>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</si>
  <si>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</si>
  <si>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</si>
  <si>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</si>
  <si>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</si>
  <si>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</si>
  <si>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</si>
  <si>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</si>
  <si>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</si>
  <si>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</si>
  <si>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</si>
  <si>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</si>
  <si>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</si>
  <si>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</si>
  <si>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</si>
  <si>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</si>
  <si>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</si>
  <si>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</si>
  <si>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</si>
  <si>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</si>
  <si>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</si>
  <si>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</si>
  <si>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</si>
  <si>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</si>
  <si>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</si>
  <si>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</si>
  <si>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</si>
  <si>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</si>
  <si>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</si>
  <si>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</si>
  <si>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</si>
  <si>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</si>
  <si>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</si>
  <si>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</si>
  <si>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</si>
  <si>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</si>
  <si>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</si>
  <si>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</si>
  <si>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</si>
  <si>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</si>
  <si>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</si>
  <si>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</si>
  <si>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</si>
  <si>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</si>
  <si>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</si>
  <si>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</si>
  <si>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</si>
  <si>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</si>
  <si>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</si>
  <si>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</si>
  <si>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</si>
  <si>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</si>
  <si>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</si>
  <si>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</si>
  <si>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</si>
  <si>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</si>
  <si>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</si>
  <si>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</si>
  <si>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</si>
  <si>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</si>
  <si>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</si>
  <si>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</si>
  <si>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</si>
  <si>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</si>
  <si>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</si>
  <si>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</si>
  <si>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</si>
  <si>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</si>
  <si>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</si>
  <si>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</si>
  <si>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</si>
  <si>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</si>
  <si>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</si>
  <si>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</si>
  <si>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</si>
  <si>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</si>
  <si>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</si>
  <si>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</si>
  <si>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</si>
  <si>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</si>
  <si>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</si>
  <si>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</si>
  <si>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</si>
  <si>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</si>
  <si>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</si>
  <si>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</si>
  <si>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</si>
  <si>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</si>
  <si>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</si>
  <si>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</si>
  <si>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</si>
  <si>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</si>
  <si>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</si>
  <si>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</si>
  <si>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</si>
  <si>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</si>
  <si>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</si>
  <si>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</si>
  <si>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</si>
  <si>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</si>
  <si>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</si>
  <si>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</si>
  <si>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</si>
  <si>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</si>
  <si>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</si>
  <si>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</si>
  <si>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</si>
  <si>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</si>
  <si>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</si>
  <si>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</si>
  <si>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</si>
  <si>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</si>
  <si>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</si>
  <si>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</si>
  <si>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</si>
  <si>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</si>
  <si>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</si>
  <si>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</si>
  <si>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</si>
  <si>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</si>
  <si>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</si>
  <si>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</si>
  <si>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</si>
  <si>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</si>
  <si>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</si>
  <si>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</si>
  <si>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</si>
  <si>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</si>
  <si>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</si>
  <si>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</si>
  <si>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</si>
  <si>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</si>
  <si>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</si>
  <si>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</si>
  <si>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</si>
  <si>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</si>
  <si>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</si>
  <si>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</si>
  <si>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</si>
  <si>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</si>
  <si>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</si>
  <si>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</si>
  <si>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</si>
  <si>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</si>
  <si>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</si>
  <si>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</si>
  <si>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</si>
  <si>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</si>
  <si>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</si>
  <si>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</si>
  <si>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</si>
  <si>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</si>
  <si>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</si>
  <si>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</si>
  <si>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</si>
  <si>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</si>
  <si>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</si>
  <si>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</si>
  <si>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</si>
  <si>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</si>
  <si>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</si>
  <si>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</si>
  <si>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</si>
  <si>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</si>
  <si>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</si>
  <si>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</si>
  <si>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</si>
  <si>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</si>
  <si>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</si>
  <si>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</si>
  <si>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</si>
  <si>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</si>
  <si>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</si>
  <si>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</si>
  <si>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</si>
  <si>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</si>
  <si>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</si>
  <si>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</si>
  <si>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</si>
  <si>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</si>
  <si>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</si>
  <si>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</si>
  <si>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</si>
  <si>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</si>
  <si>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</si>
  <si>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</si>
  <si>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</si>
  <si>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</si>
  <si>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</si>
  <si>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</si>
  <si>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</si>
  <si>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</si>
  <si>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</si>
  <si>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</si>
  <si>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</si>
  <si>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</si>
  <si>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</si>
  <si>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</si>
  <si>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</si>
  <si>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</si>
  <si>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</si>
  <si>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</si>
  <si>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</si>
  <si>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</si>
  <si>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</si>
  <si>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</si>
  <si>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</si>
  <si>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</si>
  <si>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</si>
  <si>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</si>
  <si>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</si>
  <si>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</si>
  <si>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</si>
  <si>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</si>
  <si>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</si>
  <si>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</si>
  <si>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</si>
  <si>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</si>
  <si>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</si>
  <si>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</si>
  <si>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</si>
  <si>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</si>
  <si>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</si>
  <si>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</si>
  <si>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</si>
  <si>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</si>
  <si>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</si>
  <si>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</si>
  <si>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</si>
  <si>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</si>
  <si>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</si>
  <si>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</si>
  <si>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</si>
  <si>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</si>
  <si>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</si>
  <si>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</si>
  <si>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</si>
  <si>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</si>
  <si>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</si>
  <si>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</si>
  <si>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</si>
  <si>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</si>
  <si>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</si>
  <si>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</si>
  <si>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</si>
  <si>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</si>
  <si>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</si>
  <si>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</si>
  <si>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</si>
  <si>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</si>
  <si>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</si>
  <si>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</si>
  <si>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</si>
  <si>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</si>
  <si>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</si>
  <si>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</si>
  <si>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</si>
  <si>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</si>
  <si>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</si>
  <si>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</si>
  <si>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</si>
  <si>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</si>
  <si>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</si>
  <si>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</si>
  <si>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</si>
  <si>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</si>
  <si>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</si>
  <si>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</si>
  <si>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</si>
  <si>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</si>
  <si>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</si>
  <si>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</si>
  <si>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</si>
  <si>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</si>
  <si>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</si>
  <si>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</si>
  <si>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</si>
  <si>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</si>
  <si>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</si>
  <si>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</si>
  <si>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</si>
  <si>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</si>
  <si>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</si>
  <si>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</si>
  <si>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</si>
  <si>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</si>
  <si>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</si>
  <si>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</si>
  <si>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</si>
  <si>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</si>
  <si>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</si>
  <si>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</si>
  <si>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</si>
  <si>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</si>
  <si>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</si>
  <si>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</si>
  <si>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</si>
  <si>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</si>
  <si>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</si>
  <si>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</si>
  <si>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</si>
  <si>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</si>
  <si>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</si>
  <si>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</si>
  <si>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</si>
  <si>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</si>
  <si>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</si>
  <si>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</si>
  <si>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</si>
  <si>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</si>
  <si>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</si>
  <si>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</si>
  <si>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</si>
  <si>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</si>
  <si>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</si>
  <si>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</si>
  <si>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</si>
  <si>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</si>
  <si>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</si>
  <si>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</si>
  <si>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</si>
  <si>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</si>
  <si>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</si>
  <si>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</si>
  <si>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</si>
  <si>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</si>
  <si>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</si>
  <si>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</si>
  <si>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</si>
  <si>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</si>
  <si>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</si>
  <si>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</si>
  <si>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</si>
  <si>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</si>
  <si>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</si>
  <si>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</si>
  <si>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</si>
  <si>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</si>
  <si>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</si>
  <si>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</si>
  <si>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</si>
  <si>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</si>
  <si>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</si>
  <si>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</si>
  <si>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</si>
  <si>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</si>
  <si>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</si>
  <si>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</si>
  <si>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</si>
  <si>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</si>
  <si>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</si>
  <si>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</si>
  <si>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</si>
  <si>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</si>
  <si>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</si>
  <si>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</si>
  <si>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</si>
  <si>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</si>
  <si>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</si>
  <si>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</si>
  <si>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</si>
  <si>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</si>
  <si>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</si>
  <si>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</si>
  <si>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</si>
  <si>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</si>
  <si>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</si>
  <si>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</si>
  <si>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</si>
  <si>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</si>
  <si>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</si>
  <si>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</si>
  <si>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</si>
  <si>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</si>
  <si>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</si>
  <si>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</si>
  <si>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</si>
  <si>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</si>
  <si>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</si>
  <si>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</si>
  <si>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</si>
  <si>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</si>
  <si>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</si>
  <si>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</si>
  <si>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</si>
  <si>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</si>
  <si>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</si>
  <si>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</si>
  <si>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</si>
  <si>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</si>
  <si>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</si>
  <si>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</si>
  <si>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</si>
  <si>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</si>
  <si>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</si>
  <si>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</si>
  <si>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</si>
  <si>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</si>
  <si>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</si>
  <si>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</si>
  <si>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</si>
  <si>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</si>
  <si>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</si>
  <si>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</si>
  <si>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</si>
  <si>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</si>
  <si>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</si>
  <si>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</si>
  <si>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</si>
  <si>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</si>
  <si>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</si>
  <si>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</si>
  <si>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</si>
  <si>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</si>
  <si>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</si>
  <si>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</si>
  <si>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</si>
  <si>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</si>
  <si>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</si>
  <si>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</si>
  <si>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</si>
  <si>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</si>
  <si>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</si>
  <si>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</si>
  <si>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</si>
  <si>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</si>
  <si>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</si>
  <si>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</si>
  <si>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</si>
  <si>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</si>
  <si>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</si>
  <si>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</si>
  <si>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</si>
  <si>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</si>
  <si>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</si>
  <si>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</si>
  <si>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</si>
  <si>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</si>
  <si>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</si>
  <si>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</si>
  <si>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</si>
  <si>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</si>
  <si>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</si>
  <si>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</si>
  <si>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</si>
  <si>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</si>
  <si>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</si>
  <si>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</si>
  <si>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</si>
  <si>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</si>
  <si>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</si>
  <si>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</si>
  <si>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</si>
  <si>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</si>
  <si>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</si>
  <si>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</si>
  <si>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</si>
  <si>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31040</t>
  </si>
  <si>
    <t>ZEDELGEM</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</si>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</sst>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A7727E85-24BD-4684-8AA1-BC4DDE895808}"/>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31040</v>
      </c>
      <c r="B6" s="384"/>
      <c r="C6" s="385"/>
    </row>
    <row r="7" spans="1:7" s="382" customFormat="1" ht="15.75" customHeight="1">
      <c r="A7" s="386" t="str">
        <f>txtMunicipality</f>
        <v>ZEDELGEM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24896.4449624673</v>
      </c>
      <c r="D10" s="674">
        <f ca="1">tertiair!C16</f>
        <v>0</v>
      </c>
      <c r="E10" s="674">
        <f ca="1">tertiair!D16</f>
        <v>27834.502331959033</v>
      </c>
      <c r="F10" s="674">
        <f>tertiair!E16</f>
        <v>224.78922529641358</v>
      </c>
      <c r="G10" s="674">
        <f ca="1">tertiair!F16</f>
        <v>4769.2445298647835</v>
      </c>
      <c r="H10" s="674">
        <f>tertiair!G16</f>
        <v>0</v>
      </c>
      <c r="I10" s="674">
        <f>tertiair!H16</f>
        <v>0</v>
      </c>
      <c r="J10" s="674">
        <f>tertiair!I16</f>
        <v>0</v>
      </c>
      <c r="K10" s="674">
        <f>tertiair!J16</f>
        <v>0</v>
      </c>
      <c r="L10" s="674">
        <f>tertiair!K16</f>
        <v>0</v>
      </c>
      <c r="M10" s="674">
        <f ca="1">tertiair!L16</f>
        <v>0</v>
      </c>
      <c r="N10" s="674">
        <f>tertiair!M16</f>
        <v>0</v>
      </c>
      <c r="O10" s="674">
        <f ca="1">tertiair!N16</f>
        <v>2673.5004668727502</v>
      </c>
      <c r="P10" s="674">
        <f>tertiair!O16</f>
        <v>1.5633333333333335</v>
      </c>
      <c r="Q10" s="675">
        <f>tertiair!P16</f>
        <v>38.133333333333333</v>
      </c>
      <c r="R10" s="677">
        <f ca="1">SUM(C10:Q10)</f>
        <v>60438.17818312694</v>
      </c>
      <c r="S10" s="68"/>
    </row>
    <row r="11" spans="1:19" s="443" customFormat="1">
      <c r="A11" s="789" t="s">
        <v>214</v>
      </c>
      <c r="B11" s="794"/>
      <c r="C11" s="674">
        <f>huishoudens!B8</f>
        <v>45878.105501381593</v>
      </c>
      <c r="D11" s="674">
        <f>huishoudens!C8</f>
        <v>0</v>
      </c>
      <c r="E11" s="674">
        <f>huishoudens!D8</f>
        <v>79270.434119006371</v>
      </c>
      <c r="F11" s="674">
        <f>huishoudens!E8</f>
        <v>2160.0117449005752</v>
      </c>
      <c r="G11" s="674">
        <f>huishoudens!F8</f>
        <v>65852.486948858481</v>
      </c>
      <c r="H11" s="674">
        <f>huishoudens!G8</f>
        <v>0</v>
      </c>
      <c r="I11" s="674">
        <f>huishoudens!H8</f>
        <v>0</v>
      </c>
      <c r="J11" s="674">
        <f>huishoudens!I8</f>
        <v>0</v>
      </c>
      <c r="K11" s="674">
        <f>huishoudens!J8</f>
        <v>1194.8704296623041</v>
      </c>
      <c r="L11" s="674">
        <f>huishoudens!K8</f>
        <v>0</v>
      </c>
      <c r="M11" s="674">
        <f>huishoudens!L8</f>
        <v>0</v>
      </c>
      <c r="N11" s="674">
        <f>huishoudens!M8</f>
        <v>0</v>
      </c>
      <c r="O11" s="674">
        <f>huishoudens!N8</f>
        <v>12955.292412663866</v>
      </c>
      <c r="P11" s="674">
        <f>huishoudens!O8</f>
        <v>128.19333333333336</v>
      </c>
      <c r="Q11" s="675">
        <f>huishoudens!P8</f>
        <v>228.8</v>
      </c>
      <c r="R11" s="677">
        <f>SUM(C11:Q11)</f>
        <v>207668.19448980654</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28607.79425803461</v>
      </c>
      <c r="D13" s="674">
        <f>industrie!C18</f>
        <v>4017.8571428571431</v>
      </c>
      <c r="E13" s="674">
        <f>industrie!D18</f>
        <v>73796.637597828783</v>
      </c>
      <c r="F13" s="674">
        <f>industrie!E18</f>
        <v>239.82929688048847</v>
      </c>
      <c r="G13" s="674">
        <f>industrie!F18</f>
        <v>6186.6439906189025</v>
      </c>
      <c r="H13" s="674">
        <f>industrie!G18</f>
        <v>0</v>
      </c>
      <c r="I13" s="674">
        <f>industrie!H18</f>
        <v>0</v>
      </c>
      <c r="J13" s="674">
        <f>industrie!I18</f>
        <v>0</v>
      </c>
      <c r="K13" s="674">
        <f>industrie!J18</f>
        <v>179.3628332789437</v>
      </c>
      <c r="L13" s="674">
        <f>industrie!K18</f>
        <v>0</v>
      </c>
      <c r="M13" s="674">
        <f>industrie!L18</f>
        <v>0</v>
      </c>
      <c r="N13" s="674">
        <f>industrie!M18</f>
        <v>0</v>
      </c>
      <c r="O13" s="674">
        <f>industrie!N18</f>
        <v>0</v>
      </c>
      <c r="P13" s="674">
        <f>industrie!O18</f>
        <v>0</v>
      </c>
      <c r="Q13" s="675">
        <f>industrie!P18</f>
        <v>0</v>
      </c>
      <c r="R13" s="677">
        <f>SUM(C13:Q13)</f>
        <v>113028.12511949886</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99382.344721883506</v>
      </c>
      <c r="D16" s="707">
        <f t="shared" ref="D16:R16" ca="1" si="0">SUM(D9:D15)</f>
        <v>4017.8571428571431</v>
      </c>
      <c r="E16" s="707">
        <f t="shared" ca="1" si="0"/>
        <v>180901.57404879419</v>
      </c>
      <c r="F16" s="707">
        <f t="shared" si="0"/>
        <v>2624.6302670774771</v>
      </c>
      <c r="G16" s="707">
        <f t="shared" ca="1" si="0"/>
        <v>76808.375469342165</v>
      </c>
      <c r="H16" s="707">
        <f t="shared" si="0"/>
        <v>0</v>
      </c>
      <c r="I16" s="707">
        <f t="shared" si="0"/>
        <v>0</v>
      </c>
      <c r="J16" s="707">
        <f t="shared" si="0"/>
        <v>0</v>
      </c>
      <c r="K16" s="707">
        <f t="shared" si="0"/>
        <v>1374.2332629412479</v>
      </c>
      <c r="L16" s="707">
        <f t="shared" si="0"/>
        <v>0</v>
      </c>
      <c r="M16" s="707">
        <f t="shared" ca="1" si="0"/>
        <v>0</v>
      </c>
      <c r="N16" s="707">
        <f t="shared" si="0"/>
        <v>0</v>
      </c>
      <c r="O16" s="707">
        <f t="shared" ca="1" si="0"/>
        <v>15628.792879536617</v>
      </c>
      <c r="P16" s="707">
        <f t="shared" si="0"/>
        <v>129.75666666666669</v>
      </c>
      <c r="Q16" s="707">
        <f t="shared" si="0"/>
        <v>266.93333333333334</v>
      </c>
      <c r="R16" s="707">
        <f t="shared" ca="1" si="0"/>
        <v>381134.49779243238</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10.161750669854131</v>
      </c>
      <c r="D19" s="674">
        <f>transport!C54</f>
        <v>0</v>
      </c>
      <c r="E19" s="674">
        <f>transport!D54</f>
        <v>0</v>
      </c>
      <c r="F19" s="674">
        <f>transport!E54</f>
        <v>0</v>
      </c>
      <c r="G19" s="674">
        <f>transport!F54</f>
        <v>0</v>
      </c>
      <c r="H19" s="674">
        <f>transport!G54</f>
        <v>2026.7812056579016</v>
      </c>
      <c r="I19" s="674">
        <f>transport!H54</f>
        <v>0</v>
      </c>
      <c r="J19" s="674">
        <f>transport!I54</f>
        <v>0</v>
      </c>
      <c r="K19" s="674">
        <f>transport!J54</f>
        <v>0</v>
      </c>
      <c r="L19" s="674">
        <f>transport!K54</f>
        <v>0</v>
      </c>
      <c r="M19" s="674">
        <f>transport!L54</f>
        <v>0</v>
      </c>
      <c r="N19" s="674">
        <f>transport!M54</f>
        <v>89.581570646922827</v>
      </c>
      <c r="O19" s="674">
        <f>transport!N54</f>
        <v>0</v>
      </c>
      <c r="P19" s="674">
        <f>transport!O54</f>
        <v>0</v>
      </c>
      <c r="Q19" s="675">
        <f>transport!P54</f>
        <v>0</v>
      </c>
      <c r="R19" s="677">
        <f>SUM(C19:Q19)</f>
        <v>2126.5245269746788</v>
      </c>
      <c r="S19" s="68"/>
    </row>
    <row r="20" spans="1:19" s="443" customFormat="1">
      <c r="A20" s="789" t="s">
        <v>296</v>
      </c>
      <c r="B20" s="794"/>
      <c r="C20" s="674">
        <f>transport!B14</f>
        <v>8.7907187199904513</v>
      </c>
      <c r="D20" s="674">
        <f>transport!C14</f>
        <v>0</v>
      </c>
      <c r="E20" s="674">
        <f>transport!D14</f>
        <v>10.405622967970519</v>
      </c>
      <c r="F20" s="674">
        <f>transport!E14</f>
        <v>735.47654192074458</v>
      </c>
      <c r="G20" s="674">
        <f>transport!F14</f>
        <v>0</v>
      </c>
      <c r="H20" s="674">
        <f>transport!G14</f>
        <v>176700.90685813793</v>
      </c>
      <c r="I20" s="674">
        <f>transport!H14</f>
        <v>25724.930996122817</v>
      </c>
      <c r="J20" s="674">
        <f>transport!I14</f>
        <v>0</v>
      </c>
      <c r="K20" s="674">
        <f>transport!J14</f>
        <v>0</v>
      </c>
      <c r="L20" s="674">
        <f>transport!K14</f>
        <v>0</v>
      </c>
      <c r="M20" s="674">
        <f>transport!L14</f>
        <v>0</v>
      </c>
      <c r="N20" s="674">
        <f>transport!M14</f>
        <v>9040.7610685079217</v>
      </c>
      <c r="O20" s="674">
        <f>transport!N14</f>
        <v>0</v>
      </c>
      <c r="P20" s="674">
        <f>transport!O14</f>
        <v>0</v>
      </c>
      <c r="Q20" s="675">
        <f>transport!P14</f>
        <v>0</v>
      </c>
      <c r="R20" s="677">
        <f>SUM(C20:Q20)</f>
        <v>212221.27180637736</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18.95246938984458</v>
      </c>
      <c r="D22" s="792">
        <f t="shared" ref="D22:R22" si="1">SUM(D18:D21)</f>
        <v>0</v>
      </c>
      <c r="E22" s="792">
        <f t="shared" si="1"/>
        <v>10.405622967970519</v>
      </c>
      <c r="F22" s="792">
        <f t="shared" si="1"/>
        <v>735.47654192074458</v>
      </c>
      <c r="G22" s="792">
        <f t="shared" si="1"/>
        <v>0</v>
      </c>
      <c r="H22" s="792">
        <f t="shared" si="1"/>
        <v>178727.68806379582</v>
      </c>
      <c r="I22" s="792">
        <f t="shared" si="1"/>
        <v>25724.930996122817</v>
      </c>
      <c r="J22" s="792">
        <f t="shared" si="1"/>
        <v>0</v>
      </c>
      <c r="K22" s="792">
        <f t="shared" si="1"/>
        <v>0</v>
      </c>
      <c r="L22" s="792">
        <f t="shared" si="1"/>
        <v>0</v>
      </c>
      <c r="M22" s="792">
        <f t="shared" si="1"/>
        <v>0</v>
      </c>
      <c r="N22" s="792">
        <f t="shared" si="1"/>
        <v>9130.3426391548437</v>
      </c>
      <c r="O22" s="792">
        <f t="shared" si="1"/>
        <v>0</v>
      </c>
      <c r="P22" s="792">
        <f t="shared" si="1"/>
        <v>0</v>
      </c>
      <c r="Q22" s="792">
        <f t="shared" si="1"/>
        <v>0</v>
      </c>
      <c r="R22" s="792">
        <f t="shared" si="1"/>
        <v>214347.79633335205</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4500.6715352801239</v>
      </c>
      <c r="D24" s="674">
        <f>+landbouw!C8</f>
        <v>16977.857142857145</v>
      </c>
      <c r="E24" s="674">
        <f>+landbouw!D8</f>
        <v>9581.9549312066883</v>
      </c>
      <c r="F24" s="674">
        <f>+landbouw!E8</f>
        <v>42.399341411186754</v>
      </c>
      <c r="G24" s="674">
        <f>+landbouw!F8</f>
        <v>14687.184861325117</v>
      </c>
      <c r="H24" s="674">
        <f>+landbouw!G8</f>
        <v>0</v>
      </c>
      <c r="I24" s="674">
        <f>+landbouw!H8</f>
        <v>0</v>
      </c>
      <c r="J24" s="674">
        <f>+landbouw!I8</f>
        <v>0</v>
      </c>
      <c r="K24" s="674">
        <f>+landbouw!J8</f>
        <v>556.75496017629393</v>
      </c>
      <c r="L24" s="674">
        <f>+landbouw!K8</f>
        <v>0</v>
      </c>
      <c r="M24" s="674">
        <f>+landbouw!L8</f>
        <v>0</v>
      </c>
      <c r="N24" s="674">
        <f>+landbouw!M8</f>
        <v>0</v>
      </c>
      <c r="O24" s="674">
        <f>+landbouw!N8</f>
        <v>0</v>
      </c>
      <c r="P24" s="674">
        <f>+landbouw!O8</f>
        <v>0</v>
      </c>
      <c r="Q24" s="675">
        <f>+landbouw!P8</f>
        <v>0</v>
      </c>
      <c r="R24" s="677">
        <f>SUM(C24:Q24)</f>
        <v>46346.822772256557</v>
      </c>
      <c r="S24" s="68"/>
    </row>
    <row r="25" spans="1:19" s="443" customFormat="1" ht="15" thickBot="1">
      <c r="A25" s="811" t="s">
        <v>873</v>
      </c>
      <c r="B25" s="977"/>
      <c r="C25" s="978">
        <f>IF(Onbekend_ele_kWh="---",0,Onbekend_ele_kWh)/1000+IF(REST_rest_ele_kWh="---",0,REST_rest_ele_kWh)/1000</f>
        <v>1724.62428337397</v>
      </c>
      <c r="D25" s="978"/>
      <c r="E25" s="978">
        <f>IF(onbekend_gas_kWh="---",0,onbekend_gas_kWh)/1000+IF(REST_rest_gas_kWh="---",0,REST_rest_gas_kWh)/1000</f>
        <v>2820.0022318106603</v>
      </c>
      <c r="F25" s="978"/>
      <c r="G25" s="978"/>
      <c r="H25" s="978"/>
      <c r="I25" s="978"/>
      <c r="J25" s="978"/>
      <c r="K25" s="978"/>
      <c r="L25" s="978"/>
      <c r="M25" s="978"/>
      <c r="N25" s="978"/>
      <c r="O25" s="978"/>
      <c r="P25" s="978"/>
      <c r="Q25" s="979"/>
      <c r="R25" s="677">
        <f>SUM(C25:Q25)</f>
        <v>4544.6265151846301</v>
      </c>
      <c r="S25" s="68"/>
    </row>
    <row r="26" spans="1:19" s="443" customFormat="1" ht="15.75" thickBot="1">
      <c r="A26" s="680" t="s">
        <v>874</v>
      </c>
      <c r="B26" s="797"/>
      <c r="C26" s="792">
        <f>SUM(C24:C25)</f>
        <v>6225.2958186540936</v>
      </c>
      <c r="D26" s="792">
        <f t="shared" ref="D26:R26" si="2">SUM(D24:D25)</f>
        <v>16977.857142857145</v>
      </c>
      <c r="E26" s="792">
        <f t="shared" si="2"/>
        <v>12401.957163017349</v>
      </c>
      <c r="F26" s="792">
        <f t="shared" si="2"/>
        <v>42.399341411186754</v>
      </c>
      <c r="G26" s="792">
        <f t="shared" si="2"/>
        <v>14687.184861325117</v>
      </c>
      <c r="H26" s="792">
        <f t="shared" si="2"/>
        <v>0</v>
      </c>
      <c r="I26" s="792">
        <f t="shared" si="2"/>
        <v>0</v>
      </c>
      <c r="J26" s="792">
        <f t="shared" si="2"/>
        <v>0</v>
      </c>
      <c r="K26" s="792">
        <f t="shared" si="2"/>
        <v>556.75496017629393</v>
      </c>
      <c r="L26" s="792">
        <f t="shared" si="2"/>
        <v>0</v>
      </c>
      <c r="M26" s="792">
        <f t="shared" si="2"/>
        <v>0</v>
      </c>
      <c r="N26" s="792">
        <f t="shared" si="2"/>
        <v>0</v>
      </c>
      <c r="O26" s="792">
        <f t="shared" si="2"/>
        <v>0</v>
      </c>
      <c r="P26" s="792">
        <f t="shared" si="2"/>
        <v>0</v>
      </c>
      <c r="Q26" s="792">
        <f t="shared" si="2"/>
        <v>0</v>
      </c>
      <c r="R26" s="792">
        <f t="shared" si="2"/>
        <v>50891.449287441188</v>
      </c>
      <c r="S26" s="68"/>
    </row>
    <row r="27" spans="1:19" s="443" customFormat="1" ht="17.25" thickTop="1" thickBot="1">
      <c r="A27" s="681" t="s">
        <v>109</v>
      </c>
      <c r="B27" s="784"/>
      <c r="C27" s="682">
        <f ca="1">C22+C16+C26</f>
        <v>105626.59300992744</v>
      </c>
      <c r="D27" s="682">
        <f t="shared" ref="D27:R27" ca="1" si="3">D22+D16+D26</f>
        <v>20995.71428571429</v>
      </c>
      <c r="E27" s="682">
        <f t="shared" ca="1" si="3"/>
        <v>193313.93683477954</v>
      </c>
      <c r="F27" s="682">
        <f t="shared" si="3"/>
        <v>3402.5061504094087</v>
      </c>
      <c r="G27" s="682">
        <f t="shared" ca="1" si="3"/>
        <v>91495.560330667286</v>
      </c>
      <c r="H27" s="682">
        <f t="shared" si="3"/>
        <v>178727.68806379582</v>
      </c>
      <c r="I27" s="682">
        <f t="shared" si="3"/>
        <v>25724.930996122817</v>
      </c>
      <c r="J27" s="682">
        <f t="shared" si="3"/>
        <v>0</v>
      </c>
      <c r="K27" s="682">
        <f t="shared" si="3"/>
        <v>1930.9882231175418</v>
      </c>
      <c r="L27" s="682">
        <f t="shared" si="3"/>
        <v>0</v>
      </c>
      <c r="M27" s="682">
        <f t="shared" ca="1" si="3"/>
        <v>0</v>
      </c>
      <c r="N27" s="682">
        <f t="shared" si="3"/>
        <v>9130.3426391548437</v>
      </c>
      <c r="O27" s="682">
        <f t="shared" ca="1" si="3"/>
        <v>15628.792879536617</v>
      </c>
      <c r="P27" s="682">
        <f t="shared" si="3"/>
        <v>129.75666666666669</v>
      </c>
      <c r="Q27" s="682">
        <f t="shared" si="3"/>
        <v>266.93333333333334</v>
      </c>
      <c r="R27" s="682">
        <f t="shared" ca="1" si="3"/>
        <v>646373.74341322563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4805.6361676721635</v>
      </c>
      <c r="D40" s="674">
        <f ca="1">tertiair!C20</f>
        <v>0</v>
      </c>
      <c r="E40" s="674">
        <f ca="1">tertiair!D20</f>
        <v>5622.5694710557245</v>
      </c>
      <c r="F40" s="674">
        <f>tertiair!E20</f>
        <v>51.02715414228588</v>
      </c>
      <c r="G40" s="674">
        <f ca="1">tertiair!F20</f>
        <v>1273.3882894738972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11752.621082344071</v>
      </c>
    </row>
    <row r="41" spans="1:18">
      <c r="A41" s="802" t="s">
        <v>214</v>
      </c>
      <c r="B41" s="809"/>
      <c r="C41" s="674">
        <f ca="1">huishoudens!B12</f>
        <v>8855.6210910470963</v>
      </c>
      <c r="D41" s="674">
        <f ca="1">huishoudens!C12</f>
        <v>0</v>
      </c>
      <c r="E41" s="674">
        <f>huishoudens!D12</f>
        <v>16012.627692039288</v>
      </c>
      <c r="F41" s="674">
        <f>huishoudens!E12</f>
        <v>490.32266609243061</v>
      </c>
      <c r="G41" s="674">
        <f>huishoudens!F12</f>
        <v>17582.614015345214</v>
      </c>
      <c r="H41" s="674">
        <f>huishoudens!G12</f>
        <v>0</v>
      </c>
      <c r="I41" s="674">
        <f>huishoudens!H12</f>
        <v>0</v>
      </c>
      <c r="J41" s="674">
        <f>huishoudens!I12</f>
        <v>0</v>
      </c>
      <c r="K41" s="674">
        <f>huishoudens!J12</f>
        <v>422.98413210045561</v>
      </c>
      <c r="L41" s="674">
        <f>huishoudens!K12</f>
        <v>0</v>
      </c>
      <c r="M41" s="674">
        <f>huishoudens!L12</f>
        <v>0</v>
      </c>
      <c r="N41" s="674">
        <f>huishoudens!M12</f>
        <v>0</v>
      </c>
      <c r="O41" s="674">
        <f>huishoudens!N12</f>
        <v>0</v>
      </c>
      <c r="P41" s="674">
        <f>huishoudens!O12</f>
        <v>0</v>
      </c>
      <c r="Q41" s="749">
        <f>huishoudens!P12</f>
        <v>0</v>
      </c>
      <c r="R41" s="830">
        <f t="shared" ca="1" si="4"/>
        <v>43364.169596624481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5522.0193473803774</v>
      </c>
      <c r="D43" s="674">
        <f ca="1">industrie!C22</f>
        <v>772.10996155963926</v>
      </c>
      <c r="E43" s="674">
        <f>industrie!D22</f>
        <v>14906.920794761416</v>
      </c>
      <c r="F43" s="674">
        <f>industrie!E22</f>
        <v>54.441250391870888</v>
      </c>
      <c r="G43" s="674">
        <f>industrie!F22</f>
        <v>1651.833945495247</v>
      </c>
      <c r="H43" s="674">
        <f>industrie!G22</f>
        <v>0</v>
      </c>
      <c r="I43" s="674">
        <f>industrie!H22</f>
        <v>0</v>
      </c>
      <c r="J43" s="674">
        <f>industrie!I22</f>
        <v>0</v>
      </c>
      <c r="K43" s="674">
        <f>industrie!J22</f>
        <v>63.494442980746065</v>
      </c>
      <c r="L43" s="674">
        <f>industrie!K22</f>
        <v>0</v>
      </c>
      <c r="M43" s="674">
        <f>industrie!L22</f>
        <v>0</v>
      </c>
      <c r="N43" s="674">
        <f>industrie!M22</f>
        <v>0</v>
      </c>
      <c r="O43" s="674">
        <f>industrie!N22</f>
        <v>0</v>
      </c>
      <c r="P43" s="674">
        <f>industrie!O22</f>
        <v>0</v>
      </c>
      <c r="Q43" s="749">
        <f>industrie!P22</f>
        <v>0</v>
      </c>
      <c r="R43" s="829">
        <f t="shared" ca="1" si="4"/>
        <v>22970.8197425693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19183.276606099636</v>
      </c>
      <c r="D46" s="707">
        <f t="shared" ref="D46:Q46" ca="1" si="5">SUM(D39:D45)</f>
        <v>772.10996155963926</v>
      </c>
      <c r="E46" s="707">
        <f t="shared" ca="1" si="5"/>
        <v>36542.117957856433</v>
      </c>
      <c r="F46" s="707">
        <f t="shared" si="5"/>
        <v>595.79107062658738</v>
      </c>
      <c r="G46" s="707">
        <f t="shared" ca="1" si="5"/>
        <v>20507.836250314358</v>
      </c>
      <c r="H46" s="707">
        <f t="shared" si="5"/>
        <v>0</v>
      </c>
      <c r="I46" s="707">
        <f t="shared" si="5"/>
        <v>0</v>
      </c>
      <c r="J46" s="707">
        <f t="shared" si="5"/>
        <v>0</v>
      </c>
      <c r="K46" s="707">
        <f t="shared" si="5"/>
        <v>486.47857508120165</v>
      </c>
      <c r="L46" s="707">
        <f t="shared" si="5"/>
        <v>0</v>
      </c>
      <c r="M46" s="707">
        <f t="shared" ca="1" si="5"/>
        <v>0</v>
      </c>
      <c r="N46" s="707">
        <f t="shared" si="5"/>
        <v>0</v>
      </c>
      <c r="O46" s="707">
        <f t="shared" ca="1" si="5"/>
        <v>0</v>
      </c>
      <c r="P46" s="707">
        <f t="shared" si="5"/>
        <v>0</v>
      </c>
      <c r="Q46" s="707">
        <f t="shared" si="5"/>
        <v>0</v>
      </c>
      <c r="R46" s="707">
        <f ca="1">SUM(R39:R45)</f>
        <v>78087.610421537858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1.9614718735762147</v>
      </c>
      <c r="D49" s="674">
        <f ca="1">transport!C58</f>
        <v>0</v>
      </c>
      <c r="E49" s="674">
        <f>transport!D58</f>
        <v>0</v>
      </c>
      <c r="F49" s="674">
        <f>transport!E58</f>
        <v>0</v>
      </c>
      <c r="G49" s="674">
        <f>transport!F58</f>
        <v>0</v>
      </c>
      <c r="H49" s="674">
        <f>transport!G58</f>
        <v>541.15058191065975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543.11205378423597</v>
      </c>
    </row>
    <row r="50" spans="1:18">
      <c r="A50" s="805" t="s">
        <v>296</v>
      </c>
      <c r="B50" s="815"/>
      <c r="C50" s="984">
        <f ca="1">transport!B18</f>
        <v>1.6968284381286329</v>
      </c>
      <c r="D50" s="984">
        <f>transport!C18</f>
        <v>0</v>
      </c>
      <c r="E50" s="984">
        <f>transport!D18</f>
        <v>2.1019358395300451</v>
      </c>
      <c r="F50" s="984">
        <f>transport!E18</f>
        <v>166.95317501600903</v>
      </c>
      <c r="G50" s="984">
        <f>transport!F18</f>
        <v>0</v>
      </c>
      <c r="H50" s="984">
        <f>transport!G18</f>
        <v>47179.142131122826</v>
      </c>
      <c r="I50" s="984">
        <f>transport!H18</f>
        <v>6405.5078180345818</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53755.401888451073</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3.6583003117048474</v>
      </c>
      <c r="D52" s="707">
        <f t="shared" ref="D52:Q52" ca="1" si="6">SUM(D48:D51)</f>
        <v>0</v>
      </c>
      <c r="E52" s="707">
        <f t="shared" si="6"/>
        <v>2.1019358395300451</v>
      </c>
      <c r="F52" s="707">
        <f t="shared" si="6"/>
        <v>166.95317501600903</v>
      </c>
      <c r="G52" s="707">
        <f t="shared" si="6"/>
        <v>0</v>
      </c>
      <c r="H52" s="707">
        <f t="shared" si="6"/>
        <v>47720.292713033487</v>
      </c>
      <c r="I52" s="707">
        <f t="shared" si="6"/>
        <v>6405.5078180345818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54298.51394223531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868.74210118597273</v>
      </c>
      <c r="D54" s="984">
        <f ca="1">+landbouw!C12</f>
        <v>3262.6278535664114</v>
      </c>
      <c r="E54" s="984">
        <f>+landbouw!D12</f>
        <v>1935.5548961037512</v>
      </c>
      <c r="F54" s="984">
        <f>+landbouw!E12</f>
        <v>9.6246505003393938</v>
      </c>
      <c r="G54" s="984">
        <f>+landbouw!F12</f>
        <v>3921.4783579738064</v>
      </c>
      <c r="H54" s="984">
        <f>+landbouw!G12</f>
        <v>0</v>
      </c>
      <c r="I54" s="984">
        <f>+landbouw!H12</f>
        <v>0</v>
      </c>
      <c r="J54" s="984">
        <f>+landbouw!I12</f>
        <v>0</v>
      </c>
      <c r="K54" s="984">
        <f>+landbouw!J12</f>
        <v>197.09125590240805</v>
      </c>
      <c r="L54" s="984">
        <f>+landbouw!K12</f>
        <v>0</v>
      </c>
      <c r="M54" s="984">
        <f>+landbouw!L12</f>
        <v>0</v>
      </c>
      <c r="N54" s="984">
        <f>+landbouw!M12</f>
        <v>0</v>
      </c>
      <c r="O54" s="984">
        <f>+landbouw!N12</f>
        <v>0</v>
      </c>
      <c r="P54" s="984">
        <f>+landbouw!O12</f>
        <v>0</v>
      </c>
      <c r="Q54" s="985">
        <f>+landbouw!P12</f>
        <v>0</v>
      </c>
      <c r="R54" s="706">
        <f ca="1">SUM(C54:Q54)</f>
        <v>10195.119115232688</v>
      </c>
    </row>
    <row r="55" spans="1:18" ht="15" thickBot="1">
      <c r="A55" s="805" t="s">
        <v>873</v>
      </c>
      <c r="B55" s="815"/>
      <c r="C55" s="984">
        <f ca="1">C25*'EF ele_warmte'!B12</f>
        <v>332.89559390194489</v>
      </c>
      <c r="D55" s="984"/>
      <c r="E55" s="984">
        <f>E25*EF_CO2_aardgas</f>
        <v>569.64045082575342</v>
      </c>
      <c r="F55" s="984"/>
      <c r="G55" s="984"/>
      <c r="H55" s="984"/>
      <c r="I55" s="984"/>
      <c r="J55" s="984"/>
      <c r="K55" s="984"/>
      <c r="L55" s="984"/>
      <c r="M55" s="984"/>
      <c r="N55" s="984"/>
      <c r="O55" s="984"/>
      <c r="P55" s="984"/>
      <c r="Q55" s="985"/>
      <c r="R55" s="706">
        <f ca="1">SUM(C55:Q55)</f>
        <v>902.53604472769825</v>
      </c>
    </row>
    <row r="56" spans="1:18" ht="15.75" thickBot="1">
      <c r="A56" s="803" t="s">
        <v>874</v>
      </c>
      <c r="B56" s="816"/>
      <c r="C56" s="707">
        <f ca="1">SUM(C54:C55)</f>
        <v>1201.6376950879176</v>
      </c>
      <c r="D56" s="707">
        <f t="shared" ref="D56:Q56" ca="1" si="7">SUM(D54:D55)</f>
        <v>3262.6278535664114</v>
      </c>
      <c r="E56" s="707">
        <f t="shared" si="7"/>
        <v>2505.1953469295045</v>
      </c>
      <c r="F56" s="707">
        <f t="shared" si="7"/>
        <v>9.6246505003393938</v>
      </c>
      <c r="G56" s="707">
        <f t="shared" si="7"/>
        <v>3921.4783579738064</v>
      </c>
      <c r="H56" s="707">
        <f t="shared" si="7"/>
        <v>0</v>
      </c>
      <c r="I56" s="707">
        <f t="shared" si="7"/>
        <v>0</v>
      </c>
      <c r="J56" s="707">
        <f t="shared" si="7"/>
        <v>0</v>
      </c>
      <c r="K56" s="707">
        <f t="shared" si="7"/>
        <v>197.09125590240805</v>
      </c>
      <c r="L56" s="707">
        <f t="shared" si="7"/>
        <v>0</v>
      </c>
      <c r="M56" s="707">
        <f t="shared" si="7"/>
        <v>0</v>
      </c>
      <c r="N56" s="707">
        <f t="shared" si="7"/>
        <v>0</v>
      </c>
      <c r="O56" s="707">
        <f t="shared" si="7"/>
        <v>0</v>
      </c>
      <c r="P56" s="707">
        <f t="shared" si="7"/>
        <v>0</v>
      </c>
      <c r="Q56" s="708">
        <f t="shared" si="7"/>
        <v>0</v>
      </c>
      <c r="R56" s="709">
        <f ca="1">SUM(R54:R55)</f>
        <v>11097.655159960386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20388.572601499258</v>
      </c>
      <c r="D61" s="715">
        <f t="shared" ref="D61:Q61" ca="1" si="8">D46+D52+D56</f>
        <v>4034.7378151260509</v>
      </c>
      <c r="E61" s="715">
        <f t="shared" ca="1" si="8"/>
        <v>39049.415240625465</v>
      </c>
      <c r="F61" s="715">
        <f t="shared" si="8"/>
        <v>772.3688961429358</v>
      </c>
      <c r="G61" s="715">
        <f t="shared" ca="1" si="8"/>
        <v>24429.314608288165</v>
      </c>
      <c r="H61" s="715">
        <f t="shared" si="8"/>
        <v>47720.292713033487</v>
      </c>
      <c r="I61" s="715">
        <f t="shared" si="8"/>
        <v>6405.5078180345818</v>
      </c>
      <c r="J61" s="715">
        <f t="shared" si="8"/>
        <v>0</v>
      </c>
      <c r="K61" s="715">
        <f t="shared" si="8"/>
        <v>683.56983098360968</v>
      </c>
      <c r="L61" s="715">
        <f t="shared" si="8"/>
        <v>0</v>
      </c>
      <c r="M61" s="715">
        <f t="shared" ca="1" si="8"/>
        <v>0</v>
      </c>
      <c r="N61" s="715">
        <f t="shared" si="8"/>
        <v>0</v>
      </c>
      <c r="O61" s="715">
        <f t="shared" ca="1" si="8"/>
        <v>0</v>
      </c>
      <c r="P61" s="715">
        <f t="shared" si="8"/>
        <v>0</v>
      </c>
      <c r="Q61" s="715">
        <f t="shared" si="8"/>
        <v>0</v>
      </c>
      <c r="R61" s="715">
        <f ca="1">R46+R52+R56</f>
        <v>143483.77952373354</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0.19302499513151025</v>
      </c>
      <c r="D63" s="759">
        <f t="shared" ca="1" si="9"/>
        <v>0.1921695904326213</v>
      </c>
      <c r="E63" s="986">
        <f t="shared" ca="1" si="9"/>
        <v>0.20199999999999999</v>
      </c>
      <c r="F63" s="759">
        <f t="shared" si="9"/>
        <v>0.22700000000000001</v>
      </c>
      <c r="G63" s="759">
        <f t="shared" ca="1" si="9"/>
        <v>0.26700000000000002</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2979.8416899012332</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8473.4792344559555</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2812.5</v>
      </c>
      <c r="C76" s="725">
        <f>'lokale energieproductie'!B8*IFERROR(SUM(D76:H76)/SUM(D76:O76),0)</f>
        <v>11884.5</v>
      </c>
      <c r="D76" s="996">
        <f>'lokale energieproductie'!C8</f>
        <v>13981.764705882351</v>
      </c>
      <c r="E76" s="997">
        <f>'lokale energieproductie'!D8</f>
        <v>0</v>
      </c>
      <c r="F76" s="997">
        <f>'lokale energieproductie'!E8</f>
        <v>0</v>
      </c>
      <c r="G76" s="997">
        <f>'lokale energieproductie'!F8</f>
        <v>0</v>
      </c>
      <c r="H76" s="997">
        <f>'lokale energieproductie'!G8</f>
        <v>0</v>
      </c>
      <c r="I76" s="997">
        <f>'lokale energieproductie'!I8</f>
        <v>0</v>
      </c>
      <c r="J76" s="997">
        <f>'lokale energieproductie'!J8</f>
        <v>3308.8235294117644</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2824.316470588235</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14265.820924357189</v>
      </c>
      <c r="C78" s="730">
        <f>SUM(C72:C77)</f>
        <v>11884.5</v>
      </c>
      <c r="D78" s="731">
        <f t="shared" ref="D78:H78" si="10">SUM(D76:D77)</f>
        <v>13981.764705882351</v>
      </c>
      <c r="E78" s="731">
        <f t="shared" si="10"/>
        <v>0</v>
      </c>
      <c r="F78" s="731">
        <f t="shared" si="10"/>
        <v>0</v>
      </c>
      <c r="G78" s="731">
        <f t="shared" si="10"/>
        <v>0</v>
      </c>
      <c r="H78" s="731">
        <f t="shared" si="10"/>
        <v>0</v>
      </c>
      <c r="I78" s="731">
        <f>SUM(I76:I77)</f>
        <v>0</v>
      </c>
      <c r="J78" s="731">
        <f>SUM(J76:J77)</f>
        <v>3308.8235294117644</v>
      </c>
      <c r="K78" s="731">
        <f t="shared" ref="K78:L78" si="11">SUM(K76:K77)</f>
        <v>0</v>
      </c>
      <c r="L78" s="731">
        <f t="shared" si="11"/>
        <v>0</v>
      </c>
      <c r="M78" s="731">
        <f>SUM(M76:M77)</f>
        <v>0</v>
      </c>
      <c r="N78" s="731">
        <f>SUM(N76:N77)</f>
        <v>0</v>
      </c>
      <c r="O78" s="840">
        <f>SUM(O76:O77)</f>
        <v>0</v>
      </c>
      <c r="P78" s="732">
        <v>0</v>
      </c>
      <c r="Q78" s="732">
        <f>SUM(Q76:Q77)</f>
        <v>2824.316470588235</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4017.8571428571422</v>
      </c>
      <c r="C87" s="741">
        <f>'lokale energieproductie'!B17*IFERROR(SUM(D87:H87)/SUM(D87:O87),0)</f>
        <v>16977.857142857145</v>
      </c>
      <c r="D87" s="752">
        <f>'lokale energieproductie'!C17</f>
        <v>19973.949579831933</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4726.8907563025205</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4034.7378151260509</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4017.8571428571422</v>
      </c>
      <c r="C90" s="730">
        <f>SUM(C87:C89)</f>
        <v>16977.857142857145</v>
      </c>
      <c r="D90" s="730">
        <f t="shared" ref="D90:H90" si="12">SUM(D87:D89)</f>
        <v>19973.949579831933</v>
      </c>
      <c r="E90" s="730">
        <f t="shared" si="12"/>
        <v>0</v>
      </c>
      <c r="F90" s="730">
        <f t="shared" si="12"/>
        <v>0</v>
      </c>
      <c r="G90" s="730">
        <f t="shared" si="12"/>
        <v>0</v>
      </c>
      <c r="H90" s="730">
        <f t="shared" si="12"/>
        <v>0</v>
      </c>
      <c r="I90" s="730">
        <f>SUM(I87:I89)</f>
        <v>0</v>
      </c>
      <c r="J90" s="730">
        <f>SUM(J87:J89)</f>
        <v>4726.8907563025205</v>
      </c>
      <c r="K90" s="730">
        <f t="shared" ref="K90:L90" si="13">SUM(K87:K89)</f>
        <v>0</v>
      </c>
      <c r="L90" s="730">
        <f t="shared" si="13"/>
        <v>0</v>
      </c>
      <c r="M90" s="730">
        <f>SUM(M87:M89)</f>
        <v>0</v>
      </c>
      <c r="N90" s="730">
        <f>SUM(N87:N89)</f>
        <v>0</v>
      </c>
      <c r="O90" s="730">
        <f>SUM(O87:O89)</f>
        <v>0</v>
      </c>
      <c r="P90" s="730">
        <v>0</v>
      </c>
      <c r="Q90" s="730">
        <f>SUM(Q87:Q89)</f>
        <v>4034.7378151260509</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45878.105501381593</v>
      </c>
      <c r="C4" s="447">
        <f>huishoudens!C8</f>
        <v>0</v>
      </c>
      <c r="D4" s="447">
        <f>huishoudens!D8</f>
        <v>79270.434119006371</v>
      </c>
      <c r="E4" s="447">
        <f>huishoudens!E8</f>
        <v>2160.0117449005752</v>
      </c>
      <c r="F4" s="447">
        <f>huishoudens!F8</f>
        <v>65852.486948858481</v>
      </c>
      <c r="G4" s="447">
        <f>huishoudens!G8</f>
        <v>0</v>
      </c>
      <c r="H4" s="447">
        <f>huishoudens!H8</f>
        <v>0</v>
      </c>
      <c r="I4" s="447">
        <f>huishoudens!I8</f>
        <v>0</v>
      </c>
      <c r="J4" s="447">
        <f>huishoudens!J8</f>
        <v>1194.8704296623041</v>
      </c>
      <c r="K4" s="447">
        <f>huishoudens!K8</f>
        <v>0</v>
      </c>
      <c r="L4" s="447">
        <f>huishoudens!L8</f>
        <v>0</v>
      </c>
      <c r="M4" s="447">
        <f>huishoudens!M8</f>
        <v>0</v>
      </c>
      <c r="N4" s="447">
        <f>huishoudens!N8</f>
        <v>12955.292412663866</v>
      </c>
      <c r="O4" s="447">
        <f>huishoudens!O8</f>
        <v>128.19333333333336</v>
      </c>
      <c r="P4" s="448">
        <f>huishoudens!P8</f>
        <v>228.8</v>
      </c>
      <c r="Q4" s="449">
        <f>SUM(B4:P4)</f>
        <v>207668.19448980654</v>
      </c>
    </row>
    <row r="5" spans="1:17">
      <c r="A5" s="446" t="s">
        <v>149</v>
      </c>
      <c r="B5" s="447">
        <f ca="1">tertiair!B16</f>
        <v>22933.7329624673</v>
      </c>
      <c r="C5" s="447">
        <f ca="1">tertiair!C16</f>
        <v>0</v>
      </c>
      <c r="D5" s="447">
        <f ca="1">tertiair!D16</f>
        <v>27834.502331959033</v>
      </c>
      <c r="E5" s="447">
        <f>tertiair!E16</f>
        <v>224.78922529641358</v>
      </c>
      <c r="F5" s="447">
        <f ca="1">tertiair!F16</f>
        <v>4769.2445298647835</v>
      </c>
      <c r="G5" s="447">
        <f>tertiair!G16</f>
        <v>0</v>
      </c>
      <c r="H5" s="447">
        <f>tertiair!H16</f>
        <v>0</v>
      </c>
      <c r="I5" s="447">
        <f>tertiair!I16</f>
        <v>0</v>
      </c>
      <c r="J5" s="447">
        <f>tertiair!J16</f>
        <v>0</v>
      </c>
      <c r="K5" s="447">
        <f>tertiair!K16</f>
        <v>0</v>
      </c>
      <c r="L5" s="447">
        <f ca="1">tertiair!L16</f>
        <v>0</v>
      </c>
      <c r="M5" s="447">
        <f>tertiair!M16</f>
        <v>0</v>
      </c>
      <c r="N5" s="447">
        <f ca="1">tertiair!N16</f>
        <v>2673.5004668727502</v>
      </c>
      <c r="O5" s="447">
        <f>tertiair!O16</f>
        <v>1.5633333333333335</v>
      </c>
      <c r="P5" s="448">
        <f>tertiair!P16</f>
        <v>38.133333333333333</v>
      </c>
      <c r="Q5" s="446">
        <f t="shared" ref="Q5:Q14" ca="1" si="0">SUM(B5:P5)</f>
        <v>58475.46618312694</v>
      </c>
    </row>
    <row r="6" spans="1:17">
      <c r="A6" s="446" t="s">
        <v>187</v>
      </c>
      <c r="B6" s="447">
        <f>'openbare verlichting'!B8</f>
        <v>1962.712</v>
      </c>
      <c r="C6" s="447"/>
      <c r="D6" s="447"/>
      <c r="E6" s="447"/>
      <c r="F6" s="447"/>
      <c r="G6" s="447"/>
      <c r="H6" s="447"/>
      <c r="I6" s="447"/>
      <c r="J6" s="447"/>
      <c r="K6" s="447"/>
      <c r="L6" s="447"/>
      <c r="M6" s="447"/>
      <c r="N6" s="447"/>
      <c r="O6" s="447"/>
      <c r="P6" s="448"/>
      <c r="Q6" s="446">
        <f t="shared" si="0"/>
        <v>1962.712</v>
      </c>
    </row>
    <row r="7" spans="1:17">
      <c r="A7" s="446" t="s">
        <v>105</v>
      </c>
      <c r="B7" s="447">
        <f>landbouw!B8</f>
        <v>4500.6715352801239</v>
      </c>
      <c r="C7" s="447">
        <f>landbouw!C8</f>
        <v>16977.857142857145</v>
      </c>
      <c r="D7" s="447">
        <f>landbouw!D8</f>
        <v>9581.9549312066883</v>
      </c>
      <c r="E7" s="447">
        <f>landbouw!E8</f>
        <v>42.399341411186754</v>
      </c>
      <c r="F7" s="447">
        <f>landbouw!F8</f>
        <v>14687.184861325117</v>
      </c>
      <c r="G7" s="447">
        <f>landbouw!G8</f>
        <v>0</v>
      </c>
      <c r="H7" s="447">
        <f>landbouw!H8</f>
        <v>0</v>
      </c>
      <c r="I7" s="447">
        <f>landbouw!I8</f>
        <v>0</v>
      </c>
      <c r="J7" s="447">
        <f>landbouw!J8</f>
        <v>556.75496017629393</v>
      </c>
      <c r="K7" s="447">
        <f>landbouw!K8</f>
        <v>0</v>
      </c>
      <c r="L7" s="447">
        <f>landbouw!L8</f>
        <v>0</v>
      </c>
      <c r="M7" s="447">
        <f>landbouw!M8</f>
        <v>0</v>
      </c>
      <c r="N7" s="447">
        <f>landbouw!N8</f>
        <v>0</v>
      </c>
      <c r="O7" s="447">
        <f>landbouw!O8</f>
        <v>0</v>
      </c>
      <c r="P7" s="448">
        <f>landbouw!P8</f>
        <v>0</v>
      </c>
      <c r="Q7" s="446">
        <f t="shared" si="0"/>
        <v>46346.822772256557</v>
      </c>
    </row>
    <row r="8" spans="1:17">
      <c r="A8" s="446" t="s">
        <v>665</v>
      </c>
      <c r="B8" s="447">
        <f>industrie!B18</f>
        <v>28607.79425803461</v>
      </c>
      <c r="C8" s="447">
        <f>industrie!C18</f>
        <v>4017.8571428571431</v>
      </c>
      <c r="D8" s="447">
        <f>industrie!D18</f>
        <v>73796.637597828783</v>
      </c>
      <c r="E8" s="447">
        <f>industrie!E18</f>
        <v>239.82929688048847</v>
      </c>
      <c r="F8" s="447">
        <f>industrie!F18</f>
        <v>6186.6439906189025</v>
      </c>
      <c r="G8" s="447">
        <f>industrie!G18</f>
        <v>0</v>
      </c>
      <c r="H8" s="447">
        <f>industrie!H18</f>
        <v>0</v>
      </c>
      <c r="I8" s="447">
        <f>industrie!I18</f>
        <v>0</v>
      </c>
      <c r="J8" s="447">
        <f>industrie!J18</f>
        <v>179.3628332789437</v>
      </c>
      <c r="K8" s="447">
        <f>industrie!K18</f>
        <v>0</v>
      </c>
      <c r="L8" s="447">
        <f>industrie!L18</f>
        <v>0</v>
      </c>
      <c r="M8" s="447">
        <f>industrie!M18</f>
        <v>0</v>
      </c>
      <c r="N8" s="447">
        <f>industrie!N18</f>
        <v>0</v>
      </c>
      <c r="O8" s="447">
        <f>industrie!O18</f>
        <v>0</v>
      </c>
      <c r="P8" s="448">
        <f>industrie!P18</f>
        <v>0</v>
      </c>
      <c r="Q8" s="446">
        <f t="shared" si="0"/>
        <v>113028.12511949886</v>
      </c>
    </row>
    <row r="9" spans="1:17" s="452" customFormat="1">
      <c r="A9" s="450" t="s">
        <v>562</v>
      </c>
      <c r="B9" s="451">
        <f>transport!B14</f>
        <v>8.7907187199904513</v>
      </c>
      <c r="C9" s="451">
        <f>transport!C14</f>
        <v>0</v>
      </c>
      <c r="D9" s="451">
        <f>transport!D14</f>
        <v>10.405622967970519</v>
      </c>
      <c r="E9" s="451">
        <f>transport!E14</f>
        <v>735.47654192074458</v>
      </c>
      <c r="F9" s="451">
        <f>transport!F14</f>
        <v>0</v>
      </c>
      <c r="G9" s="451">
        <f>transport!G14</f>
        <v>176700.90685813793</v>
      </c>
      <c r="H9" s="451">
        <f>transport!H14</f>
        <v>25724.930996122817</v>
      </c>
      <c r="I9" s="451">
        <f>transport!I14</f>
        <v>0</v>
      </c>
      <c r="J9" s="451">
        <f>transport!J14</f>
        <v>0</v>
      </c>
      <c r="K9" s="451">
        <f>transport!K14</f>
        <v>0</v>
      </c>
      <c r="L9" s="451">
        <f>transport!L14</f>
        <v>0</v>
      </c>
      <c r="M9" s="451">
        <f>transport!M14</f>
        <v>9040.7610685079217</v>
      </c>
      <c r="N9" s="451">
        <f>transport!N14</f>
        <v>0</v>
      </c>
      <c r="O9" s="451">
        <f>transport!O14</f>
        <v>0</v>
      </c>
      <c r="P9" s="451">
        <f>transport!P14</f>
        <v>0</v>
      </c>
      <c r="Q9" s="450">
        <f>SUM(B9:P9)</f>
        <v>212221.27180637736</v>
      </c>
    </row>
    <row r="10" spans="1:17">
      <c r="A10" s="446" t="s">
        <v>552</v>
      </c>
      <c r="B10" s="447">
        <f>transport!B54</f>
        <v>10.161750669854131</v>
      </c>
      <c r="C10" s="447">
        <f>transport!C54</f>
        <v>0</v>
      </c>
      <c r="D10" s="447">
        <f>transport!D54</f>
        <v>0</v>
      </c>
      <c r="E10" s="447">
        <f>transport!E54</f>
        <v>0</v>
      </c>
      <c r="F10" s="447">
        <f>transport!F54</f>
        <v>0</v>
      </c>
      <c r="G10" s="447">
        <f>transport!G54</f>
        <v>2026.7812056579016</v>
      </c>
      <c r="H10" s="447">
        <f>transport!H54</f>
        <v>0</v>
      </c>
      <c r="I10" s="447">
        <f>transport!I54</f>
        <v>0</v>
      </c>
      <c r="J10" s="447">
        <f>transport!J54</f>
        <v>0</v>
      </c>
      <c r="K10" s="447">
        <f>transport!K54</f>
        <v>0</v>
      </c>
      <c r="L10" s="447">
        <f>transport!L54</f>
        <v>0</v>
      </c>
      <c r="M10" s="447">
        <f>transport!M54</f>
        <v>89.581570646922827</v>
      </c>
      <c r="N10" s="447">
        <f>transport!N54</f>
        <v>0</v>
      </c>
      <c r="O10" s="447">
        <f>transport!O54</f>
        <v>0</v>
      </c>
      <c r="P10" s="448">
        <f>transport!P54</f>
        <v>0</v>
      </c>
      <c r="Q10" s="446">
        <f t="shared" si="0"/>
        <v>2126.5245269746788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1724.62428337397</v>
      </c>
      <c r="C14" s="454"/>
      <c r="D14" s="454">
        <f>'SEAP template'!E25</f>
        <v>2820.0022318106603</v>
      </c>
      <c r="E14" s="454"/>
      <c r="F14" s="454"/>
      <c r="G14" s="454"/>
      <c r="H14" s="454"/>
      <c r="I14" s="454"/>
      <c r="J14" s="454"/>
      <c r="K14" s="454"/>
      <c r="L14" s="454"/>
      <c r="M14" s="454"/>
      <c r="N14" s="454"/>
      <c r="O14" s="454"/>
      <c r="P14" s="455"/>
      <c r="Q14" s="446">
        <f t="shared" si="0"/>
        <v>4544.6265151846301</v>
      </c>
    </row>
    <row r="15" spans="1:17" s="459" customFormat="1">
      <c r="A15" s="456" t="s">
        <v>556</v>
      </c>
      <c r="B15" s="457">
        <f ca="1">SUM(B4:B14)</f>
        <v>105626.59300992744</v>
      </c>
      <c r="C15" s="457">
        <f t="shared" ref="C15:Q15" ca="1" si="1">SUM(C4:C14)</f>
        <v>20995.71428571429</v>
      </c>
      <c r="D15" s="457">
        <f t="shared" ca="1" si="1"/>
        <v>193313.93683477951</v>
      </c>
      <c r="E15" s="457">
        <f t="shared" si="1"/>
        <v>3402.5061504094087</v>
      </c>
      <c r="F15" s="457">
        <f t="shared" ca="1" si="1"/>
        <v>91495.560330667286</v>
      </c>
      <c r="G15" s="457">
        <f t="shared" si="1"/>
        <v>178727.68806379582</v>
      </c>
      <c r="H15" s="457">
        <f t="shared" si="1"/>
        <v>25724.930996122817</v>
      </c>
      <c r="I15" s="457">
        <f t="shared" si="1"/>
        <v>0</v>
      </c>
      <c r="J15" s="457">
        <f t="shared" si="1"/>
        <v>1930.9882231175418</v>
      </c>
      <c r="K15" s="457">
        <f t="shared" si="1"/>
        <v>0</v>
      </c>
      <c r="L15" s="457">
        <f t="shared" ca="1" si="1"/>
        <v>0</v>
      </c>
      <c r="M15" s="457">
        <f t="shared" si="1"/>
        <v>9130.3426391548437</v>
      </c>
      <c r="N15" s="457">
        <f t="shared" ca="1" si="1"/>
        <v>15628.792879536617</v>
      </c>
      <c r="O15" s="457">
        <f t="shared" si="1"/>
        <v>129.75666666666669</v>
      </c>
      <c r="P15" s="457">
        <f t="shared" si="1"/>
        <v>266.93333333333334</v>
      </c>
      <c r="Q15" s="457">
        <f t="shared" ca="1" si="1"/>
        <v>646373.74341322563</v>
      </c>
    </row>
    <row r="17" spans="1:17">
      <c r="A17" s="460" t="s">
        <v>557</v>
      </c>
      <c r="B17" s="764">
        <f ca="1">huishoudens!B10</f>
        <v>0.19302499513151025</v>
      </c>
      <c r="C17" s="764">
        <f ca="1">huishoudens!C10</f>
        <v>0.1921695904326213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8855.6210910470963</v>
      </c>
      <c r="C22" s="447">
        <f t="shared" ref="C22:C32" ca="1" si="3">C4*$C$17</f>
        <v>0</v>
      </c>
      <c r="D22" s="447">
        <f t="shared" ref="D22:D32" si="4">D4*$D$17</f>
        <v>16012.627692039288</v>
      </c>
      <c r="E22" s="447">
        <f t="shared" ref="E22:E32" si="5">E4*$E$17</f>
        <v>490.32266609243061</v>
      </c>
      <c r="F22" s="447">
        <f t="shared" ref="F22:F32" si="6">F4*$F$17</f>
        <v>17582.614015345214</v>
      </c>
      <c r="G22" s="447">
        <f t="shared" ref="G22:G32" si="7">G4*$G$17</f>
        <v>0</v>
      </c>
      <c r="H22" s="447">
        <f t="shared" ref="H22:H32" si="8">H4*$H$17</f>
        <v>0</v>
      </c>
      <c r="I22" s="447">
        <f t="shared" ref="I22:I32" si="9">I4*$I$17</f>
        <v>0</v>
      </c>
      <c r="J22" s="447">
        <f t="shared" ref="J22:J32" si="10">J4*$J$17</f>
        <v>422.98413210045561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43364.169596624481</v>
      </c>
    </row>
    <row r="23" spans="1:17">
      <c r="A23" s="446" t="s">
        <v>149</v>
      </c>
      <c r="B23" s="447">
        <f t="shared" ca="1" si="2"/>
        <v>4426.7836934276065</v>
      </c>
      <c r="C23" s="447">
        <f t="shared" ca="1" si="3"/>
        <v>0</v>
      </c>
      <c r="D23" s="447">
        <f t="shared" ca="1" si="4"/>
        <v>5622.5694710557245</v>
      </c>
      <c r="E23" s="447">
        <f t="shared" si="5"/>
        <v>51.02715414228588</v>
      </c>
      <c r="F23" s="447">
        <f t="shared" ca="1" si="6"/>
        <v>1273.3882894738972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11373.768608099515</v>
      </c>
    </row>
    <row r="24" spans="1:17">
      <c r="A24" s="446" t="s">
        <v>187</v>
      </c>
      <c r="B24" s="447">
        <f t="shared" ca="1" si="2"/>
        <v>378.85247424455673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378.85247424455673</v>
      </c>
    </row>
    <row r="25" spans="1:17">
      <c r="A25" s="446" t="s">
        <v>105</v>
      </c>
      <c r="B25" s="447">
        <f t="shared" ca="1" si="2"/>
        <v>868.74210118597273</v>
      </c>
      <c r="C25" s="447">
        <f t="shared" ca="1" si="3"/>
        <v>3262.6278535664114</v>
      </c>
      <c r="D25" s="447">
        <f t="shared" si="4"/>
        <v>1935.5548961037512</v>
      </c>
      <c r="E25" s="447">
        <f t="shared" si="5"/>
        <v>9.6246505003393938</v>
      </c>
      <c r="F25" s="447">
        <f t="shared" si="6"/>
        <v>3921.4783579738064</v>
      </c>
      <c r="G25" s="447">
        <f t="shared" si="7"/>
        <v>0</v>
      </c>
      <c r="H25" s="447">
        <f t="shared" si="8"/>
        <v>0</v>
      </c>
      <c r="I25" s="447">
        <f t="shared" si="9"/>
        <v>0</v>
      </c>
      <c r="J25" s="447">
        <f t="shared" si="10"/>
        <v>197.09125590240805</v>
      </c>
      <c r="K25" s="447">
        <f t="shared" si="11"/>
        <v>0</v>
      </c>
      <c r="L25" s="447">
        <f t="shared" si="12"/>
        <v>0</v>
      </c>
      <c r="M25" s="447">
        <f t="shared" si="13"/>
        <v>0</v>
      </c>
      <c r="N25" s="447">
        <f t="shared" si="14"/>
        <v>0</v>
      </c>
      <c r="O25" s="447">
        <f t="shared" si="15"/>
        <v>0</v>
      </c>
      <c r="P25" s="448">
        <f t="shared" si="16"/>
        <v>0</v>
      </c>
      <c r="Q25" s="446">
        <f t="shared" ca="1" si="17"/>
        <v>10195.119115232688</v>
      </c>
    </row>
    <row r="26" spans="1:17">
      <c r="A26" s="446" t="s">
        <v>665</v>
      </c>
      <c r="B26" s="447">
        <f t="shared" ca="1" si="2"/>
        <v>5522.0193473803774</v>
      </c>
      <c r="C26" s="447">
        <f t="shared" ca="1" si="3"/>
        <v>772.10996155963926</v>
      </c>
      <c r="D26" s="447">
        <f t="shared" si="4"/>
        <v>14906.920794761416</v>
      </c>
      <c r="E26" s="447">
        <f t="shared" si="5"/>
        <v>54.441250391870888</v>
      </c>
      <c r="F26" s="447">
        <f t="shared" si="6"/>
        <v>1651.833945495247</v>
      </c>
      <c r="G26" s="447">
        <f t="shared" si="7"/>
        <v>0</v>
      </c>
      <c r="H26" s="447">
        <f t="shared" si="8"/>
        <v>0</v>
      </c>
      <c r="I26" s="447">
        <f t="shared" si="9"/>
        <v>0</v>
      </c>
      <c r="J26" s="447">
        <f t="shared" si="10"/>
        <v>63.494442980746065</v>
      </c>
      <c r="K26" s="447">
        <f t="shared" si="11"/>
        <v>0</v>
      </c>
      <c r="L26" s="447">
        <f t="shared" si="12"/>
        <v>0</v>
      </c>
      <c r="M26" s="447">
        <f t="shared" si="13"/>
        <v>0</v>
      </c>
      <c r="N26" s="447">
        <f t="shared" si="14"/>
        <v>0</v>
      </c>
      <c r="O26" s="447">
        <f t="shared" si="15"/>
        <v>0</v>
      </c>
      <c r="P26" s="448">
        <f t="shared" si="16"/>
        <v>0</v>
      </c>
      <c r="Q26" s="446">
        <f t="shared" ca="1" si="17"/>
        <v>22970.8197425693</v>
      </c>
    </row>
    <row r="27" spans="1:17" s="452" customFormat="1">
      <c r="A27" s="450" t="s">
        <v>562</v>
      </c>
      <c r="B27" s="758">
        <f t="shared" ca="1" si="2"/>
        <v>1.6968284381286329</v>
      </c>
      <c r="C27" s="451">
        <f t="shared" ca="1" si="3"/>
        <v>0</v>
      </c>
      <c r="D27" s="451">
        <f t="shared" si="4"/>
        <v>2.1019358395300451</v>
      </c>
      <c r="E27" s="451">
        <f t="shared" si="5"/>
        <v>166.95317501600903</v>
      </c>
      <c r="F27" s="451">
        <f t="shared" si="6"/>
        <v>0</v>
      </c>
      <c r="G27" s="451">
        <f t="shared" si="7"/>
        <v>47179.142131122826</v>
      </c>
      <c r="H27" s="451">
        <f t="shared" si="8"/>
        <v>6405.5078180345818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53755.401888451073</v>
      </c>
    </row>
    <row r="28" spans="1:17">
      <c r="A28" s="446" t="s">
        <v>552</v>
      </c>
      <c r="B28" s="447">
        <f t="shared" ca="1" si="2"/>
        <v>1.9614718735762147</v>
      </c>
      <c r="C28" s="447">
        <f t="shared" ca="1" si="3"/>
        <v>0</v>
      </c>
      <c r="D28" s="447">
        <f t="shared" si="4"/>
        <v>0</v>
      </c>
      <c r="E28" s="447">
        <f t="shared" si="5"/>
        <v>0</v>
      </c>
      <c r="F28" s="447">
        <f t="shared" si="6"/>
        <v>0</v>
      </c>
      <c r="G28" s="447">
        <f t="shared" si="7"/>
        <v>541.15058191065975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543.11205378423597</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332.89559390194489</v>
      </c>
      <c r="C32" s="447">
        <f t="shared" ca="1" si="3"/>
        <v>0</v>
      </c>
      <c r="D32" s="447">
        <f t="shared" si="4"/>
        <v>569.64045082575342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902.53604472769825</v>
      </c>
    </row>
    <row r="33" spans="1:17" s="459" customFormat="1">
      <c r="A33" s="456" t="s">
        <v>556</v>
      </c>
      <c r="B33" s="457">
        <f ca="1">SUM(B22:B32)</f>
        <v>20388.572601499262</v>
      </c>
      <c r="C33" s="457">
        <f t="shared" ref="C33:Q33" ca="1" si="18">SUM(C22:C32)</f>
        <v>4034.7378151260509</v>
      </c>
      <c r="D33" s="457">
        <f t="shared" ca="1" si="18"/>
        <v>39049.415240625458</v>
      </c>
      <c r="E33" s="457">
        <f t="shared" si="18"/>
        <v>772.3688961429358</v>
      </c>
      <c r="F33" s="457">
        <f t="shared" ca="1" si="18"/>
        <v>24429.314608288165</v>
      </c>
      <c r="G33" s="457">
        <f t="shared" si="18"/>
        <v>47720.292713033487</v>
      </c>
      <c r="H33" s="457">
        <f t="shared" si="18"/>
        <v>6405.5078180345818</v>
      </c>
      <c r="I33" s="457">
        <f t="shared" si="18"/>
        <v>0</v>
      </c>
      <c r="J33" s="457">
        <f t="shared" si="18"/>
        <v>683.56983098360968</v>
      </c>
      <c r="K33" s="457">
        <f t="shared" si="18"/>
        <v>0</v>
      </c>
      <c r="L33" s="457">
        <f t="shared" ca="1" si="18"/>
        <v>0</v>
      </c>
      <c r="M33" s="457">
        <f t="shared" si="18"/>
        <v>0</v>
      </c>
      <c r="N33" s="457">
        <f t="shared" ca="1" si="18"/>
        <v>0</v>
      </c>
      <c r="O33" s="457">
        <f t="shared" si="18"/>
        <v>0</v>
      </c>
      <c r="P33" s="457">
        <f t="shared" si="18"/>
        <v>0</v>
      </c>
      <c r="Q33" s="457">
        <f t="shared" ca="1" si="18"/>
        <v>143483.77952373354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2979.8416899012332</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8473.4792344559555</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2812.5</v>
      </c>
      <c r="C8" s="1013">
        <f>'SEAP template'!C76</f>
        <v>11884.5</v>
      </c>
      <c r="D8" s="1013">
        <f>'SEAP template'!D76</f>
        <v>13981.764705882351</v>
      </c>
      <c r="E8" s="1013">
        <f>'SEAP template'!E76</f>
        <v>0</v>
      </c>
      <c r="F8" s="1013">
        <f>'SEAP template'!F76</f>
        <v>0</v>
      </c>
      <c r="G8" s="1013">
        <f>'SEAP template'!G76</f>
        <v>0</v>
      </c>
      <c r="H8" s="1013">
        <f>'SEAP template'!H76</f>
        <v>0</v>
      </c>
      <c r="I8" s="1013">
        <f>'SEAP template'!I76</f>
        <v>0</v>
      </c>
      <c r="J8" s="1013">
        <f>'SEAP template'!J76</f>
        <v>3308.8235294117644</v>
      </c>
      <c r="K8" s="1013">
        <f>'SEAP template'!K76</f>
        <v>0</v>
      </c>
      <c r="L8" s="1013">
        <f>'SEAP template'!L76</f>
        <v>0</v>
      </c>
      <c r="M8" s="1013">
        <f>'SEAP template'!M76</f>
        <v>0</v>
      </c>
      <c r="N8" s="1013">
        <f>'SEAP template'!N76</f>
        <v>0</v>
      </c>
      <c r="O8" s="1013">
        <f>'SEAP template'!O76</f>
        <v>0</v>
      </c>
      <c r="P8" s="1014">
        <f>'SEAP template'!Q76</f>
        <v>2824.316470588235</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14265.820924357189</v>
      </c>
      <c r="C10" s="1017">
        <f>SUM(C4:C9)</f>
        <v>11884.5</v>
      </c>
      <c r="D10" s="1017">
        <f t="shared" ref="D10:H10" si="0">SUM(D8:D9)</f>
        <v>13981.764705882351</v>
      </c>
      <c r="E10" s="1017">
        <f t="shared" si="0"/>
        <v>0</v>
      </c>
      <c r="F10" s="1017">
        <f t="shared" si="0"/>
        <v>0</v>
      </c>
      <c r="G10" s="1017">
        <f t="shared" si="0"/>
        <v>0</v>
      </c>
      <c r="H10" s="1017">
        <f t="shared" si="0"/>
        <v>0</v>
      </c>
      <c r="I10" s="1017">
        <f>SUM(I8:I9)</f>
        <v>0</v>
      </c>
      <c r="J10" s="1017">
        <f>SUM(J8:J9)</f>
        <v>3308.8235294117644</v>
      </c>
      <c r="K10" s="1017">
        <f t="shared" ref="K10:L10" si="1">SUM(K8:K9)</f>
        <v>0</v>
      </c>
      <c r="L10" s="1017">
        <f t="shared" si="1"/>
        <v>0</v>
      </c>
      <c r="M10" s="1017">
        <f>SUM(M8:M9)</f>
        <v>0</v>
      </c>
      <c r="N10" s="1017">
        <f>SUM(N8:N9)</f>
        <v>0</v>
      </c>
      <c r="O10" s="1017">
        <f>SUM(O8:O9)</f>
        <v>0</v>
      </c>
      <c r="P10" s="1017">
        <f>SUM(P8:P9)</f>
        <v>2824.316470588235</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0.19302499513151025</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4017.8571428571422</v>
      </c>
      <c r="C17" s="1020">
        <f>'SEAP template'!C87</f>
        <v>16977.857142857145</v>
      </c>
      <c r="D17" s="1014">
        <f>'SEAP template'!D87</f>
        <v>19973.949579831933</v>
      </c>
      <c r="E17" s="1014">
        <f>'SEAP template'!E87</f>
        <v>0</v>
      </c>
      <c r="F17" s="1014">
        <f>'SEAP template'!F87</f>
        <v>0</v>
      </c>
      <c r="G17" s="1014">
        <f>'SEAP template'!G87</f>
        <v>0</v>
      </c>
      <c r="H17" s="1014">
        <f>'SEAP template'!H87</f>
        <v>0</v>
      </c>
      <c r="I17" s="1014">
        <f>'SEAP template'!I87</f>
        <v>0</v>
      </c>
      <c r="J17" s="1014">
        <f>'SEAP template'!J87</f>
        <v>4726.8907563025205</v>
      </c>
      <c r="K17" s="1014">
        <f>'SEAP template'!K87</f>
        <v>0</v>
      </c>
      <c r="L17" s="1014">
        <f>'SEAP template'!L87</f>
        <v>0</v>
      </c>
      <c r="M17" s="1014">
        <f>'SEAP template'!M87</f>
        <v>0</v>
      </c>
      <c r="N17" s="1014">
        <f>'SEAP template'!N87</f>
        <v>0</v>
      </c>
      <c r="O17" s="1014">
        <f>'SEAP template'!O87</f>
        <v>0</v>
      </c>
      <c r="P17" s="1014">
        <f>'SEAP template'!Q87</f>
        <v>4034.7378151260509</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4017.8571428571422</v>
      </c>
      <c r="C20" s="1017">
        <f>SUM(C17:C19)</f>
        <v>16977.857142857145</v>
      </c>
      <c r="D20" s="1017">
        <f t="shared" ref="D20:H20" si="2">SUM(D17:D19)</f>
        <v>19973.949579831933</v>
      </c>
      <c r="E20" s="1017">
        <f t="shared" si="2"/>
        <v>0</v>
      </c>
      <c r="F20" s="1017">
        <f t="shared" si="2"/>
        <v>0</v>
      </c>
      <c r="G20" s="1017">
        <f t="shared" si="2"/>
        <v>0</v>
      </c>
      <c r="H20" s="1017">
        <f t="shared" si="2"/>
        <v>0</v>
      </c>
      <c r="I20" s="1017">
        <f>SUM(I17:I19)</f>
        <v>0</v>
      </c>
      <c r="J20" s="1017">
        <f>SUM(J17:J19)</f>
        <v>4726.8907563025205</v>
      </c>
      <c r="K20" s="1017">
        <f t="shared" ref="K20:L20" si="3">SUM(K17:K19)</f>
        <v>0</v>
      </c>
      <c r="L20" s="1017">
        <f t="shared" si="3"/>
        <v>0</v>
      </c>
      <c r="M20" s="1017">
        <f>SUM(M17:M19)</f>
        <v>0</v>
      </c>
      <c r="N20" s="1017">
        <f>SUM(N17:N19)</f>
        <v>0</v>
      </c>
      <c r="O20" s="1017">
        <f>SUM(O17:O19)</f>
        <v>0</v>
      </c>
      <c r="P20" s="1017">
        <f>SUM(P17:P19)</f>
        <v>4034.7378151260509</v>
      </c>
    </row>
    <row r="22" spans="1:16">
      <c r="A22" s="460" t="s">
        <v>893</v>
      </c>
      <c r="B22" s="764" t="s">
        <v>887</v>
      </c>
      <c r="C22" s="764">
        <f ca="1">'EF ele_warmte'!B22</f>
        <v>0.1921695904326213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0.19302499513151025</v>
      </c>
      <c r="C17" s="496">
        <f ca="1">'EF ele_warmte'!B22</f>
        <v>0.1921695904326213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0.19302499513151025</v>
      </c>
      <c r="C17" s="496">
        <f ca="1">'EF ele_warmte'!B22</f>
        <v>0.1921695904326213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0.19302499513151025</v>
      </c>
      <c r="C29" s="497">
        <f ca="1">'EF ele_warmte'!B22</f>
        <v>0.1921695904326213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8856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3547</v>
      </c>
      <c r="C14" s="327"/>
      <c r="D14" s="327"/>
      <c r="E14" s="327"/>
      <c r="F14" s="327"/>
    </row>
    <row r="15" spans="1:6">
      <c r="A15" s="1293" t="s">
        <v>177</v>
      </c>
      <c r="B15" s="1294">
        <v>780</v>
      </c>
      <c r="C15" s="327"/>
      <c r="D15" s="327"/>
      <c r="E15" s="327"/>
      <c r="F15" s="327"/>
    </row>
    <row r="16" spans="1:6">
      <c r="A16" s="1293" t="s">
        <v>6</v>
      </c>
      <c r="B16" s="1294">
        <v>1350</v>
      </c>
      <c r="C16" s="327"/>
      <c r="D16" s="327"/>
      <c r="E16" s="327"/>
      <c r="F16" s="327"/>
    </row>
    <row r="17" spans="1:6">
      <c r="A17" s="1293" t="s">
        <v>7</v>
      </c>
      <c r="B17" s="1294">
        <v>1844</v>
      </c>
      <c r="C17" s="327"/>
      <c r="D17" s="327"/>
      <c r="E17" s="327"/>
      <c r="F17" s="327"/>
    </row>
    <row r="18" spans="1:6">
      <c r="A18" s="1293" t="s">
        <v>8</v>
      </c>
      <c r="B18" s="1294">
        <v>2369</v>
      </c>
      <c r="C18" s="327"/>
      <c r="D18" s="327"/>
      <c r="E18" s="327"/>
      <c r="F18" s="327"/>
    </row>
    <row r="19" spans="1:6">
      <c r="A19" s="1293" t="s">
        <v>9</v>
      </c>
      <c r="B19" s="1294">
        <v>2121</v>
      </c>
      <c r="C19" s="327"/>
      <c r="D19" s="327"/>
      <c r="E19" s="327"/>
      <c r="F19" s="327"/>
    </row>
    <row r="20" spans="1:6">
      <c r="A20" s="1293" t="s">
        <v>10</v>
      </c>
      <c r="B20" s="1294">
        <v>1670</v>
      </c>
      <c r="C20" s="327"/>
      <c r="D20" s="327"/>
      <c r="E20" s="327"/>
      <c r="F20" s="327"/>
    </row>
    <row r="21" spans="1:6">
      <c r="A21" s="1293" t="s">
        <v>11</v>
      </c>
      <c r="B21" s="1294">
        <v>15062</v>
      </c>
      <c r="C21" s="327"/>
      <c r="D21" s="327"/>
      <c r="E21" s="327"/>
      <c r="F21" s="327"/>
    </row>
    <row r="22" spans="1:6">
      <c r="A22" s="1293" t="s">
        <v>12</v>
      </c>
      <c r="B22" s="1294">
        <v>52402</v>
      </c>
      <c r="C22" s="327"/>
      <c r="D22" s="327"/>
      <c r="E22" s="327"/>
      <c r="F22" s="327"/>
    </row>
    <row r="23" spans="1:6">
      <c r="A23" s="1293" t="s">
        <v>13</v>
      </c>
      <c r="B23" s="1294">
        <v>1574</v>
      </c>
      <c r="C23" s="327"/>
      <c r="D23" s="327"/>
      <c r="E23" s="327"/>
      <c r="F23" s="327"/>
    </row>
    <row r="24" spans="1:6">
      <c r="A24" s="1293" t="s">
        <v>14</v>
      </c>
      <c r="B24" s="1294">
        <v>36</v>
      </c>
      <c r="C24" s="327"/>
      <c r="D24" s="327"/>
      <c r="E24" s="327"/>
      <c r="F24" s="327"/>
    </row>
    <row r="25" spans="1:6">
      <c r="A25" s="1293" t="s">
        <v>15</v>
      </c>
      <c r="B25" s="1294">
        <v>4003</v>
      </c>
      <c r="C25" s="327"/>
      <c r="D25" s="327"/>
      <c r="E25" s="327"/>
      <c r="F25" s="327"/>
    </row>
    <row r="26" spans="1:6">
      <c r="A26" s="1293" t="s">
        <v>16</v>
      </c>
      <c r="B26" s="1294">
        <v>390</v>
      </c>
      <c r="C26" s="327"/>
      <c r="D26" s="327"/>
      <c r="E26" s="327"/>
      <c r="F26" s="327"/>
    </row>
    <row r="27" spans="1:6">
      <c r="A27" s="1293" t="s">
        <v>17</v>
      </c>
      <c r="B27" s="1294">
        <v>1</v>
      </c>
      <c r="C27" s="327"/>
      <c r="D27" s="327"/>
      <c r="E27" s="327"/>
      <c r="F27" s="327"/>
    </row>
    <row r="28" spans="1:6">
      <c r="A28" s="1293" t="s">
        <v>18</v>
      </c>
      <c r="B28" s="1295">
        <v>123157</v>
      </c>
      <c r="C28" s="327"/>
      <c r="D28" s="327"/>
      <c r="E28" s="327"/>
      <c r="F28" s="327"/>
    </row>
    <row r="29" spans="1:6">
      <c r="A29" s="1293" t="s">
        <v>955</v>
      </c>
      <c r="B29" s="1295">
        <v>217</v>
      </c>
      <c r="C29" s="327"/>
      <c r="D29" s="327"/>
      <c r="E29" s="327"/>
      <c r="F29" s="327"/>
    </row>
    <row r="30" spans="1:6">
      <c r="A30" s="1288" t="s">
        <v>956</v>
      </c>
      <c r="B30" s="1296">
        <v>48</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4</v>
      </c>
      <c r="F38" s="1294">
        <v>52370.1101064549</v>
      </c>
    </row>
    <row r="39" spans="1:6">
      <c r="A39" s="1293" t="s">
        <v>29</v>
      </c>
      <c r="B39" s="1293" t="s">
        <v>30</v>
      </c>
      <c r="C39" s="1294">
        <v>4938</v>
      </c>
      <c r="D39" s="1294">
        <v>87882964.655217707</v>
      </c>
      <c r="E39" s="1294">
        <v>8318</v>
      </c>
      <c r="F39" s="1294">
        <v>41241361.082761399</v>
      </c>
    </row>
    <row r="40" spans="1:6">
      <c r="A40" s="1293" t="s">
        <v>29</v>
      </c>
      <c r="B40" s="1293" t="s">
        <v>28</v>
      </c>
      <c r="C40" s="1294">
        <v>0</v>
      </c>
      <c r="D40" s="1294">
        <v>0</v>
      </c>
      <c r="E40" s="1294">
        <v>0</v>
      </c>
      <c r="F40" s="1294">
        <v>0</v>
      </c>
    </row>
    <row r="41" spans="1:6">
      <c r="A41" s="1293" t="s">
        <v>31</v>
      </c>
      <c r="B41" s="1293" t="s">
        <v>32</v>
      </c>
      <c r="C41" s="1294">
        <v>81</v>
      </c>
      <c r="D41" s="1294">
        <v>2162420.3300809301</v>
      </c>
      <c r="E41" s="1294">
        <v>246</v>
      </c>
      <c r="F41" s="1294">
        <v>3080215.5691340598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18</v>
      </c>
      <c r="D44" s="1294">
        <v>69766094.744268805</v>
      </c>
      <c r="E44" s="1294">
        <v>58</v>
      </c>
      <c r="F44" s="1294">
        <v>7231260.0840937803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7</v>
      </c>
      <c r="D47" s="1294">
        <v>296583.851492182</v>
      </c>
      <c r="E47" s="1294">
        <v>13</v>
      </c>
      <c r="F47" s="1294">
        <v>589465.58326381899</v>
      </c>
    </row>
    <row r="48" spans="1:6">
      <c r="A48" s="1293" t="s">
        <v>31</v>
      </c>
      <c r="B48" s="1293" t="s">
        <v>28</v>
      </c>
      <c r="C48" s="1294">
        <v>51</v>
      </c>
      <c r="D48" s="1294">
        <v>8283825.0074544102</v>
      </c>
      <c r="E48" s="1294">
        <v>60</v>
      </c>
      <c r="F48" s="1294">
        <v>12026418.0377873</v>
      </c>
    </row>
    <row r="49" spans="1:6">
      <c r="A49" s="1293" t="s">
        <v>31</v>
      </c>
      <c r="B49" s="1293" t="s">
        <v>39</v>
      </c>
      <c r="C49" s="1294">
        <v>0</v>
      </c>
      <c r="D49" s="1294">
        <v>0</v>
      </c>
      <c r="E49" s="1294">
        <v>3</v>
      </c>
      <c r="F49" s="1294">
        <v>21764.797247601</v>
      </c>
    </row>
    <row r="50" spans="1:6">
      <c r="A50" s="1293" t="s">
        <v>31</v>
      </c>
      <c r="B50" s="1293" t="s">
        <v>40</v>
      </c>
      <c r="C50" s="1294">
        <v>11</v>
      </c>
      <c r="D50" s="1294">
        <v>1305530.16629213</v>
      </c>
      <c r="E50" s="1294">
        <v>26</v>
      </c>
      <c r="F50" s="1294">
        <v>2846170.1865080502</v>
      </c>
    </row>
    <row r="51" spans="1:6">
      <c r="A51" s="1293" t="s">
        <v>41</v>
      </c>
      <c r="B51" s="1293" t="s">
        <v>42</v>
      </c>
      <c r="C51" s="1294">
        <v>3</v>
      </c>
      <c r="D51" s="1294">
        <v>47956041.143769503</v>
      </c>
      <c r="E51" s="1294">
        <v>146</v>
      </c>
      <c r="F51" s="1294">
        <v>4348723.7960125497</v>
      </c>
    </row>
    <row r="52" spans="1:6">
      <c r="A52" s="1293" t="s">
        <v>41</v>
      </c>
      <c r="B52" s="1293" t="s">
        <v>28</v>
      </c>
      <c r="C52" s="1294">
        <v>6</v>
      </c>
      <c r="D52" s="1294">
        <v>311884.817340223</v>
      </c>
      <c r="E52" s="1294">
        <v>11</v>
      </c>
      <c r="F52" s="1294">
        <v>151947.739267575</v>
      </c>
    </row>
    <row r="53" spans="1:6">
      <c r="A53" s="1293" t="s">
        <v>43</v>
      </c>
      <c r="B53" s="1293" t="s">
        <v>44</v>
      </c>
      <c r="C53" s="1294">
        <v>150</v>
      </c>
      <c r="D53" s="1294">
        <v>2820002.2318106601</v>
      </c>
      <c r="E53" s="1294">
        <v>304</v>
      </c>
      <c r="F53" s="1294">
        <v>1724624.2833739701</v>
      </c>
    </row>
    <row r="54" spans="1:6">
      <c r="A54" s="1293" t="s">
        <v>45</v>
      </c>
      <c r="B54" s="1293" t="s">
        <v>46</v>
      </c>
      <c r="C54" s="1294">
        <v>0</v>
      </c>
      <c r="D54" s="1294">
        <v>0</v>
      </c>
      <c r="E54" s="1294">
        <v>2</v>
      </c>
      <c r="F54" s="1294">
        <v>1962712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57</v>
      </c>
      <c r="D57" s="1294">
        <v>7337223.7130607404</v>
      </c>
      <c r="E57" s="1294">
        <v>164</v>
      </c>
      <c r="F57" s="1294">
        <v>4012040.2300222302</v>
      </c>
    </row>
    <row r="58" spans="1:6">
      <c r="A58" s="1293" t="s">
        <v>48</v>
      </c>
      <c r="B58" s="1293" t="s">
        <v>50</v>
      </c>
      <c r="C58" s="1294">
        <v>17</v>
      </c>
      <c r="D58" s="1294">
        <v>781434.82620512799</v>
      </c>
      <c r="E58" s="1294">
        <v>35</v>
      </c>
      <c r="F58" s="1294">
        <v>337728.56139993097</v>
      </c>
    </row>
    <row r="59" spans="1:6">
      <c r="A59" s="1293" t="s">
        <v>48</v>
      </c>
      <c r="B59" s="1293" t="s">
        <v>51</v>
      </c>
      <c r="C59" s="1294">
        <v>79</v>
      </c>
      <c r="D59" s="1294">
        <v>4047593.8904775199</v>
      </c>
      <c r="E59" s="1294">
        <v>231</v>
      </c>
      <c r="F59" s="1294">
        <v>6999667.35055234</v>
      </c>
    </row>
    <row r="60" spans="1:6">
      <c r="A60" s="1293" t="s">
        <v>48</v>
      </c>
      <c r="B60" s="1293" t="s">
        <v>52</v>
      </c>
      <c r="C60" s="1294">
        <v>69</v>
      </c>
      <c r="D60" s="1294">
        <v>3375177.4941163901</v>
      </c>
      <c r="E60" s="1294">
        <v>91</v>
      </c>
      <c r="F60" s="1294">
        <v>2013852.6795952399</v>
      </c>
    </row>
    <row r="61" spans="1:6">
      <c r="A61" s="1293" t="s">
        <v>48</v>
      </c>
      <c r="B61" s="1293" t="s">
        <v>53</v>
      </c>
      <c r="C61" s="1294">
        <v>141</v>
      </c>
      <c r="D61" s="1294">
        <v>6630646.9239097796</v>
      </c>
      <c r="E61" s="1294">
        <v>275</v>
      </c>
      <c r="F61" s="1294">
        <v>4456995.5153626101</v>
      </c>
    </row>
    <row r="62" spans="1:6">
      <c r="A62" s="1293" t="s">
        <v>48</v>
      </c>
      <c r="B62" s="1293" t="s">
        <v>54</v>
      </c>
      <c r="C62" s="1294">
        <v>8</v>
      </c>
      <c r="D62" s="1294">
        <v>1134726.21959033</v>
      </c>
      <c r="E62" s="1294">
        <v>12</v>
      </c>
      <c r="F62" s="1294">
        <v>257127.65803591901</v>
      </c>
    </row>
    <row r="63" spans="1:6">
      <c r="A63" s="1293" t="s">
        <v>48</v>
      </c>
      <c r="B63" s="1293" t="s">
        <v>28</v>
      </c>
      <c r="C63" s="1294">
        <v>123</v>
      </c>
      <c r="D63" s="1294">
        <v>7551846.9680714104</v>
      </c>
      <c r="E63" s="1294">
        <v>161</v>
      </c>
      <c r="F63" s="1294">
        <v>4856320.9674990298</v>
      </c>
    </row>
    <row r="64" spans="1:6">
      <c r="A64" s="1293" t="s">
        <v>55</v>
      </c>
      <c r="B64" s="1293" t="s">
        <v>56</v>
      </c>
      <c r="C64" s="1294">
        <v>0</v>
      </c>
      <c r="D64" s="1294">
        <v>0</v>
      </c>
      <c r="E64" s="1294">
        <v>0</v>
      </c>
      <c r="F64" s="1294">
        <v>0</v>
      </c>
    </row>
    <row r="65" spans="1:6">
      <c r="A65" s="1293" t="s">
        <v>55</v>
      </c>
      <c r="B65" s="1293" t="s">
        <v>28</v>
      </c>
      <c r="C65" s="1294">
        <v>3</v>
      </c>
      <c r="D65" s="1294">
        <v>97422.039050002597</v>
      </c>
      <c r="E65" s="1294">
        <v>2</v>
      </c>
      <c r="F65" s="1294">
        <v>8610.2266917683992</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8</v>
      </c>
      <c r="D68" s="1296">
        <v>636290.38709024398</v>
      </c>
      <c r="E68" s="1296">
        <v>19</v>
      </c>
      <c r="F68" s="1296">
        <v>430606.31888547901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80083376</v>
      </c>
      <c r="E73" s="445"/>
      <c r="F73" s="327"/>
    </row>
    <row r="74" spans="1:6">
      <c r="A74" s="1293" t="s">
        <v>63</v>
      </c>
      <c r="B74" s="1293" t="s">
        <v>749</v>
      </c>
      <c r="C74" s="1306" t="s">
        <v>743</v>
      </c>
      <c r="D74" s="1294">
        <v>9132962.2973144259</v>
      </c>
      <c r="E74" s="445"/>
      <c r="F74" s="327"/>
    </row>
    <row r="75" spans="1:6">
      <c r="A75" s="1293" t="s">
        <v>64</v>
      </c>
      <c r="B75" s="1293" t="s">
        <v>748</v>
      </c>
      <c r="C75" s="1306" t="s">
        <v>744</v>
      </c>
      <c r="D75" s="1294">
        <v>28399249</v>
      </c>
      <c r="E75" s="445"/>
      <c r="F75" s="327"/>
    </row>
    <row r="76" spans="1:6">
      <c r="A76" s="1293" t="s">
        <v>64</v>
      </c>
      <c r="B76" s="1293" t="s">
        <v>749</v>
      </c>
      <c r="C76" s="1306" t="s">
        <v>745</v>
      </c>
      <c r="D76" s="1294">
        <v>1107149.2973144257</v>
      </c>
      <c r="E76" s="445"/>
      <c r="F76" s="327"/>
    </row>
    <row r="77" spans="1:6">
      <c r="A77" s="1293" t="s">
        <v>65</v>
      </c>
      <c r="B77" s="1293" t="s">
        <v>748</v>
      </c>
      <c r="C77" s="1306" t="s">
        <v>746</v>
      </c>
      <c r="D77" s="1294">
        <v>101904928</v>
      </c>
      <c r="E77" s="445"/>
      <c r="F77" s="327"/>
    </row>
    <row r="78" spans="1:6">
      <c r="A78" s="1288" t="s">
        <v>65</v>
      </c>
      <c r="B78" s="1288" t="s">
        <v>749</v>
      </c>
      <c r="C78" s="1288" t="s">
        <v>747</v>
      </c>
      <c r="D78" s="1296">
        <v>15295501</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559841.40537114849</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2979.8416899012332</v>
      </c>
      <c r="C90" s="327"/>
      <c r="D90" s="327"/>
      <c r="E90" s="327"/>
      <c r="F90" s="327"/>
    </row>
    <row r="91" spans="1:6">
      <c r="A91" s="1293" t="s">
        <v>67</v>
      </c>
      <c r="B91" s="1294">
        <v>4636.7444186201938</v>
      </c>
      <c r="C91" s="327"/>
      <c r="D91" s="327"/>
      <c r="E91" s="327"/>
      <c r="F91" s="327"/>
    </row>
    <row r="92" spans="1:6">
      <c r="A92" s="1288" t="s">
        <v>68</v>
      </c>
      <c r="B92" s="1289">
        <v>3836.7348158357613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3156</v>
      </c>
      <c r="C97" s="327"/>
      <c r="D97" s="327"/>
      <c r="E97" s="327"/>
      <c r="F97" s="327"/>
    </row>
    <row r="98" spans="1:6">
      <c r="A98" s="1293" t="s">
        <v>71</v>
      </c>
      <c r="B98" s="1294">
        <v>0</v>
      </c>
      <c r="C98" s="327"/>
      <c r="D98" s="327"/>
      <c r="E98" s="327"/>
      <c r="F98" s="327"/>
    </row>
    <row r="99" spans="1:6">
      <c r="A99" s="1293" t="s">
        <v>72</v>
      </c>
      <c r="B99" s="1294">
        <v>227</v>
      </c>
      <c r="C99" s="327"/>
      <c r="D99" s="327"/>
      <c r="E99" s="327"/>
      <c r="F99" s="327"/>
    </row>
    <row r="100" spans="1:6">
      <c r="A100" s="1293" t="s">
        <v>73</v>
      </c>
      <c r="B100" s="1294">
        <v>950</v>
      </c>
      <c r="C100" s="327"/>
      <c r="D100" s="327"/>
      <c r="E100" s="327"/>
      <c r="F100" s="327"/>
    </row>
    <row r="101" spans="1:6">
      <c r="A101" s="1293" t="s">
        <v>74</v>
      </c>
      <c r="B101" s="1294">
        <v>226</v>
      </c>
      <c r="C101" s="327"/>
      <c r="D101" s="327"/>
      <c r="E101" s="327"/>
      <c r="F101" s="327"/>
    </row>
    <row r="102" spans="1:6">
      <c r="A102" s="1293" t="s">
        <v>75</v>
      </c>
      <c r="B102" s="1294">
        <v>152</v>
      </c>
      <c r="C102" s="327"/>
      <c r="D102" s="327"/>
      <c r="E102" s="327"/>
      <c r="F102" s="327"/>
    </row>
    <row r="103" spans="1:6">
      <c r="A103" s="1293" t="s">
        <v>76</v>
      </c>
      <c r="B103" s="1294">
        <v>284</v>
      </c>
      <c r="C103" s="327"/>
      <c r="D103" s="327"/>
      <c r="E103" s="327"/>
      <c r="F103" s="327"/>
    </row>
    <row r="104" spans="1:6">
      <c r="A104" s="1293" t="s">
        <v>77</v>
      </c>
      <c r="B104" s="1294">
        <v>3125</v>
      </c>
      <c r="C104" s="327"/>
      <c r="D104" s="327"/>
      <c r="E104" s="327"/>
      <c r="F104" s="327"/>
    </row>
    <row r="105" spans="1:6">
      <c r="A105" s="1288" t="s">
        <v>78</v>
      </c>
      <c r="B105" s="1296">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9</v>
      </c>
      <c r="C123" s="1294">
        <v>7</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75</v>
      </c>
      <c r="C129" s="327"/>
      <c r="D129" s="327"/>
      <c r="E129" s="327"/>
      <c r="F129" s="327"/>
    </row>
    <row r="130" spans="1:6">
      <c r="A130" s="1293" t="s">
        <v>284</v>
      </c>
      <c r="B130" s="1294">
        <v>1</v>
      </c>
      <c r="C130" s="327"/>
      <c r="D130" s="327"/>
      <c r="E130" s="327"/>
      <c r="F130" s="327"/>
    </row>
    <row r="131" spans="1:6">
      <c r="A131" s="1293" t="s">
        <v>285</v>
      </c>
      <c r="B131" s="1294">
        <v>2</v>
      </c>
      <c r="C131" s="327"/>
      <c r="D131" s="327"/>
      <c r="E131" s="327"/>
      <c r="F131" s="327"/>
    </row>
    <row r="132" spans="1:6">
      <c r="A132" s="1288" t="s">
        <v>286</v>
      </c>
      <c r="B132" s="1289">
        <v>3</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105626.59300992744</v>
      </c>
      <c r="C3" s="44" t="s">
        <v>163</v>
      </c>
      <c r="D3" s="44"/>
      <c r="E3" s="157"/>
      <c r="F3" s="44"/>
      <c r="G3" s="44"/>
      <c r="H3" s="44"/>
      <c r="I3" s="44"/>
      <c r="J3" s="44"/>
      <c r="K3" s="97"/>
    </row>
    <row r="4" spans="1:11">
      <c r="A4" s="352" t="s">
        <v>164</v>
      </c>
      <c r="B4" s="50">
        <f>IF(ISERROR('SEAP template'!B78+'SEAP template'!C78),0,'SEAP template'!B78+'SEAP template'!C78)</f>
        <v>26150.320924357191</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2824.316470588235</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0.19302499513151025</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4034.7378151260509</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20995.71428571429</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0.1921695904326213</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1962.712</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1962.712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0.19302499513151025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378.85247424455673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41241.361082761403</v>
      </c>
      <c r="C5" s="18">
        <f>IF(ISERROR('Eigen informatie GS &amp; warmtenet'!B57),0,'Eigen informatie GS &amp; warmtenet'!B57)</f>
        <v>0</v>
      </c>
      <c r="D5" s="31">
        <f>(SUM(HH_hh_gas_kWh,HH_rest_gas_kWh)/1000)*0.902</f>
        <v>79270.434119006371</v>
      </c>
      <c r="E5" s="18">
        <f>B32*B41</f>
        <v>2160.0117449005752</v>
      </c>
      <c r="F5" s="18">
        <f>B36*B45</f>
        <v>65852.486948858481</v>
      </c>
      <c r="G5" s="19"/>
      <c r="H5" s="18"/>
      <c r="I5" s="18"/>
      <c r="J5" s="18">
        <f>B35*B44+C35*C44</f>
        <v>1194.8704296623041</v>
      </c>
      <c r="K5" s="18"/>
      <c r="L5" s="18"/>
      <c r="M5" s="18"/>
      <c r="N5" s="18">
        <f>B34*B43+C34*C43</f>
        <v>12955.292412663866</v>
      </c>
      <c r="O5" s="18">
        <f>B52*B53*B54</f>
        <v>128.19333333333336</v>
      </c>
      <c r="P5" s="18">
        <f>B60*B61*B62/1000-B60*B61*B62/1000/B63</f>
        <v>228.8</v>
      </c>
    </row>
    <row r="6" spans="1:16">
      <c r="A6" s="17" t="s">
        <v>622</v>
      </c>
      <c r="B6" s="766">
        <f>kWh_PV_kleiner_dan_10kW</f>
        <v>4636.7444186201938</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45878.105501381593</v>
      </c>
      <c r="C8" s="22">
        <f>C5</f>
        <v>0</v>
      </c>
      <c r="D8" s="22">
        <f>D5</f>
        <v>79270.434119006371</v>
      </c>
      <c r="E8" s="22">
        <f>E5</f>
        <v>2160.0117449005752</v>
      </c>
      <c r="F8" s="22">
        <f>F5</f>
        <v>65852.486948858481</v>
      </c>
      <c r="G8" s="22"/>
      <c r="H8" s="22"/>
      <c r="I8" s="22"/>
      <c r="J8" s="22">
        <f>J5</f>
        <v>1194.8704296623041</v>
      </c>
      <c r="K8" s="22"/>
      <c r="L8" s="22">
        <f>L5</f>
        <v>0</v>
      </c>
      <c r="M8" s="22">
        <f>M5</f>
        <v>0</v>
      </c>
      <c r="N8" s="22">
        <f>N5</f>
        <v>12955.292412663866</v>
      </c>
      <c r="O8" s="22">
        <f>O5</f>
        <v>128.19333333333336</v>
      </c>
      <c r="P8" s="22">
        <f>P5</f>
        <v>228.8</v>
      </c>
    </row>
    <row r="9" spans="1:16">
      <c r="B9" s="20"/>
      <c r="C9" s="20"/>
      <c r="D9" s="258"/>
      <c r="E9" s="20"/>
      <c r="F9" s="20"/>
      <c r="G9" s="20"/>
      <c r="H9" s="20"/>
      <c r="I9" s="20"/>
      <c r="J9" s="20"/>
      <c r="K9" s="20"/>
      <c r="L9" s="20"/>
      <c r="M9" s="20"/>
      <c r="N9" s="20"/>
      <c r="O9" s="20"/>
      <c r="P9" s="20"/>
    </row>
    <row r="10" spans="1:16">
      <c r="A10" s="25" t="s">
        <v>207</v>
      </c>
      <c r="B10" s="26">
        <f ca="1">'EF ele_warmte'!B12</f>
        <v>0.19302499513151025</v>
      </c>
      <c r="C10" s="26">
        <f ca="1">'EF ele_warmte'!B22</f>
        <v>0.1921695904326213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8855.6210910470963</v>
      </c>
      <c r="C12" s="24">
        <f ca="1">C10*C8</f>
        <v>0</v>
      </c>
      <c r="D12" s="24">
        <f>D8*D10</f>
        <v>16012.627692039288</v>
      </c>
      <c r="E12" s="24">
        <f>E10*E8</f>
        <v>490.32266609243061</v>
      </c>
      <c r="F12" s="24">
        <f>F10*F8</f>
        <v>17582.614015345214</v>
      </c>
      <c r="G12" s="24"/>
      <c r="H12" s="24"/>
      <c r="I12" s="24"/>
      <c r="J12" s="24">
        <f>J10*J8</f>
        <v>422.98413210045561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8856</v>
      </c>
      <c r="C26" s="37"/>
      <c r="D26" s="228"/>
    </row>
    <row r="27" spans="1:5" s="16" customFormat="1">
      <c r="A27" s="230" t="s">
        <v>648</v>
      </c>
      <c r="B27" s="38">
        <f>SUM(HH_hh_gas_aantal,HH_rest_gas_aantal)</f>
        <v>4938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4691.1000000000004</v>
      </c>
      <c r="C31" s="35" t="s">
        <v>104</v>
      </c>
      <c r="D31" s="174"/>
    </row>
    <row r="32" spans="1:5">
      <c r="A32" s="171" t="s">
        <v>72</v>
      </c>
      <c r="B32" s="34">
        <f>IF((B21*($B$26-($B$27-0.05*$B$27)-$B$60))&lt;0,0,B21*($B$26-($B$27-0.05*$B$27)-$B$60))</f>
        <v>102.05889031737857</v>
      </c>
      <c r="C32" s="35" t="s">
        <v>104</v>
      </c>
      <c r="D32" s="174"/>
    </row>
    <row r="33" spans="1:6">
      <c r="A33" s="171" t="s">
        <v>73</v>
      </c>
      <c r="B33" s="34">
        <f>IF((B22*($B$26-($B$27-0.05*$B$27)-$B$60))&lt;0,0,B22*($B$26-($B$27-0.05*$B$27)-$B$60))</f>
        <v>686.97603053447824</v>
      </c>
      <c r="C33" s="35" t="s">
        <v>104</v>
      </c>
      <c r="D33" s="174"/>
    </row>
    <row r="34" spans="1:6">
      <c r="A34" s="171" t="s">
        <v>74</v>
      </c>
      <c r="B34" s="34">
        <f>IF((B24*($B$26-($B$27-0.05*$B$27)-$B$60))&lt;0,0,B24*($B$26-($B$27-0.05*$B$27)-$B$60))</f>
        <v>174.23160148621599</v>
      </c>
      <c r="C34" s="34">
        <f>B26*C24</f>
        <v>1811.0726138373038</v>
      </c>
      <c r="D34" s="233"/>
    </row>
    <row r="35" spans="1:6">
      <c r="A35" s="171" t="s">
        <v>76</v>
      </c>
      <c r="B35" s="34">
        <f>IF((B19*($B$26-($B$27-0.05*$B$27)-$B$60))&lt;0,0,B19*($B$26-($B$27-0.05*$B$27)-$B$60))</f>
        <v>64.77379571686302</v>
      </c>
      <c r="C35" s="34">
        <f>B35/2</f>
        <v>32.38689785843151</v>
      </c>
      <c r="D35" s="233"/>
    </row>
    <row r="36" spans="1:6">
      <c r="A36" s="171" t="s">
        <v>77</v>
      </c>
      <c r="B36" s="34">
        <f>IF((B18*($B$26-($B$27-0.05*$B$27)-$B$60))&lt;0,0,B18*($B$26-($B$27-0.05*$B$27)-$B$60))</f>
        <v>3124.8596819450627</v>
      </c>
      <c r="C36" s="35" t="s">
        <v>104</v>
      </c>
      <c r="D36" s="174"/>
    </row>
    <row r="37" spans="1:6">
      <c r="A37" s="171" t="s">
        <v>78</v>
      </c>
      <c r="B37" s="34">
        <f>B60</f>
        <v>12</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82</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12</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22933.7329624673</v>
      </c>
      <c r="C5" s="18">
        <f>IF(ISERROR('Eigen informatie GS &amp; warmtenet'!B58),0,'Eigen informatie GS &amp; warmtenet'!B58)</f>
        <v>0</v>
      </c>
      <c r="D5" s="31">
        <f>SUM(D6:D12)</f>
        <v>27834.502331959033</v>
      </c>
      <c r="E5" s="18">
        <f>SUM(E6:E12)</f>
        <v>224.78922529641358</v>
      </c>
      <c r="F5" s="18">
        <f>SUM(F6:F12)</f>
        <v>4769.2445298647835</v>
      </c>
      <c r="G5" s="19"/>
      <c r="H5" s="18"/>
      <c r="I5" s="18"/>
      <c r="J5" s="18">
        <f>SUM(J6:J12)</f>
        <v>0</v>
      </c>
      <c r="K5" s="18"/>
      <c r="L5" s="18"/>
      <c r="M5" s="18"/>
      <c r="N5" s="18">
        <f>SUM(N6:N12)</f>
        <v>2673.5004668727502</v>
      </c>
      <c r="O5" s="18">
        <f>B38*B39*B40</f>
        <v>1.5633333333333335</v>
      </c>
      <c r="P5" s="18">
        <f>B46*B47*B48/1000-B46*B47*B48/1000/B49</f>
        <v>38.133333333333333</v>
      </c>
      <c r="R5" s="33"/>
    </row>
    <row r="6" spans="1:18">
      <c r="A6" s="33" t="s">
        <v>53</v>
      </c>
      <c r="B6" s="38">
        <f>B26</f>
        <v>4456.9955153626097</v>
      </c>
      <c r="C6" s="34"/>
      <c r="D6" s="38">
        <f>IF(ISERROR(TER_kantoor_gas_kWh/1000),0,TER_kantoor_gas_kWh/1000)*0.902</f>
        <v>5980.8435253666212</v>
      </c>
      <c r="E6" s="34">
        <f>$C$26*'E Balans VL '!I12/100/3.6*1000000</f>
        <v>7.3148329660600151</v>
      </c>
      <c r="F6" s="34">
        <f>$C$26*('E Balans VL '!L12+'E Balans VL '!N12)/100/3.6*1000000</f>
        <v>525.37490385155195</v>
      </c>
      <c r="G6" s="35"/>
      <c r="H6" s="34"/>
      <c r="I6" s="34"/>
      <c r="J6" s="34">
        <f>$C$26*('E Balans VL '!D12+'E Balans VL '!E12)/100/3.6*1000000</f>
        <v>0</v>
      </c>
      <c r="K6" s="34"/>
      <c r="L6" s="34"/>
      <c r="M6" s="34"/>
      <c r="N6" s="34">
        <f>$C$26*'E Balans VL '!Y12/100/3.6*1000000</f>
        <v>0.90051483827738921</v>
      </c>
      <c r="O6" s="34"/>
      <c r="P6" s="34"/>
      <c r="R6" s="33"/>
    </row>
    <row r="7" spans="1:18">
      <c r="A7" s="33" t="s">
        <v>52</v>
      </c>
      <c r="B7" s="38">
        <f t="shared" ref="B7:B12" si="0">B27</f>
        <v>2013.85267959524</v>
      </c>
      <c r="C7" s="34"/>
      <c r="D7" s="38">
        <f>IF(ISERROR(TER_horeca_gas_kWh/1000),0,TER_horeca_gas_kWh/1000)*0.902</f>
        <v>3044.4100996929842</v>
      </c>
      <c r="E7" s="34">
        <f>$C$27*'E Balans VL '!I9/100/3.6*1000000</f>
        <v>104.50438152116244</v>
      </c>
      <c r="F7" s="34">
        <f>$C$27*('E Balans VL '!L9+'E Balans VL '!N9)/100/3.6*1000000</f>
        <v>459.56264274238032</v>
      </c>
      <c r="G7" s="35"/>
      <c r="H7" s="34"/>
      <c r="I7" s="34"/>
      <c r="J7" s="34">
        <f>$C$27*('E Balans VL '!D9+'E Balans VL '!E9)/100/3.6*1000000</f>
        <v>0</v>
      </c>
      <c r="K7" s="34"/>
      <c r="L7" s="34"/>
      <c r="M7" s="34"/>
      <c r="N7" s="34">
        <f>$C$27*'E Balans VL '!Y9/100/3.6*1000000</f>
        <v>0.21266192007700369</v>
      </c>
      <c r="O7" s="34"/>
      <c r="P7" s="34"/>
      <c r="R7" s="33"/>
    </row>
    <row r="8" spans="1:18">
      <c r="A8" s="6" t="s">
        <v>51</v>
      </c>
      <c r="B8" s="38">
        <f t="shared" si="0"/>
        <v>6999.6673505523404</v>
      </c>
      <c r="C8" s="34"/>
      <c r="D8" s="38">
        <f>IF(ISERROR(TER_handel_gas_kWh/1000),0,TER_handel_gas_kWh/1000)*0.902</f>
        <v>3650.9296892107232</v>
      </c>
      <c r="E8" s="34">
        <f>$C$28*'E Balans VL '!I13/100/3.6*1000000</f>
        <v>37.69406882751926</v>
      </c>
      <c r="F8" s="34">
        <f>$C$28*('E Balans VL '!L13+'E Balans VL '!N13)/100/3.6*1000000</f>
        <v>1427.4401841563692</v>
      </c>
      <c r="G8" s="35"/>
      <c r="H8" s="34"/>
      <c r="I8" s="34"/>
      <c r="J8" s="34">
        <f>$C$28*('E Balans VL '!D13+'E Balans VL '!E13)/100/3.6*1000000</f>
        <v>0</v>
      </c>
      <c r="K8" s="34"/>
      <c r="L8" s="34"/>
      <c r="M8" s="34"/>
      <c r="N8" s="34">
        <f>$C$28*'E Balans VL '!Y13/100/3.6*1000000</f>
        <v>34.805649315873502</v>
      </c>
      <c r="O8" s="34"/>
      <c r="P8" s="34"/>
      <c r="R8" s="33"/>
    </row>
    <row r="9" spans="1:18">
      <c r="A9" s="33" t="s">
        <v>50</v>
      </c>
      <c r="B9" s="38">
        <f t="shared" si="0"/>
        <v>337.72856139993098</v>
      </c>
      <c r="C9" s="34"/>
      <c r="D9" s="38">
        <f>IF(ISERROR(TER_gezond_gas_kWh/1000),0,TER_gezond_gas_kWh/1000)*0.902</f>
        <v>704.85421323702542</v>
      </c>
      <c r="E9" s="34">
        <f>$C$29*'E Balans VL '!I10/100/3.6*1000000</f>
        <v>0.33469284498063689</v>
      </c>
      <c r="F9" s="34">
        <f>$C$29*('E Balans VL '!L10+'E Balans VL '!N10)/100/3.6*1000000</f>
        <v>117.18207615345734</v>
      </c>
      <c r="G9" s="35"/>
      <c r="H9" s="34"/>
      <c r="I9" s="34"/>
      <c r="J9" s="34">
        <f>$C$29*('E Balans VL '!D10+'E Balans VL '!E10)/100/3.6*1000000</f>
        <v>0</v>
      </c>
      <c r="K9" s="34"/>
      <c r="L9" s="34"/>
      <c r="M9" s="34"/>
      <c r="N9" s="34">
        <f>$C$29*'E Balans VL '!Y10/100/3.6*1000000</f>
        <v>2.9101777562981992</v>
      </c>
      <c r="O9" s="34"/>
      <c r="P9" s="34"/>
      <c r="R9" s="33"/>
    </row>
    <row r="10" spans="1:18">
      <c r="A10" s="33" t="s">
        <v>49</v>
      </c>
      <c r="B10" s="38">
        <f t="shared" si="0"/>
        <v>4012.0402300222304</v>
      </c>
      <c r="C10" s="34"/>
      <c r="D10" s="38">
        <f>IF(ISERROR(TER_ander_gas_kWh/1000),0,TER_ander_gas_kWh/1000)*0.902</f>
        <v>6618.1757891807874</v>
      </c>
      <c r="E10" s="34">
        <f>$C$30*'E Balans VL '!I14/100/3.6*1000000</f>
        <v>32.822498830226124</v>
      </c>
      <c r="F10" s="34">
        <f>$C$30*('E Balans VL '!L14+'E Balans VL '!N14)/100/3.6*1000000</f>
        <v>1172.9572263358923</v>
      </c>
      <c r="G10" s="35"/>
      <c r="H10" s="34"/>
      <c r="I10" s="34"/>
      <c r="J10" s="34">
        <f>$C$30*('E Balans VL '!D14+'E Balans VL '!E14)/100/3.6*1000000</f>
        <v>0</v>
      </c>
      <c r="K10" s="34"/>
      <c r="L10" s="34"/>
      <c r="M10" s="34"/>
      <c r="N10" s="34">
        <f>$C$30*'E Balans VL '!Y14/100/3.6*1000000</f>
        <v>2314.4207885647393</v>
      </c>
      <c r="O10" s="34"/>
      <c r="P10" s="34"/>
      <c r="R10" s="33"/>
    </row>
    <row r="11" spans="1:18">
      <c r="A11" s="33" t="s">
        <v>54</v>
      </c>
      <c r="B11" s="38">
        <f t="shared" si="0"/>
        <v>257.12765803591901</v>
      </c>
      <c r="C11" s="34"/>
      <c r="D11" s="38">
        <f>IF(ISERROR(TER_onderwijs_gas_kWh/1000),0,TER_onderwijs_gas_kWh/1000)*0.902</f>
        <v>1023.5230500704777</v>
      </c>
      <c r="E11" s="34">
        <f>$C$31*'E Balans VL '!I11/100/3.6*1000000</f>
        <v>0.15848263912031038</v>
      </c>
      <c r="F11" s="34">
        <f>$C$31*('E Balans VL '!L11+'E Balans VL '!N11)/100/3.6*1000000</f>
        <v>99.409716694079847</v>
      </c>
      <c r="G11" s="35"/>
      <c r="H11" s="34"/>
      <c r="I11" s="34"/>
      <c r="J11" s="34">
        <f>$C$31*('E Balans VL '!D11+'E Balans VL '!E11)/100/3.6*1000000</f>
        <v>0</v>
      </c>
      <c r="K11" s="34"/>
      <c r="L11" s="34"/>
      <c r="M11" s="34"/>
      <c r="N11" s="34">
        <f>$C$31*'E Balans VL '!Y11/100/3.6*1000000</f>
        <v>0.83638117031021908</v>
      </c>
      <c r="O11" s="34"/>
      <c r="P11" s="34"/>
      <c r="R11" s="33"/>
    </row>
    <row r="12" spans="1:18">
      <c r="A12" s="33" t="s">
        <v>249</v>
      </c>
      <c r="B12" s="38">
        <f t="shared" si="0"/>
        <v>4856.3209674990294</v>
      </c>
      <c r="C12" s="34"/>
      <c r="D12" s="38">
        <f>IF(ISERROR(TER_rest_gas_kWh/1000),0,TER_rest_gas_kWh/1000)*0.902</f>
        <v>6811.7659652004122</v>
      </c>
      <c r="E12" s="34">
        <f>$C$32*'E Balans VL '!I8/100/3.6*1000000</f>
        <v>41.960267667344795</v>
      </c>
      <c r="F12" s="34">
        <f>$C$32*('E Balans VL '!L8+'E Balans VL '!N8)/100/3.6*1000000</f>
        <v>967.31777993105243</v>
      </c>
      <c r="G12" s="35"/>
      <c r="H12" s="34"/>
      <c r="I12" s="34"/>
      <c r="J12" s="34">
        <f>$C$32*('E Balans VL '!D8+'E Balans VL '!E8)/100/3.6*1000000</f>
        <v>0</v>
      </c>
      <c r="K12" s="34"/>
      <c r="L12" s="34"/>
      <c r="M12" s="34"/>
      <c r="N12" s="34">
        <f>$C$32*'E Balans VL '!Y8/100/3.6*1000000</f>
        <v>319.41429330717449</v>
      </c>
      <c r="O12" s="34"/>
      <c r="P12" s="34"/>
      <c r="R12" s="33"/>
    </row>
    <row r="13" spans="1:18">
      <c r="A13" s="17" t="s">
        <v>489</v>
      </c>
      <c r="B13" s="246">
        <f ca="1">'lokale energieproductie'!N40+'lokale energieproductie'!N33</f>
        <v>0</v>
      </c>
      <c r="C13" s="246">
        <f ca="1">'lokale energieproductie'!O40+'lokale energieproductie'!O33</f>
        <v>0</v>
      </c>
      <c r="D13" s="305">
        <f ca="1">('lokale energieproductie'!P33+'lokale energieproductie'!P40)*(-1)</f>
        <v>0</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22933.7329624673</v>
      </c>
      <c r="C16" s="22">
        <f t="shared" ca="1" si="1"/>
        <v>0</v>
      </c>
      <c r="D16" s="22">
        <f t="shared" ca="1" si="1"/>
        <v>27834.502331959033</v>
      </c>
      <c r="E16" s="22">
        <f t="shared" si="1"/>
        <v>224.78922529641358</v>
      </c>
      <c r="F16" s="22">
        <f t="shared" ca="1" si="1"/>
        <v>4769.2445298647835</v>
      </c>
      <c r="G16" s="22">
        <f t="shared" si="1"/>
        <v>0</v>
      </c>
      <c r="H16" s="22">
        <f t="shared" si="1"/>
        <v>0</v>
      </c>
      <c r="I16" s="22">
        <f t="shared" si="1"/>
        <v>0</v>
      </c>
      <c r="J16" s="22">
        <f t="shared" si="1"/>
        <v>0</v>
      </c>
      <c r="K16" s="22">
        <f t="shared" si="1"/>
        <v>0</v>
      </c>
      <c r="L16" s="22">
        <f t="shared" ca="1" si="1"/>
        <v>0</v>
      </c>
      <c r="M16" s="22">
        <f t="shared" si="1"/>
        <v>0</v>
      </c>
      <c r="N16" s="22">
        <f t="shared" ca="1" si="1"/>
        <v>2673.5004668727502</v>
      </c>
      <c r="O16" s="22">
        <f>O5</f>
        <v>1.5633333333333335</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0.19302499513151025</v>
      </c>
      <c r="C18" s="26">
        <f ca="1">'EF ele_warmte'!B22</f>
        <v>0.1921695904326213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4426.7836934276065</v>
      </c>
      <c r="C20" s="24">
        <f t="shared" ref="C20:P20" ca="1" si="2">C16*C18</f>
        <v>0</v>
      </c>
      <c r="D20" s="24">
        <f t="shared" ca="1" si="2"/>
        <v>5622.5694710557245</v>
      </c>
      <c r="E20" s="24">
        <f t="shared" si="2"/>
        <v>51.02715414228588</v>
      </c>
      <c r="F20" s="24">
        <f t="shared" ca="1" si="2"/>
        <v>1273.3882894738972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4456.9955153626097</v>
      </c>
      <c r="C26" s="40">
        <f>IF(ISERROR(B26*3.6/1000000/'E Balans VL '!Z12*100),0,B26*3.6/1000000/'E Balans VL '!Z12*100)</f>
        <v>9.4707958451609744E-2</v>
      </c>
      <c r="D26" s="236" t="s">
        <v>685</v>
      </c>
      <c r="F26" s="6"/>
    </row>
    <row r="27" spans="1:18">
      <c r="A27" s="231" t="s">
        <v>52</v>
      </c>
      <c r="B27" s="34">
        <f>IF(ISERROR(TER_horeca_ele_kWh/1000),0,TER_horeca_ele_kWh/1000)</f>
        <v>2013.85267959524</v>
      </c>
      <c r="C27" s="40">
        <f>IF(ISERROR(B27*3.6/1000000/'E Balans VL '!Z9*100),0,B27*3.6/1000000/'E Balans VL '!Z9*100)</f>
        <v>0.15850577893938164</v>
      </c>
      <c r="D27" s="236" t="s">
        <v>685</v>
      </c>
      <c r="F27" s="6"/>
    </row>
    <row r="28" spans="1:18">
      <c r="A28" s="171" t="s">
        <v>51</v>
      </c>
      <c r="B28" s="34">
        <f>IF(ISERROR(TER_handel_ele_kWh/1000),0,TER_handel_ele_kWh/1000)</f>
        <v>6999.6673505523404</v>
      </c>
      <c r="C28" s="40">
        <f>IF(ISERROR(B28*3.6/1000000/'E Balans VL '!Z13*100),0,B28*3.6/1000000/'E Balans VL '!Z13*100)</f>
        <v>0.19606442856304318</v>
      </c>
      <c r="D28" s="236" t="s">
        <v>685</v>
      </c>
      <c r="F28" s="6"/>
    </row>
    <row r="29" spans="1:18">
      <c r="A29" s="231" t="s">
        <v>50</v>
      </c>
      <c r="B29" s="34">
        <f>IF(ISERROR(TER_gezond_ele_kWh/1000),0,TER_gezond_ele_kWh/1000)</f>
        <v>337.72856139993098</v>
      </c>
      <c r="C29" s="40">
        <f>IF(ISERROR(B29*3.6/1000000/'E Balans VL '!Z10*100),0,B29*3.6/1000000/'E Balans VL '!Z10*100)</f>
        <v>4.3205695503445662E-2</v>
      </c>
      <c r="D29" s="236" t="s">
        <v>685</v>
      </c>
      <c r="F29" s="6"/>
    </row>
    <row r="30" spans="1:18">
      <c r="A30" s="231" t="s">
        <v>49</v>
      </c>
      <c r="B30" s="34">
        <f>IF(ISERROR(TER_ander_ele_kWh/1000),0,TER_ander_ele_kWh/1000)</f>
        <v>4012.0402300222304</v>
      </c>
      <c r="C30" s="40">
        <f>IF(ISERROR(B30*3.6/1000000/'E Balans VL '!Z14*100),0,B30*3.6/1000000/'E Balans VL '!Z14*100)</f>
        <v>0.30006680316413031</v>
      </c>
      <c r="D30" s="236" t="s">
        <v>685</v>
      </c>
      <c r="F30" s="6"/>
    </row>
    <row r="31" spans="1:18">
      <c r="A31" s="231" t="s">
        <v>54</v>
      </c>
      <c r="B31" s="34">
        <f>IF(ISERROR(TER_onderwijs_ele_kWh/1000),0,TER_onderwijs_ele_kWh/1000)</f>
        <v>257.12765803591901</v>
      </c>
      <c r="C31" s="40">
        <f>IF(ISERROR(B31*3.6/1000000/'E Balans VL '!Z11*100),0,B31*3.6/1000000/'E Balans VL '!Z11*100)</f>
        <v>5.4292838059735095E-2</v>
      </c>
      <c r="D31" s="236" t="s">
        <v>685</v>
      </c>
    </row>
    <row r="32" spans="1:18">
      <c r="A32" s="231" t="s">
        <v>249</v>
      </c>
      <c r="B32" s="34">
        <f>IF(ISERROR(TER_rest_ele_kWh/1000),0,TER_rest_ele_kWh/1000)</f>
        <v>4856.3209674990294</v>
      </c>
      <c r="C32" s="40">
        <f>IF(ISERROR(B32*3.6/1000000/'E Balans VL '!Z8*100),0,B32*3.6/1000000/'E Balans VL '!Z8*100)</f>
        <v>4.0006042218227227E-2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25795.29425803461</v>
      </c>
      <c r="C5" s="18">
        <f>IF(ISERROR('Eigen informatie GS &amp; warmtenet'!B59),0,'Eigen informatie GS &amp; warmtenet'!B59)</f>
        <v>0</v>
      </c>
      <c r="D5" s="31">
        <f>SUM(D6:D15)</f>
        <v>73796.637597828783</v>
      </c>
      <c r="E5" s="18">
        <f>SUM(E6:E15)</f>
        <v>239.82929688048847</v>
      </c>
      <c r="F5" s="18">
        <f>SUM(F6:F15)</f>
        <v>6186.6439906189025</v>
      </c>
      <c r="G5" s="19"/>
      <c r="H5" s="18"/>
      <c r="I5" s="18"/>
      <c r="J5" s="18">
        <f>SUM(J6:J15)</f>
        <v>179.3628332789437</v>
      </c>
      <c r="K5" s="18"/>
      <c r="L5" s="18"/>
      <c r="M5" s="18"/>
      <c r="N5" s="18">
        <f>SUM(N6:N15)</f>
        <v>886.68163228714923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7231.2600840937803</v>
      </c>
      <c r="C8" s="34"/>
      <c r="D8" s="38">
        <f>IF( ISERROR(IND_metaal_Gas_kWH/1000),0,IND_metaal_Gas_kWH/1000)*0.902</f>
        <v>62929.017459330462</v>
      </c>
      <c r="E8" s="34">
        <f>C30*'E Balans VL '!I18/100/3.6*1000000</f>
        <v>65.853782423436783</v>
      </c>
      <c r="F8" s="34">
        <f>C30*'E Balans VL '!L18/100/3.6*1000000+C30*'E Balans VL '!N18/100/3.6*1000000</f>
        <v>953.74828995969403</v>
      </c>
      <c r="G8" s="35"/>
      <c r="H8" s="34"/>
      <c r="I8" s="34"/>
      <c r="J8" s="41">
        <f>C30*'E Balans VL '!D18/100/3.6*1000000+C30*'E Balans VL '!E18/100/3.6*1000000</f>
        <v>118.5821659675684</v>
      </c>
      <c r="K8" s="34"/>
      <c r="L8" s="34"/>
      <c r="M8" s="34"/>
      <c r="N8" s="34">
        <f>C30*'E Balans VL '!Y18/100/3.6*1000000</f>
        <v>24.85096829833072</v>
      </c>
      <c r="O8" s="34"/>
      <c r="P8" s="34"/>
      <c r="R8" s="33"/>
    </row>
    <row r="9" spans="1:18">
      <c r="A9" s="6" t="s">
        <v>32</v>
      </c>
      <c r="B9" s="38">
        <f t="shared" si="0"/>
        <v>3080.2155691340599</v>
      </c>
      <c r="C9" s="34"/>
      <c r="D9" s="38">
        <f>IF( ISERROR(IND_andere_gas_kWh/1000),0,IND_andere_gas_kWh/1000)*0.902</f>
        <v>1950.5031377329988</v>
      </c>
      <c r="E9" s="34">
        <f>C31*'E Balans VL '!I19/100/3.6*1000000</f>
        <v>17.804106289738876</v>
      </c>
      <c r="F9" s="34">
        <f>C31*'E Balans VL '!L19/100/3.6*1000000+C31*'E Balans VL '!N19/100/3.6*1000000</f>
        <v>2450.4596993542841</v>
      </c>
      <c r="G9" s="35"/>
      <c r="H9" s="34"/>
      <c r="I9" s="34"/>
      <c r="J9" s="41">
        <f>C31*'E Balans VL '!D19/100/3.6*1000000+C31*'E Balans VL '!E19/100/3.6*1000000</f>
        <v>0.29135417877461239</v>
      </c>
      <c r="K9" s="34"/>
      <c r="L9" s="34"/>
      <c r="M9" s="34"/>
      <c r="N9" s="34">
        <f>C31*'E Balans VL '!Y19/100/3.6*1000000</f>
        <v>233.37294321051047</v>
      </c>
      <c r="O9" s="34"/>
      <c r="P9" s="34"/>
      <c r="R9" s="33"/>
    </row>
    <row r="10" spans="1:18">
      <c r="A10" s="6" t="s">
        <v>40</v>
      </c>
      <c r="B10" s="38">
        <f t="shared" si="0"/>
        <v>2846.1701865080504</v>
      </c>
      <c r="C10" s="34"/>
      <c r="D10" s="38">
        <f>IF( ISERROR(IND_voed_gas_kWh/1000),0,IND_voed_gas_kWh/1000)*0.902</f>
        <v>1177.5882099955013</v>
      </c>
      <c r="E10" s="34">
        <f>C32*'E Balans VL '!I20/100/3.6*1000000</f>
        <v>27.985298945249461</v>
      </c>
      <c r="F10" s="34">
        <f>C32*'E Balans VL '!L20/100/3.6*1000000+C32*'E Balans VL '!N20/100/3.6*1000000</f>
        <v>316.10434925904144</v>
      </c>
      <c r="G10" s="35"/>
      <c r="H10" s="34"/>
      <c r="I10" s="34"/>
      <c r="J10" s="41">
        <f>C32*'E Balans VL '!D20/100/3.6*1000000+C32*'E Balans VL '!E20/100/3.6*1000000</f>
        <v>1.1218048788545263E-2</v>
      </c>
      <c r="K10" s="34"/>
      <c r="L10" s="34"/>
      <c r="M10" s="34"/>
      <c r="N10" s="34">
        <f>C32*'E Balans VL '!Y20/100/3.6*1000000</f>
        <v>42.145085564211598</v>
      </c>
      <c r="O10" s="34"/>
      <c r="P10" s="34"/>
      <c r="R10" s="33"/>
    </row>
    <row r="11" spans="1:18">
      <c r="A11" s="6" t="s">
        <v>39</v>
      </c>
      <c r="B11" s="38">
        <f t="shared" si="0"/>
        <v>21.764797247600999</v>
      </c>
      <c r="C11" s="34"/>
      <c r="D11" s="38">
        <f>IF( ISERROR(IND_textiel_gas_kWh/1000),0,IND_textiel_gas_kWh/1000)*0.902</f>
        <v>0</v>
      </c>
      <c r="E11" s="34">
        <f>C33*'E Balans VL '!I21/100/3.6*1000000</f>
        <v>4.2381114176002613E-2</v>
      </c>
      <c r="F11" s="34">
        <f>C33*'E Balans VL '!L21/100/3.6*1000000+C33*'E Balans VL '!N21/100/3.6*1000000</f>
        <v>0.7178744344860174</v>
      </c>
      <c r="G11" s="35"/>
      <c r="H11" s="34"/>
      <c r="I11" s="34"/>
      <c r="J11" s="41">
        <f>C33*'E Balans VL '!D21/100/3.6*1000000+C33*'E Balans VL '!E21/100/3.6*1000000</f>
        <v>0</v>
      </c>
      <c r="K11" s="34"/>
      <c r="L11" s="34"/>
      <c r="M11" s="34"/>
      <c r="N11" s="34">
        <f>C33*'E Balans VL '!Y21/100/3.6*1000000</f>
        <v>0.22575819273314579</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589.46558326381898</v>
      </c>
      <c r="C13" s="34"/>
      <c r="D13" s="38">
        <f>IF( ISERROR(IND_papier_gas_kWh/1000),0,IND_papier_gas_kWh/1000)*0.902</f>
        <v>267.5186340459482</v>
      </c>
      <c r="E13" s="34">
        <f>C35*'E Balans VL '!I23/100/3.6*1000000</f>
        <v>20.07805243580486</v>
      </c>
      <c r="F13" s="34">
        <f>C35*'E Balans VL '!L23/100/3.6*1000000+C35*'E Balans VL '!N23/100/3.6*1000000</f>
        <v>97.365879895738274</v>
      </c>
      <c r="G13" s="35"/>
      <c r="H13" s="34"/>
      <c r="I13" s="34"/>
      <c r="J13" s="41">
        <f>C35*'E Balans VL '!D23/100/3.6*1000000+C35*'E Balans VL '!E23/100/3.6*1000000</f>
        <v>0</v>
      </c>
      <c r="K13" s="34"/>
      <c r="L13" s="34"/>
      <c r="M13" s="34"/>
      <c r="N13" s="34">
        <f>C35*'E Balans VL '!Y23/100/3.6*1000000</f>
        <v>216.90752639959791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12026.4180377873</v>
      </c>
      <c r="C15" s="34"/>
      <c r="D15" s="38">
        <f>IF( ISERROR(IND_rest_gas_kWh/1000),0,IND_rest_gas_kWh/1000)*0.902</f>
        <v>7472.010156723878</v>
      </c>
      <c r="E15" s="34">
        <f>C37*'E Balans VL '!I15/100/3.6*1000000</f>
        <v>108.06567567208251</v>
      </c>
      <c r="F15" s="34">
        <f>C37*'E Balans VL '!L15/100/3.6*1000000+C37*'E Balans VL '!N15/100/3.6*1000000</f>
        <v>2368.2478977156584</v>
      </c>
      <c r="G15" s="35"/>
      <c r="H15" s="34"/>
      <c r="I15" s="34"/>
      <c r="J15" s="41">
        <f>C37*'E Balans VL '!D15/100/3.6*1000000+C37*'E Balans VL '!E15/100/3.6*1000000</f>
        <v>60.478095083812129</v>
      </c>
      <c r="K15" s="34"/>
      <c r="L15" s="34"/>
      <c r="M15" s="34"/>
      <c r="N15" s="34">
        <f>C37*'E Balans VL '!Y15/100/3.6*1000000</f>
        <v>369.17935062176537</v>
      </c>
      <c r="O15" s="34"/>
      <c r="P15" s="34"/>
      <c r="R15" s="33"/>
    </row>
    <row r="16" spans="1:18">
      <c r="A16" s="17" t="s">
        <v>489</v>
      </c>
      <c r="B16" s="246">
        <f>'lokale energieproductie'!N39+'lokale energieproductie'!N32</f>
        <v>2812.5</v>
      </c>
      <c r="C16" s="246">
        <f>'lokale energieproductie'!O39+'lokale energieproductie'!O32</f>
        <v>4017.8571428571431</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-8035.7142857142862</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28607.79425803461</v>
      </c>
      <c r="C18" s="22">
        <f>C5+C16</f>
        <v>4017.8571428571431</v>
      </c>
      <c r="D18" s="22">
        <f>MAX((D5+D16),0)</f>
        <v>73796.637597828783</v>
      </c>
      <c r="E18" s="22">
        <f>MAX((E5+E16),0)</f>
        <v>239.82929688048847</v>
      </c>
      <c r="F18" s="22">
        <f>MAX((F5+F16),0)</f>
        <v>6186.6439906189025</v>
      </c>
      <c r="G18" s="22"/>
      <c r="H18" s="22"/>
      <c r="I18" s="22"/>
      <c r="J18" s="22">
        <f>MAX((J5+J16),0)</f>
        <v>179.3628332789437</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0.19302499513151025</v>
      </c>
      <c r="C20" s="26">
        <f ca="1">'EF ele_warmte'!B22</f>
        <v>0.1921695904326213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5522.0193473803774</v>
      </c>
      <c r="C22" s="24">
        <f ca="1">C18*C20</f>
        <v>772.10996155963926</v>
      </c>
      <c r="D22" s="24">
        <f>D18*D20</f>
        <v>14906.920794761416</v>
      </c>
      <c r="E22" s="24">
        <f>E18*E20</f>
        <v>54.441250391870888</v>
      </c>
      <c r="F22" s="24">
        <f>F18*F20</f>
        <v>1651.833945495247</v>
      </c>
      <c r="G22" s="24"/>
      <c r="H22" s="24"/>
      <c r="I22" s="24"/>
      <c r="J22" s="24">
        <f>J18*J20</f>
        <v>63.494442980746065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7231.2600840937803</v>
      </c>
      <c r="C30" s="40">
        <f>IF(ISERROR(B30*3.6/1000000/'E Balans VL '!Z18*100),0,B30*3.6/1000000/'E Balans VL '!Z18*100)</f>
        <v>0.40237126865851003</v>
      </c>
      <c r="D30" s="236" t="s">
        <v>685</v>
      </c>
    </row>
    <row r="31" spans="1:18">
      <c r="A31" s="6" t="s">
        <v>32</v>
      </c>
      <c r="B31" s="38">
        <f>IF( ISERROR(IND_ander_ele_kWh/1000),0,IND_ander_ele_kWh/1000)</f>
        <v>3080.2155691340599</v>
      </c>
      <c r="C31" s="40">
        <f>IF(ISERROR(B31*3.6/1000000/'E Balans VL '!Z19*100),0,B31*3.6/1000000/'E Balans VL '!Z19*100)</f>
        <v>0.14319113223052624</v>
      </c>
      <c r="D31" s="236" t="s">
        <v>685</v>
      </c>
    </row>
    <row r="32" spans="1:18">
      <c r="A32" s="171" t="s">
        <v>40</v>
      </c>
      <c r="B32" s="38">
        <f>IF( ISERROR(IND_voed_ele_kWh/1000),0,IND_voed_ele_kWh/1000)</f>
        <v>2846.1701865080504</v>
      </c>
      <c r="C32" s="40">
        <f>IF(ISERROR(B32*3.6/1000000/'E Balans VL '!Z20*100),0,B32*3.6/1000000/'E Balans VL '!Z20*100)</f>
        <v>0.10060636800893408</v>
      </c>
      <c r="D32" s="236" t="s">
        <v>685</v>
      </c>
    </row>
    <row r="33" spans="1:5">
      <c r="A33" s="171" t="s">
        <v>39</v>
      </c>
      <c r="B33" s="38">
        <f>IF( ISERROR(IND_textiel_ele_kWh/1000),0,IND_textiel_ele_kWh/1000)</f>
        <v>21.764797247600999</v>
      </c>
      <c r="C33" s="40">
        <f>IF(ISERROR(B33*3.6/1000000/'E Balans VL '!Z21*100),0,B33*3.6/1000000/'E Balans VL '!Z21*100)</f>
        <v>2.9396661259425069E-3</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589.46558326381898</v>
      </c>
      <c r="C35" s="40">
        <f>IF(ISERROR(B35*3.6/1000000/'E Balans VL '!Z22*100),0,B35*3.6/1000000/'E Balans VL '!Z22*100)</f>
        <v>0.1184659598681513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12026.4180377873</v>
      </c>
      <c r="C37" s="40">
        <f>IF(ISERROR(B37*3.6/1000000/'E Balans VL '!Z15*100),0,B37*3.6/1000000/'E Balans VL '!Z15*100)</f>
        <v>9.0817221891176567E-2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4500.6715352801239</v>
      </c>
      <c r="C5" s="18">
        <f>'Eigen informatie GS &amp; warmtenet'!B60</f>
        <v>0</v>
      </c>
      <c r="D5" s="31">
        <f>IF(ISERROR(SUM(LB_lb_gas_kWh,LB_rest_gas_kWh)/1000),0,SUM(LB_lb_gas_kWh,LB_rest_gas_kWh)/1000)*0.902</f>
        <v>43537.669216920978</v>
      </c>
      <c r="E5" s="18">
        <f>B17*'E Balans VL '!I25/3.6*1000000/100</f>
        <v>42.399341411186754</v>
      </c>
      <c r="F5" s="18">
        <f>B17*('E Balans VL '!L25/3.6*1000000+'E Balans VL '!N25/3.6*1000000)/100</f>
        <v>14687.184861325117</v>
      </c>
      <c r="G5" s="19"/>
      <c r="H5" s="18"/>
      <c r="I5" s="18"/>
      <c r="J5" s="18">
        <f>('E Balans VL '!D25+'E Balans VL '!E25)/3.6*1000000*landbouw!B17/100</f>
        <v>556.75496017629393</v>
      </c>
      <c r="K5" s="18"/>
      <c r="L5" s="18">
        <f>L6*(-1)</f>
        <v>0</v>
      </c>
      <c r="M5" s="18"/>
      <c r="N5" s="18">
        <f>N6*(-1)</f>
        <v>0</v>
      </c>
      <c r="O5" s="18"/>
      <c r="P5" s="18"/>
      <c r="R5" s="33"/>
    </row>
    <row r="6" spans="1:18">
      <c r="A6" s="17" t="s">
        <v>489</v>
      </c>
      <c r="B6" s="18" t="s">
        <v>204</v>
      </c>
      <c r="C6" s="18">
        <f>'lokale energieproductie'!O41+'lokale energieproductie'!O34</f>
        <v>16977.857142857145</v>
      </c>
      <c r="D6" s="305">
        <f>('lokale energieproductie'!P34+'lokale energieproductie'!P41)*(-1)</f>
        <v>-33955.71428571429</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4500.6715352801239</v>
      </c>
      <c r="C8" s="22">
        <f>C5+C6</f>
        <v>16977.857142857145</v>
      </c>
      <c r="D8" s="22">
        <f>MAX((D5+D6),0)</f>
        <v>9581.9549312066883</v>
      </c>
      <c r="E8" s="22">
        <f>MAX((E5+E6),0)</f>
        <v>42.399341411186754</v>
      </c>
      <c r="F8" s="22">
        <f>MAX((F5+F6),0)</f>
        <v>14687.184861325117</v>
      </c>
      <c r="G8" s="22"/>
      <c r="H8" s="22"/>
      <c r="I8" s="22"/>
      <c r="J8" s="22">
        <f>MAX((J5+J6),0)</f>
        <v>556.75496017629393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0.19302499513151025</v>
      </c>
      <c r="C10" s="32">
        <f ca="1">'EF ele_warmte'!B22</f>
        <v>0.1921695904326213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868.74210118597273</v>
      </c>
      <c r="C12" s="24">
        <f ca="1">C8*C10</f>
        <v>3262.6278535664114</v>
      </c>
      <c r="D12" s="24">
        <f>D8*D10</f>
        <v>1935.5548961037512</v>
      </c>
      <c r="E12" s="24">
        <f>E8*E10</f>
        <v>9.6246505003393938</v>
      </c>
      <c r="F12" s="24">
        <f>F8*F10</f>
        <v>3921.4783579738064</v>
      </c>
      <c r="G12" s="24"/>
      <c r="H12" s="24"/>
      <c r="I12" s="24"/>
      <c r="J12" s="24">
        <f>J8*J10</f>
        <v>197.09125590240805</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0.60931900744480938</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659.32382175858424</v>
      </c>
      <c r="C26" s="246">
        <f>B26*'GWP N2O_CH4'!B5</f>
        <v>13845.80025693027</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406.39263580025852</v>
      </c>
      <c r="C27" s="246">
        <f>B27*'GWP N2O_CH4'!B5</f>
        <v>8534.2453518054281</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11.85616649069477</v>
      </c>
      <c r="C28" s="246">
        <f>B28*'GWP N2O_CH4'!B4</f>
        <v>3675.4116121153788</v>
      </c>
      <c r="D28" s="51"/>
    </row>
    <row r="29" spans="1:4">
      <c r="A29" s="42" t="s">
        <v>266</v>
      </c>
      <c r="B29" s="246">
        <f>B34*'ha_N2O bodem landbouw'!B4</f>
        <v>19.562999137636236</v>
      </c>
      <c r="C29" s="246">
        <f>B29*'GWP N2O_CH4'!B4</f>
        <v>6064.5297326672335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5.2813939187287724E-3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3.1646587391965622E-5</v>
      </c>
      <c r="C5" s="433" t="s">
        <v>204</v>
      </c>
      <c r="D5" s="418">
        <f>SUM(D6:D11)</f>
        <v>3.7460242684693871E-5</v>
      </c>
      <c r="E5" s="418">
        <f>SUM(E6:E11)</f>
        <v>2.6477155509146808E-3</v>
      </c>
      <c r="F5" s="431" t="s">
        <v>204</v>
      </c>
      <c r="G5" s="418">
        <f>SUM(G6:G11)</f>
        <v>0.63612326468929647</v>
      </c>
      <c r="H5" s="418">
        <f>SUM(H6:H11)</f>
        <v>9.2609751586042136E-2</v>
      </c>
      <c r="I5" s="433" t="s">
        <v>204</v>
      </c>
      <c r="J5" s="433" t="s">
        <v>204</v>
      </c>
      <c r="K5" s="433" t="s">
        <v>204</v>
      </c>
      <c r="L5" s="433" t="s">
        <v>204</v>
      </c>
      <c r="M5" s="418">
        <f>SUM(M6:M11)</f>
        <v>3.2546739846628522E-2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1.1243971490873487E-5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1.3095645271945864E-5</v>
      </c>
      <c r="E6" s="421">
        <f>vkm_GW_PW*SUMIFS(TableVerdeelsleutelVkm[LPG],TableVerdeelsleutelVkm[Voertuigtype],"Lichte voertuigen")*SUMIFS(TableECFTransport[EnergieConsumptieFactor (PJ per km)],TableECFTransport[Index],CONCATENATE($A6,"_LPG_LPG"))</f>
        <v>8.496118132812465E-4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0.13255541639656149</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3.1945834379112296E-2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7.3614416852994281E-3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5.3459541932469996E-7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8.8433880261975517E-2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2.3729961359409118E-6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3.9350191840701538E-3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4.1631720790795028E-6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7.9190696317776505E-6</v>
      </c>
      <c r="E8" s="421">
        <f>vkm_NGW_PW*SUMIFS(TableVerdeelsleutelVkm[LPG],TableVerdeelsleutelVkm[Voertuigtype],"Lichte voertuigen")*SUMIFS(TableECFTransport[EnergieConsumptieFactor (PJ per km)],TableECFTransport[Index],CONCATENATE($A8,"_LPG_LPG"))</f>
        <v>4.8677698077969928E-4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7.1496713287946836E-2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1.8414673517812247E-2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4.0247909924655866E-3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6.4806677569105422E-8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1.3747325950231849E-2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3.4722261316475115E-7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6.1171016598738259E-4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1.4744723809125589E-5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1.6445527780970355E-5</v>
      </c>
      <c r="E10" s="421">
        <f>vkm_SW_PW*SUMIFS(TableVerdeelsleutelVkm[LPG],TableVerdeelsleutelVkm[Voertuigtype],"Lichte voertuigen")*SUMIFS(TableECFTransport[EnergieConsumptieFactor (PJ per km)],TableECFTransport[Index],CONCATENATE($A10,"_LPG_LPG"))</f>
        <v>1.3113267568537349E-3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0.19115728305690652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4.2242432941025768E-2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1.0440610805675165E-2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8.9531791599323804E-7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0.13873264573567429</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4.0905293427141199E-6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6.1731670131308066E-3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8.7907187199904513</v>
      </c>
      <c r="C14" s="22"/>
      <c r="D14" s="22">
        <f t="shared" ref="D14:M14" si="0">((D5)*10^9/3600)+D12</f>
        <v>10.405622967970519</v>
      </c>
      <c r="E14" s="22">
        <f t="shared" si="0"/>
        <v>735.47654192074458</v>
      </c>
      <c r="F14" s="22"/>
      <c r="G14" s="22">
        <f t="shared" si="0"/>
        <v>176700.90685813793</v>
      </c>
      <c r="H14" s="22">
        <f t="shared" si="0"/>
        <v>25724.930996122817</v>
      </c>
      <c r="I14" s="22"/>
      <c r="J14" s="22"/>
      <c r="K14" s="22"/>
      <c r="L14" s="22"/>
      <c r="M14" s="22">
        <f t="shared" si="0"/>
        <v>9040.7610685079217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0.19302499513151025</v>
      </c>
      <c r="C16" s="57">
        <f ca="1">'EF ele_warmte'!B22</f>
        <v>0.1921695904326213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1.6968284381286329</v>
      </c>
      <c r="C18" s="24"/>
      <c r="D18" s="24">
        <f t="shared" ref="D18:M18" si="1">D14*D16</f>
        <v>2.1019358395300451</v>
      </c>
      <c r="E18" s="24">
        <f t="shared" si="1"/>
        <v>166.95317501600903</v>
      </c>
      <c r="F18" s="24"/>
      <c r="G18" s="24">
        <f t="shared" si="1"/>
        <v>47179.142131122826</v>
      </c>
      <c r="H18" s="24">
        <f t="shared" si="1"/>
        <v>6405.5078180345818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3.6582302411474873E-5</v>
      </c>
      <c r="C50" s="316">
        <f t="shared" ref="C50:P50" si="2">SUM(C51:C52)</f>
        <v>0</v>
      </c>
      <c r="D50" s="316">
        <f t="shared" si="2"/>
        <v>0</v>
      </c>
      <c r="E50" s="316">
        <f t="shared" si="2"/>
        <v>0</v>
      </c>
      <c r="F50" s="316">
        <f t="shared" si="2"/>
        <v>0</v>
      </c>
      <c r="G50" s="316">
        <f t="shared" si="2"/>
        <v>7.2964123403684456E-3</v>
      </c>
      <c r="H50" s="316">
        <f t="shared" si="2"/>
        <v>0</v>
      </c>
      <c r="I50" s="316">
        <f t="shared" si="2"/>
        <v>0</v>
      </c>
      <c r="J50" s="316">
        <f t="shared" si="2"/>
        <v>0</v>
      </c>
      <c r="K50" s="316">
        <f t="shared" si="2"/>
        <v>0</v>
      </c>
      <c r="L50" s="316">
        <f t="shared" si="2"/>
        <v>0</v>
      </c>
      <c r="M50" s="316">
        <f t="shared" si="2"/>
        <v>3.2249365432892213E-4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3.6582302411474873E-5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7.2964123403684456E-3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3.2249365432892213E-4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10.161750669854131</v>
      </c>
      <c r="C54" s="22">
        <f t="shared" ref="C54:P54" si="3">(C50)*10^9/3600</f>
        <v>0</v>
      </c>
      <c r="D54" s="22">
        <f t="shared" si="3"/>
        <v>0</v>
      </c>
      <c r="E54" s="22">
        <f t="shared" si="3"/>
        <v>0</v>
      </c>
      <c r="F54" s="22">
        <f t="shared" si="3"/>
        <v>0</v>
      </c>
      <c r="G54" s="22">
        <f t="shared" si="3"/>
        <v>2026.7812056579016</v>
      </c>
      <c r="H54" s="22">
        <f t="shared" si="3"/>
        <v>0</v>
      </c>
      <c r="I54" s="22">
        <f t="shared" si="3"/>
        <v>0</v>
      </c>
      <c r="J54" s="22">
        <f t="shared" si="3"/>
        <v>0</v>
      </c>
      <c r="K54" s="22">
        <f t="shared" si="3"/>
        <v>0</v>
      </c>
      <c r="L54" s="22">
        <f t="shared" si="3"/>
        <v>0</v>
      </c>
      <c r="M54" s="22">
        <f t="shared" si="3"/>
        <v>89.581570646922827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0.19302499513151025</v>
      </c>
      <c r="C56" s="57">
        <f ca="1">'EF ele_warmte'!B22</f>
        <v>0.1921695904326213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1.9614718735762147</v>
      </c>
      <c r="C58" s="24">
        <f t="shared" ref="C58:P58" ca="1" si="4">C54*C56</f>
        <v>0</v>
      </c>
      <c r="D58" s="24">
        <f t="shared" si="4"/>
        <v>0</v>
      </c>
      <c r="E58" s="24">
        <f t="shared" si="4"/>
        <v>0</v>
      </c>
      <c r="F58" s="24">
        <f t="shared" si="4"/>
        <v>0</v>
      </c>
      <c r="G58" s="24">
        <f t="shared" si="4"/>
        <v>541.15058191065975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2979.8416899012332</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8473.4792344559555</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N31</f>
        <v>14697</v>
      </c>
      <c r="C8" s="544">
        <f>B50</f>
        <v>13981.764705882351</v>
      </c>
      <c r="D8" s="967"/>
      <c r="E8" s="967">
        <f>E50</f>
        <v>0</v>
      </c>
      <c r="F8" s="968"/>
      <c r="G8" s="545"/>
      <c r="H8" s="967">
        <f>I50</f>
        <v>0</v>
      </c>
      <c r="I8" s="967">
        <f>G50+F50</f>
        <v>0</v>
      </c>
      <c r="J8" s="967">
        <f>H50+D50+C50</f>
        <v>3308.8235294117644</v>
      </c>
      <c r="K8" s="967"/>
      <c r="L8" s="967"/>
      <c r="M8" s="967"/>
      <c r="N8" s="546"/>
      <c r="O8" s="547">
        <f>C8*$C$12+D8*$D$12+E8*$E$12+F8*$F$12+G8*$G$12+H8*$H$12+I8*$I$12+J8*$J$12</f>
        <v>2824.316470588235</v>
      </c>
      <c r="P8" s="1241"/>
      <c r="Q8" s="1242"/>
      <c r="S8" s="1004"/>
      <c r="T8" s="1262"/>
      <c r="U8" s="1262"/>
    </row>
    <row r="9" spans="1:21" s="532" customFormat="1" ht="17.45" customHeight="1" thickBot="1">
      <c r="A9" s="548" t="s">
        <v>237</v>
      </c>
      <c r="B9" s="969">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26150.320924357191</v>
      </c>
      <c r="C10" s="556">
        <f t="shared" ref="C10:L10" si="0">SUM(C8:C9)</f>
        <v>13981.764705882351</v>
      </c>
      <c r="D10" s="556">
        <f t="shared" si="0"/>
        <v>0</v>
      </c>
      <c r="E10" s="556">
        <f t="shared" si="0"/>
        <v>0</v>
      </c>
      <c r="F10" s="556">
        <f t="shared" si="0"/>
        <v>0</v>
      </c>
      <c r="G10" s="556">
        <f t="shared" si="0"/>
        <v>0</v>
      </c>
      <c r="H10" s="556">
        <f t="shared" si="0"/>
        <v>0</v>
      </c>
      <c r="I10" s="556">
        <f t="shared" si="0"/>
        <v>0</v>
      </c>
      <c r="J10" s="556">
        <f t="shared" si="0"/>
        <v>3308.8235294117644</v>
      </c>
      <c r="K10" s="556">
        <f t="shared" si="0"/>
        <v>0</v>
      </c>
      <c r="L10" s="556">
        <f t="shared" si="0"/>
        <v>0</v>
      </c>
      <c r="M10" s="971"/>
      <c r="N10" s="971"/>
      <c r="O10" s="557">
        <f>SUM(O4:O9)</f>
        <v>2824.316470588235</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O31</f>
        <v>20995.714285714286</v>
      </c>
      <c r="C17" s="568">
        <f>B51</f>
        <v>19973.949579831933</v>
      </c>
      <c r="D17" s="569"/>
      <c r="E17" s="569">
        <f>E51</f>
        <v>0</v>
      </c>
      <c r="F17" s="570"/>
      <c r="G17" s="571"/>
      <c r="H17" s="568">
        <f>I51</f>
        <v>0</v>
      </c>
      <c r="I17" s="569">
        <f>G51+F51</f>
        <v>0</v>
      </c>
      <c r="J17" s="569">
        <f>H51+D51+C51</f>
        <v>4726.8907563025205</v>
      </c>
      <c r="K17" s="569"/>
      <c r="L17" s="569"/>
      <c r="M17" s="569"/>
      <c r="N17" s="974"/>
      <c r="O17" s="572">
        <f>C17*$C$22+E17*$E$22+H17*$H$22+I17*$I$22+J17*$J$22+D17*$D$22+F17*$F$22+G17*$G$22+K17*$K$22+L17*$L$22</f>
        <v>4034.7378151260509</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20995.714285714286</v>
      </c>
      <c r="C20" s="555">
        <f>SUM(C17:C19)</f>
        <v>19973.949579831933</v>
      </c>
      <c r="D20" s="555">
        <f t="shared" ref="D20:L20" si="1">SUM(D17:D19)</f>
        <v>0</v>
      </c>
      <c r="E20" s="555">
        <f t="shared" si="1"/>
        <v>0</v>
      </c>
      <c r="F20" s="555">
        <f t="shared" si="1"/>
        <v>0</v>
      </c>
      <c r="G20" s="555">
        <f t="shared" si="1"/>
        <v>0</v>
      </c>
      <c r="H20" s="555">
        <f t="shared" si="1"/>
        <v>0</v>
      </c>
      <c r="I20" s="555">
        <f t="shared" si="1"/>
        <v>0</v>
      </c>
      <c r="J20" s="555">
        <f t="shared" si="1"/>
        <v>4726.8907563025205</v>
      </c>
      <c r="K20" s="555">
        <f t="shared" si="1"/>
        <v>0</v>
      </c>
      <c r="L20" s="555">
        <f t="shared" si="1"/>
        <v>0</v>
      </c>
      <c r="M20" s="555"/>
      <c r="N20" s="555"/>
      <c r="O20" s="576">
        <f>SUM(O17:O19)</f>
        <v>4034.7378151260509</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31040</v>
      </c>
      <c r="C28" s="775">
        <v>8210</v>
      </c>
      <c r="D28" s="628"/>
      <c r="E28" s="627"/>
      <c r="F28" s="627"/>
      <c r="G28" s="627" t="s">
        <v>959</v>
      </c>
      <c r="H28" s="627" t="s">
        <v>960</v>
      </c>
      <c r="I28" s="627"/>
      <c r="J28" s="774"/>
      <c r="K28" s="774"/>
      <c r="L28" s="627" t="s">
        <v>961</v>
      </c>
      <c r="M28" s="627">
        <v>625</v>
      </c>
      <c r="N28" s="627">
        <v>2812.5</v>
      </c>
      <c r="O28" s="627">
        <v>4017.8571428571431</v>
      </c>
      <c r="P28" s="627">
        <v>0</v>
      </c>
      <c r="Q28" s="627">
        <v>8035.7142857142862</v>
      </c>
      <c r="R28" s="627">
        <v>0</v>
      </c>
      <c r="S28" s="627">
        <v>0</v>
      </c>
      <c r="T28" s="627">
        <v>0</v>
      </c>
      <c r="U28" s="627">
        <v>0</v>
      </c>
      <c r="V28" s="627">
        <v>0</v>
      </c>
      <c r="W28" s="627"/>
      <c r="X28" s="627">
        <v>500</v>
      </c>
      <c r="Y28" s="627" t="s">
        <v>40</v>
      </c>
      <c r="Z28" s="629" t="s">
        <v>378</v>
      </c>
    </row>
    <row r="29" spans="1:26" s="581" customFormat="1" ht="25.5" hidden="1">
      <c r="A29" s="580"/>
      <c r="B29" s="775">
        <v>31040</v>
      </c>
      <c r="C29" s="775">
        <v>8210</v>
      </c>
      <c r="D29" s="628"/>
      <c r="E29" s="627"/>
      <c r="F29" s="627"/>
      <c r="G29" s="627" t="s">
        <v>959</v>
      </c>
      <c r="H29" s="627" t="s">
        <v>960</v>
      </c>
      <c r="I29" s="627"/>
      <c r="J29" s="774"/>
      <c r="K29" s="774"/>
      <c r="L29" s="627" t="s">
        <v>961</v>
      </c>
      <c r="M29" s="627">
        <v>1485</v>
      </c>
      <c r="N29" s="627">
        <v>6682.5</v>
      </c>
      <c r="O29" s="627">
        <v>9546.4285714285725</v>
      </c>
      <c r="P29" s="627">
        <v>19092.857142857145</v>
      </c>
      <c r="Q29" s="627">
        <v>0</v>
      </c>
      <c r="R29" s="627">
        <v>0</v>
      </c>
      <c r="S29" s="627">
        <v>0</v>
      </c>
      <c r="T29" s="627">
        <v>0</v>
      </c>
      <c r="U29" s="627">
        <v>0</v>
      </c>
      <c r="V29" s="627">
        <v>0</v>
      </c>
      <c r="W29" s="627"/>
      <c r="X29" s="627">
        <v>10</v>
      </c>
      <c r="Y29" s="627" t="s">
        <v>105</v>
      </c>
      <c r="Z29" s="629" t="s">
        <v>105</v>
      </c>
    </row>
    <row r="30" spans="1:26" s="581" customFormat="1" ht="25.5" hidden="1">
      <c r="A30" s="580"/>
      <c r="B30" s="775">
        <v>31040</v>
      </c>
      <c r="C30" s="775">
        <v>8210</v>
      </c>
      <c r="D30" s="628"/>
      <c r="E30" s="627"/>
      <c r="F30" s="627"/>
      <c r="G30" s="627" t="s">
        <v>959</v>
      </c>
      <c r="H30" s="627" t="s">
        <v>960</v>
      </c>
      <c r="I30" s="627"/>
      <c r="J30" s="774"/>
      <c r="K30" s="774"/>
      <c r="L30" s="627" t="s">
        <v>961</v>
      </c>
      <c r="M30" s="627">
        <v>1156</v>
      </c>
      <c r="N30" s="627">
        <v>5202</v>
      </c>
      <c r="O30" s="627">
        <v>7431.4285714285716</v>
      </c>
      <c r="P30" s="627">
        <v>14862.857142857143</v>
      </c>
      <c r="Q30" s="627">
        <v>0</v>
      </c>
      <c r="R30" s="627">
        <v>0</v>
      </c>
      <c r="S30" s="627">
        <v>0</v>
      </c>
      <c r="T30" s="627">
        <v>0</v>
      </c>
      <c r="U30" s="627">
        <v>0</v>
      </c>
      <c r="V30" s="627">
        <v>0</v>
      </c>
      <c r="W30" s="627"/>
      <c r="X30" s="627">
        <v>10</v>
      </c>
      <c r="Y30" s="627" t="s">
        <v>105</v>
      </c>
      <c r="Z30" s="629" t="s">
        <v>105</v>
      </c>
    </row>
    <row r="31" spans="1:26" s="563" customFormat="1" hidden="1">
      <c r="A31" s="583" t="s">
        <v>269</v>
      </c>
      <c r="B31" s="584"/>
      <c r="C31" s="584"/>
      <c r="D31" s="584"/>
      <c r="E31" s="584"/>
      <c r="F31" s="584"/>
      <c r="G31" s="584"/>
      <c r="H31" s="584"/>
      <c r="I31" s="584"/>
      <c r="J31" s="584"/>
      <c r="K31" s="584"/>
      <c r="L31" s="585"/>
      <c r="M31" s="585">
        <f>SUM(M28:M30)</f>
        <v>3266</v>
      </c>
      <c r="N31" s="585">
        <f>SUM(N28:N30)</f>
        <v>14697</v>
      </c>
      <c r="O31" s="585">
        <f>SUM(O28:O30)</f>
        <v>20995.714285714286</v>
      </c>
      <c r="P31" s="585">
        <f>SUM(P28:P30)</f>
        <v>33955.71428571429</v>
      </c>
      <c r="Q31" s="585">
        <f>SUM(Q28:Q30)</f>
        <v>8035.7142857142862</v>
      </c>
      <c r="R31" s="585">
        <f>SUM(R28:R30)</f>
        <v>0</v>
      </c>
      <c r="S31" s="585">
        <f>SUM(S28:S30)</f>
        <v>0</v>
      </c>
      <c r="T31" s="585">
        <f>SUM(T28:T30)</f>
        <v>0</v>
      </c>
      <c r="U31" s="585">
        <f>SUM(U28:U30)</f>
        <v>0</v>
      </c>
      <c r="V31" s="585">
        <f>SUM(V28:V30)</f>
        <v>0</v>
      </c>
      <c r="W31" s="585">
        <f>SUM(W28:W30)</f>
        <v>0</v>
      </c>
      <c r="X31" s="586"/>
      <c r="Y31" s="586"/>
      <c r="Z31" s="587"/>
    </row>
    <row r="32" spans="1:26" s="563" customFormat="1">
      <c r="A32" s="583" t="s">
        <v>276</v>
      </c>
      <c r="B32" s="584"/>
      <c r="C32" s="584"/>
      <c r="D32" s="584"/>
      <c r="E32" s="584"/>
      <c r="F32" s="584"/>
      <c r="G32" s="584"/>
      <c r="H32" s="584"/>
      <c r="I32" s="584"/>
      <c r="J32" s="584"/>
      <c r="K32" s="584"/>
      <c r="L32" s="585"/>
      <c r="M32" s="585">
        <f>SUMIF($Z$28:$Z$30,"industrie",M28:M30)</f>
        <v>625</v>
      </c>
      <c r="N32" s="585">
        <f>SUMIF($Z$28:$Z$30,"industrie",N28:N30)</f>
        <v>2812.5</v>
      </c>
      <c r="O32" s="585">
        <f>SUMIF($Z$28:$Z$30,"industrie",O28:O30)</f>
        <v>4017.8571428571431</v>
      </c>
      <c r="P32" s="585">
        <f>SUMIF($Z$28:$Z$30,"industrie",P28:P30)</f>
        <v>0</v>
      </c>
      <c r="Q32" s="585">
        <f>SUMIF($Z$28:$Z$30,"industrie",Q28:Q30)</f>
        <v>8035.7142857142862</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3" customFormat="1">
      <c r="A33" s="583" t="s">
        <v>277</v>
      </c>
      <c r="B33" s="584"/>
      <c r="C33" s="584"/>
      <c r="D33" s="584"/>
      <c r="E33" s="584"/>
      <c r="F33" s="584"/>
      <c r="G33" s="584"/>
      <c r="H33" s="584"/>
      <c r="I33" s="584"/>
      <c r="J33" s="584"/>
      <c r="K33" s="584"/>
      <c r="L33" s="585"/>
      <c r="M33" s="585">
        <f ca="1">SUMIF($Z$28:AC30,"tertiair",M28:M30)</f>
        <v>0</v>
      </c>
      <c r="N33" s="585">
        <f ca="1">SUMIF($Z$28:AD30,"tertiair",N28:N30)</f>
        <v>0</v>
      </c>
      <c r="O33" s="585">
        <f ca="1">SUMIF($Z$28:AE30,"tertiair",O28:O30)</f>
        <v>0</v>
      </c>
      <c r="P33" s="585">
        <f ca="1">SUMIF($Z$28:AF30,"tertiair",P28:P30)</f>
        <v>0</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3" customFormat="1" ht="15.75" thickBot="1">
      <c r="A34" s="588" t="s">
        <v>278</v>
      </c>
      <c r="B34" s="589"/>
      <c r="C34" s="589"/>
      <c r="D34" s="589"/>
      <c r="E34" s="589"/>
      <c r="F34" s="589"/>
      <c r="G34" s="589"/>
      <c r="H34" s="589"/>
      <c r="I34" s="589"/>
      <c r="J34" s="589"/>
      <c r="K34" s="589"/>
      <c r="L34" s="590"/>
      <c r="M34" s="590">
        <f>SUMIF($Z$28:$Z$30,"landbouw",M28:M30)</f>
        <v>2641</v>
      </c>
      <c r="N34" s="590">
        <f>SUMIF($Z$28:$Z$30,"landbouw",N28:N30)</f>
        <v>11884.5</v>
      </c>
      <c r="O34" s="590">
        <f>SUMIF($Z$28:$Z$30,"landbouw",O28:O30)</f>
        <v>16977.857142857145</v>
      </c>
      <c r="P34" s="590">
        <f>SUMIF($Z$28:$Z$30,"landbouw",P28:P30)</f>
        <v>33955.71428571429</v>
      </c>
      <c r="Q34" s="590">
        <f>SUMIF($Z$28:$Z$30,"landbouw",Q28:Q30)</f>
        <v>0</v>
      </c>
      <c r="R34" s="590">
        <f>SUMIF($Z$28:$Z$30,"landbouw",R28:R30)</f>
        <v>0</v>
      </c>
      <c r="S34" s="590">
        <f>SUMIF($Z$28:$Z$30,"landbouw",S28:S30)</f>
        <v>0</v>
      </c>
      <c r="T34" s="590">
        <f>SUMIF($Z$28:$Z$30,"landbouw",T28:T30)</f>
        <v>0</v>
      </c>
      <c r="U34" s="590">
        <f>SUMIF($Z$28:$Z$30,"landbouw",U28:U30)</f>
        <v>0</v>
      </c>
      <c r="V34" s="590">
        <f>SUMIF($Z$28:$Z$30,"landbouw",V28:V30)</f>
        <v>0</v>
      </c>
      <c r="W34" s="590">
        <f>SUMIF($Z$28:$Z$30,"landbouw",W28:W30)</f>
        <v>0</v>
      </c>
      <c r="X34" s="591"/>
      <c r="Y34" s="591"/>
      <c r="Z34" s="592"/>
    </row>
    <row r="35" spans="1:27" s="532" customFormat="1" ht="15.75" thickBot="1">
      <c r="A35" s="593"/>
      <c r="B35" s="594"/>
      <c r="C35" s="594"/>
      <c r="D35" s="594"/>
      <c r="E35" s="594"/>
      <c r="F35" s="594"/>
      <c r="G35" s="594"/>
      <c r="H35" s="594"/>
      <c r="I35" s="594"/>
      <c r="J35" s="594"/>
      <c r="K35" s="594"/>
      <c r="L35" s="577"/>
      <c r="M35" s="577"/>
      <c r="N35" s="577"/>
      <c r="O35" s="578"/>
      <c r="P35" s="578"/>
    </row>
    <row r="36" spans="1:27" s="532" customFormat="1" ht="45">
      <c r="A36" s="595" t="s">
        <v>270</v>
      </c>
      <c r="B36" s="624" t="s">
        <v>89</v>
      </c>
      <c r="C36" s="624" t="s">
        <v>90</v>
      </c>
      <c r="D36" s="624"/>
      <c r="E36" s="624"/>
      <c r="F36" s="624"/>
      <c r="G36" s="624" t="s">
        <v>91</v>
      </c>
      <c r="H36" s="624" t="s">
        <v>92</v>
      </c>
      <c r="I36" s="624"/>
      <c r="J36" s="624"/>
      <c r="K36" s="624"/>
      <c r="L36" s="624" t="s">
        <v>93</v>
      </c>
      <c r="M36" s="625" t="s">
        <v>287</v>
      </c>
      <c r="N36" s="625" t="s">
        <v>94</v>
      </c>
      <c r="O36" s="625" t="s">
        <v>95</v>
      </c>
      <c r="P36" s="625" t="s">
        <v>535</v>
      </c>
      <c r="Q36" s="625" t="s">
        <v>96</v>
      </c>
      <c r="R36" s="625" t="s">
        <v>97</v>
      </c>
      <c r="S36" s="625" t="s">
        <v>98</v>
      </c>
      <c r="T36" s="625" t="s">
        <v>99</v>
      </c>
      <c r="U36" s="625" t="s">
        <v>100</v>
      </c>
      <c r="V36" s="625" t="s">
        <v>101</v>
      </c>
      <c r="W36" s="624" t="s">
        <v>102</v>
      </c>
      <c r="X36" s="624" t="s">
        <v>288</v>
      </c>
      <c r="Y36" s="624" t="s">
        <v>103</v>
      </c>
      <c r="Z36" s="626" t="s">
        <v>289</v>
      </c>
    </row>
    <row r="37" spans="1:27" s="596" customFormat="1" ht="12.75" hidden="1">
      <c r="A37" s="582"/>
      <c r="B37" s="775"/>
      <c r="C37" s="775"/>
      <c r="D37" s="630"/>
      <c r="E37" s="630"/>
      <c r="F37" s="630"/>
      <c r="G37" s="630"/>
      <c r="H37" s="630"/>
      <c r="I37" s="630"/>
      <c r="J37" s="774"/>
      <c r="K37" s="774"/>
      <c r="L37" s="630"/>
      <c r="M37" s="630"/>
      <c r="N37" s="630"/>
      <c r="O37" s="630"/>
      <c r="P37" s="630"/>
      <c r="Q37" s="630"/>
      <c r="R37" s="630"/>
      <c r="S37" s="630"/>
      <c r="T37" s="630"/>
      <c r="U37" s="630"/>
      <c r="V37" s="630"/>
      <c r="W37" s="630"/>
      <c r="X37" s="630"/>
      <c r="Y37" s="630"/>
      <c r="Z37" s="631"/>
    </row>
    <row r="38" spans="1:27" s="563" customFormat="1" hidden="1">
      <c r="A38" s="583" t="s">
        <v>269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3" customFormat="1">
      <c r="A39" s="583" t="s">
        <v>276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3" customFormat="1">
      <c r="A40" s="583" t="s">
        <v>277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3" customFormat="1" ht="15.75" thickBot="1">
      <c r="A41" s="588" t="s">
        <v>278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271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272</v>
      </c>
      <c r="C46" s="607" t="s">
        <v>273</v>
      </c>
      <c r="D46" s="607"/>
      <c r="E46" s="607"/>
      <c r="F46" s="607"/>
      <c r="G46" s="607"/>
      <c r="H46" s="607"/>
      <c r="I46" s="608"/>
      <c r="J46" s="607"/>
      <c r="K46" s="607"/>
      <c r="L46" s="607"/>
      <c r="M46" s="607"/>
      <c r="N46" s="607"/>
      <c r="O46" s="607"/>
      <c r="P46" s="602"/>
    </row>
    <row r="47" spans="1:27">
      <c r="A47" s="604" t="s">
        <v>269</v>
      </c>
      <c r="B47" s="609">
        <f>IF(ISERROR(O31/(O31+N31)),0,O31/(O31+N31))</f>
        <v>0.58823529411764697</v>
      </c>
      <c r="C47" s="610">
        <f>IF(ISERROR(N31/(O31+N31)),0,N31/(N31+O31))</f>
        <v>0.41176470588235287</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535</v>
      </c>
      <c r="C49" s="617" t="s">
        <v>96</v>
      </c>
      <c r="D49" s="617" t="s">
        <v>97</v>
      </c>
      <c r="E49" s="617" t="s">
        <v>98</v>
      </c>
      <c r="F49" s="617" t="s">
        <v>99</v>
      </c>
      <c r="G49" s="617" t="s">
        <v>100</v>
      </c>
      <c r="H49" s="617" t="s">
        <v>101</v>
      </c>
      <c r="I49" s="618" t="s">
        <v>102</v>
      </c>
      <c r="J49" s="607"/>
      <c r="K49" s="607"/>
      <c r="L49" s="615"/>
      <c r="M49" s="615"/>
      <c r="N49" s="615"/>
      <c r="O49" s="602"/>
      <c r="P49" s="602"/>
    </row>
    <row r="50" spans="1:16">
      <c r="A50" s="606" t="s">
        <v>274</v>
      </c>
      <c r="B50" s="619">
        <f t="shared" ref="B50:I50" si="2">$C$47*P31</f>
        <v>13981.764705882351</v>
      </c>
      <c r="C50" s="619">
        <f t="shared" si="2"/>
        <v>3308.8235294117644</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275</v>
      </c>
      <c r="B51" s="622">
        <f t="shared" ref="B51:I51" si="3">$B$47*P31</f>
        <v>19973.949579831933</v>
      </c>
      <c r="C51" s="622">
        <f t="shared" si="3"/>
        <v>4726.8907563025205</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1"/>
      <c r="K52" s="561"/>
      <c r="L52" s="561"/>
      <c r="M52" s="561"/>
      <c r="N52" s="561"/>
    </row>
    <row r="53" spans="1:16">
      <c r="J53" s="561"/>
      <c r="K53" s="561"/>
      <c r="L53" s="561"/>
      <c r="M53" s="561"/>
      <c r="N53"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2021-11-11T13:33:34Z</dcterms:modified>
</cp:coreProperties>
</file>