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6A2BCC4-2ACE-4A9B-AB39-94178A88049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L56" i="14" s="1"/>
  <c r="J54" i="14"/>
  <c r="I54" i="14"/>
  <c r="H54" i="14"/>
  <c r="H56" i="14" s="1"/>
  <c r="Q24" i="14"/>
  <c r="Q26" i="14" s="1"/>
  <c r="P24" i="14"/>
  <c r="N24" i="14"/>
  <c r="L24" i="14"/>
  <c r="J24" i="14"/>
  <c r="J26" i="14" s="1"/>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J56" i="14"/>
  <c r="I56" i="14"/>
  <c r="R44" i="14"/>
  <c r="N26" i="14"/>
  <c r="I26" i="14"/>
  <c r="E25" i="14"/>
  <c r="D14" i="48" s="1"/>
  <c r="C25" i="14"/>
  <c r="B14" i="48" s="1"/>
  <c r="P26" i="14"/>
  <c r="L26" i="14"/>
  <c r="F13" i="15"/>
  <c r="D13" i="15"/>
  <c r="C13" i="15"/>
  <c r="O27" i="48"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<sst xmlns="http://schemas.openxmlformats.org/spreadsheetml/2006/main" count="2553" uniqueCount="959">
  <si>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</si>
  <si>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</si>
  <si>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</si>
  <si>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</si>
  <si>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</si>
  <si>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</si>
  <si>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</si>
  <si>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</si>
  <si>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</si>
  <si>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</si>
  <si>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</si>
  <si>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</si>
  <si>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</si>
  <si>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</si>
  <si>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</si>
  <si>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</si>
  <si>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</si>
  <si>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</si>
  <si>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</si>
  <si>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</si>
  <si>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</si>
  <si>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</si>
  <si>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</si>
  <si>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</si>
  <si>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</si>
  <si>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</si>
  <si>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</si>
  <si>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</si>
  <si>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</si>
  <si>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</si>
  <si>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</si>
  <si>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</si>
  <si>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</si>
  <si>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</si>
  <si>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</si>
  <si>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</si>
  <si>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</si>
  <si>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</si>
  <si>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</si>
  <si>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</si>
  <si>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</si>
  <si>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</si>
  <si>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</si>
  <si>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</si>
  <si>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</si>
  <si>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</si>
  <si>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</si>
  <si>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</si>
  <si>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</si>
  <si>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</si>
  <si>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</si>
  <si>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</si>
  <si>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</si>
  <si>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</si>
  <si>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</si>
  <si>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</si>
  <si>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</si>
  <si>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</si>
  <si>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</si>
  <si>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</si>
  <si>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</si>
  <si>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</si>
  <si>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</si>
  <si>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</si>
  <si>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</si>
  <si>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</si>
  <si>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</si>
  <si>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</si>
  <si>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</si>
  <si>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</si>
  <si>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</si>
  <si>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</si>
  <si>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</si>
  <si>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</si>
  <si>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</si>
  <si>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</si>
  <si>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</si>
  <si>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</si>
  <si>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</si>
  <si>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</si>
  <si>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</si>
  <si>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</si>
  <si>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</si>
  <si>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</si>
  <si>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</si>
  <si>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</si>
  <si>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</si>
  <si>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</si>
  <si>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</si>
  <si>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</si>
  <si>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</si>
  <si>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</si>
  <si>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</si>
  <si>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</si>
  <si>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</si>
  <si>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</si>
  <si>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</si>
  <si>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</si>
  <si>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</si>
  <si>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</si>
  <si>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</si>
  <si>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</si>
  <si>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</si>
  <si>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</si>
  <si>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</si>
  <si>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</si>
  <si>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</si>
  <si>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</si>
  <si>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</si>
  <si>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</si>
  <si>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</si>
  <si>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</si>
  <si>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</si>
  <si>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</si>
  <si>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</si>
  <si>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</si>
  <si>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</si>
  <si>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</si>
  <si>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</si>
  <si>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</si>
  <si>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</si>
  <si>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</si>
  <si>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</si>
  <si>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</si>
  <si>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</si>
  <si>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</si>
  <si>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</si>
  <si>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</si>
  <si>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</si>
  <si>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</si>
  <si>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</si>
  <si>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</si>
  <si>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</si>
  <si>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</si>
  <si>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</si>
  <si>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</si>
  <si>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</si>
  <si>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</si>
  <si>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</si>
  <si>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</si>
  <si>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</si>
  <si>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</si>
  <si>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</si>
  <si>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</si>
  <si>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</si>
  <si>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</si>
  <si>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</si>
  <si>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</si>
  <si>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</si>
  <si>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</si>
  <si>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</si>
  <si>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</si>
  <si>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</si>
  <si>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</si>
  <si>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</si>
  <si>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</si>
  <si>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</si>
  <si>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</si>
  <si>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</si>
  <si>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</si>
  <si>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</si>
  <si>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</si>
  <si>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</si>
  <si>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</si>
  <si>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</si>
  <si>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</si>
  <si>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</si>
  <si>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</si>
  <si>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</si>
  <si>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</si>
  <si>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</si>
  <si>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</si>
  <si>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</si>
  <si>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</si>
  <si>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</si>
  <si>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</si>
  <si>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</si>
  <si>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</si>
  <si>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</si>
  <si>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</si>
  <si>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</si>
  <si>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</si>
  <si>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</si>
  <si>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</si>
  <si>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</si>
  <si>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</si>
  <si>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</si>
  <si>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</si>
  <si>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</si>
  <si>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</si>
  <si>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</si>
  <si>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</si>
  <si>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</si>
  <si>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</si>
  <si>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</si>
  <si>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</si>
  <si>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</si>
  <si>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</si>
  <si>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</si>
  <si>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</si>
  <si>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</si>
  <si>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</si>
  <si>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</si>
  <si>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</si>
  <si>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</si>
  <si>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</si>
  <si>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</si>
  <si>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</si>
  <si>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</si>
  <si>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</si>
  <si>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</si>
  <si>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</si>
  <si>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</si>
  <si>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</si>
  <si>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</si>
  <si>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</si>
  <si>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</si>
  <si>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</si>
  <si>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</si>
  <si>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</si>
  <si>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</si>
  <si>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</si>
  <si>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</si>
  <si>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</si>
  <si>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</si>
  <si>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</si>
  <si>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</si>
  <si>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</si>
  <si>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</si>
  <si>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</si>
  <si>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</si>
  <si>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</si>
  <si>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</si>
  <si>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</si>
  <si>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</si>
  <si>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</si>
  <si>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</si>
  <si>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</si>
  <si>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</si>
  <si>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</si>
  <si>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</si>
  <si>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</si>
  <si>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</si>
  <si>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</si>
  <si>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</si>
  <si>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</si>
  <si>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</si>
  <si>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</si>
  <si>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</si>
  <si>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</si>
  <si>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</si>
  <si>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</si>
  <si>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</si>
  <si>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</si>
  <si>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</si>
  <si>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</si>
  <si>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</si>
  <si>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</si>
  <si>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</si>
  <si>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</si>
  <si>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</si>
  <si>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</si>
  <si>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</si>
  <si>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</si>
  <si>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</si>
  <si>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</si>
  <si>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</si>
  <si>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</si>
  <si>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</si>
  <si>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</si>
  <si>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</si>
  <si>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</si>
  <si>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</si>
  <si>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</si>
  <si>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</si>
  <si>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</si>
  <si>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</si>
  <si>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</si>
  <si>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</si>
  <si>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</si>
  <si>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</si>
  <si>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</si>
  <si>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</si>
  <si>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</si>
  <si>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</si>
  <si>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</si>
  <si>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</si>
  <si>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</si>
  <si>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</si>
  <si>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</si>
  <si>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</si>
  <si>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</si>
  <si>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</si>
  <si>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</si>
  <si>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</si>
  <si>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</si>
  <si>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</si>
  <si>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</si>
  <si>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</si>
  <si>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</si>
  <si>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</si>
  <si>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</si>
  <si>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</si>
  <si>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</si>
  <si>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</si>
  <si>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</si>
  <si>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</si>
  <si>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</si>
  <si>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</si>
  <si>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</si>
  <si>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</si>
  <si>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</si>
  <si>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</si>
  <si>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</si>
  <si>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</si>
  <si>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</si>
  <si>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</si>
  <si>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</si>
  <si>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</si>
  <si>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</si>
  <si>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</si>
  <si>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</si>
  <si>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</si>
  <si>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</si>
  <si>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</si>
  <si>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</si>
  <si>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</si>
  <si>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</si>
  <si>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</si>
  <si>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</si>
  <si>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</si>
  <si>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</si>
  <si>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</si>
  <si>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</si>
  <si>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</si>
  <si>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</si>
  <si>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</si>
  <si>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</si>
  <si>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</si>
  <si>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</si>
  <si>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</si>
  <si>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</si>
  <si>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</si>
  <si>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</si>
  <si>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</si>
  <si>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</si>
  <si>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</si>
  <si>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</si>
  <si>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</si>
  <si>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</si>
  <si>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</si>
  <si>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</si>
  <si>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</si>
  <si>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</si>
  <si>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</si>
  <si>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</si>
  <si>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</si>
  <si>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</si>
  <si>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</si>
  <si>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</si>
  <si>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</si>
  <si>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</si>
  <si>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</si>
  <si>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</si>
  <si>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</si>
  <si>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</si>
  <si>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</si>
  <si>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</si>
  <si>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</si>
  <si>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</si>
  <si>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</si>
  <si>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</si>
  <si>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</si>
  <si>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</si>
  <si>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</si>
  <si>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</si>
  <si>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</si>
  <si>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</si>
  <si>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</si>
  <si>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</si>
  <si>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</si>
  <si>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</si>
  <si>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</si>
  <si>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</si>
  <si>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</si>
  <si>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</si>
  <si>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</si>
  <si>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</si>
  <si>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</si>
  <si>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</si>
  <si>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</si>
  <si>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</si>
  <si>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</si>
  <si>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</si>
  <si>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</si>
  <si>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</si>
  <si>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</si>
  <si>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</si>
  <si>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</si>
  <si>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</si>
  <si>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</si>
  <si>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</si>
  <si>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</si>
  <si>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</si>
  <si>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</si>
  <si>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</si>
  <si>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</si>
  <si>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</si>
  <si>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</si>
  <si>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</si>
  <si>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</si>
  <si>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</si>
  <si>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</si>
  <si>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</si>
  <si>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</si>
  <si>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</si>
  <si>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</si>
  <si>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</si>
  <si>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</si>
  <si>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</si>
  <si>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</si>
  <si>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</si>
  <si>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</si>
  <si>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</si>
  <si>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</si>
  <si>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</si>
  <si>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</si>
  <si>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</si>
  <si>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</si>
  <si>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</si>
  <si>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</si>
  <si>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</si>
  <si>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</si>
  <si>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</si>
  <si>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</si>
  <si>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</si>
  <si>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</si>
  <si>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</si>
  <si>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</si>
  <si>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</si>
  <si>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</si>
  <si>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</si>
  <si>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</si>
  <si>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</si>
  <si>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</si>
  <si>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</si>
  <si>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</si>
  <si>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</si>
  <si>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</si>
  <si>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</si>
  <si>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</si>
  <si>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</si>
  <si>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</si>
  <si>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</si>
  <si>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</si>
  <si>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</si>
  <si>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</si>
  <si>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</si>
  <si>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</si>
  <si>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</si>
  <si>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</si>
  <si>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</si>
  <si>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</si>
  <si>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</si>
  <si>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</si>
  <si>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</si>
  <si>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</si>
  <si>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</si>
  <si>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</si>
  <si>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</si>
  <si>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</si>
  <si>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</si>
  <si>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</si>
  <si>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</si>
  <si>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</si>
  <si>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</si>
  <si>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</si>
  <si>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</si>
  <si>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</si>
  <si>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</si>
  <si>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</si>
  <si>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</si>
  <si>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</si>
  <si>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</si>
  <si>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</si>
  <si>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</si>
  <si>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</si>
  <si>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</si>
  <si>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</si>
  <si>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</si>
  <si>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</si>
  <si>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</si>
  <si>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</si>
  <si>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</si>
  <si>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</si>
  <si>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</si>
  <si>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</si>
  <si>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</si>
  <si>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</si>
  <si>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</si>
  <si>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</si>
  <si>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</si>
  <si>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</si>
  <si>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</si>
  <si>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</si>
  <si>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</si>
  <si>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</si>
  <si>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</si>
  <si>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</si>
  <si>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</si>
  <si>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</si>
  <si>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</si>
  <si>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</si>
  <si>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</si>
  <si>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</si>
  <si>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</si>
  <si>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</si>
  <si>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</si>
  <si>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</si>
  <si>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</si>
  <si>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</si>
  <si>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</si>
  <si>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</si>
  <si>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</si>
  <si>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</si>
  <si>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</si>
  <si>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</si>
  <si>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</si>
  <si>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</si>
  <si>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</si>
  <si>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</si>
  <si>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</si>
  <si>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</si>
  <si>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</si>
  <si>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</si>
  <si>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</si>
  <si>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</si>
  <si>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</si>
  <si>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</si>
  <si>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</si>
  <si>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</si>
  <si>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</si>
  <si>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</si>
  <si>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</si>
  <si>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</si>
  <si>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</si>
  <si>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</si>
  <si>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</si>
  <si>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</si>
  <si>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</si>
  <si>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</si>
  <si>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</si>
  <si>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</si>
  <si>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</si>
  <si>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</si>
  <si>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</si>
  <si>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</si>
  <si>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</si>
  <si>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</si>
  <si>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</si>
  <si>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</si>
  <si>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</si>
  <si>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</si>
  <si>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</si>
  <si>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</si>
  <si>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</si>
  <si>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</si>
  <si>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</si>
  <si>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</si>
  <si>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</si>
  <si>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</si>
  <si>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</si>
  <si>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</si>
  <si>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</si>
  <si>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</si>
  <si>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</si>
  <si>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</si>
  <si>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</si>
  <si>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</si>
  <si>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</si>
  <si>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</si>
  <si>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</si>
  <si>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</si>
  <si>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</si>
  <si>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</si>
  <si>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</si>
  <si>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</si>
  <si>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</si>
  <si>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</si>
  <si>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</si>
  <si>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</si>
  <si>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</si>
  <si>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</si>
  <si>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</si>
  <si>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</si>
  <si>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</si>
  <si>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</si>
  <si>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</si>
  <si>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</si>
  <si>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</si>
  <si>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</si>
  <si>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</si>
  <si>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</si>
  <si>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</si>
  <si>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</si>
  <si>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</si>
  <si>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</si>
  <si>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</si>
  <si>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</si>
  <si>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</si>
  <si>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</si>
  <si>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</si>
  <si>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</si>
  <si>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</si>
  <si>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</si>
  <si>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</si>
  <si>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</si>
  <si>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</si>
  <si>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</si>
  <si>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</si>
  <si>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</si>
  <si>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</si>
  <si>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</si>
  <si>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</si>
  <si>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</si>
  <si>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</si>
  <si>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</si>
  <si>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</si>
  <si>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</si>
  <si>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</si>
  <si>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</si>
  <si>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</si>
  <si>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</si>
  <si>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</si>
  <si>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</si>
  <si>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</si>
  <si>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</si>
  <si>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</si>
  <si>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</si>
  <si>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</si>
  <si>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</si>
  <si>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</si>
  <si>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</si>
  <si>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</si>
  <si>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</si>
  <si>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</si>
  <si>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</si>
  <si>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</si>
  <si>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</si>
  <si>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</si>
  <si>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</si>
  <si>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</si>
  <si>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</si>
  <si>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</si>
  <si>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</si>
  <si>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</si>
  <si>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</si>
  <si>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</si>
  <si>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</si>
  <si>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</si>
  <si>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</si>
  <si>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</si>
  <si>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</si>
  <si>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</si>
  <si>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</si>
  <si>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</si>
  <si>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</si>
  <si>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</si>
  <si>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</si>
  <si>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</si>
  <si>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</si>
  <si>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</si>
  <si>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</si>
  <si>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</si>
  <si>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</si>
  <si>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</si>
  <si>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</si>
  <si>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</si>
  <si>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</si>
  <si>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</si>
  <si>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</si>
  <si>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</si>
  <si>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</si>
  <si>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</si>
  <si>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</si>
  <si>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</si>
  <si>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</si>
  <si>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</si>
  <si>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</si>
  <si>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</si>
  <si>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</si>
  <si>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</si>
  <si>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</si>
  <si>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</si>
  <si>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</si>
  <si>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</si>
  <si>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</si>
  <si>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</si>
  <si>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</si>
  <si>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</si>
  <si>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</si>
  <si>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</si>
  <si>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</si>
  <si>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</si>
  <si>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</si>
  <si>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</si>
  <si>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</si>
  <si>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</si>
  <si>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</si>
  <si>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</si>
  <si>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</si>
  <si>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</si>
  <si>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</si>
  <si>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</si>
  <si>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</si>
  <si>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</si>
  <si>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</si>
  <si>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</si>
  <si>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</si>
  <si>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</si>
  <si>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</si>
  <si>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</si>
  <si>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</si>
  <si>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</si>
  <si>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</si>
  <si>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</si>
  <si>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</si>
  <si>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</si>
  <si>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</si>
  <si>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</si>
  <si>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</si>
  <si>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</si>
  <si>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</si>
  <si>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</si>
  <si>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</si>
  <si>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</si>
  <si>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</si>
  <si>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</si>
  <si>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</si>
  <si>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</si>
  <si>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</si>
  <si>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</si>
  <si>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</si>
  <si>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</si>
  <si>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</si>
  <si>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</si>
  <si>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</si>
  <si>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</si>
  <si>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</si>
  <si>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</si>
  <si>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</si>
  <si>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</si>
  <si>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</si>
  <si>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</si>
  <si>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</si>
  <si>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</si>
  <si>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</si>
  <si>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</si>
  <si>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</si>
  <si>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</si>
  <si>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</si>
  <si>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</si>
  <si>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</si>
  <si>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</si>
  <si>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</si>
  <si>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</si>
  <si>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</si>
  <si>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</si>
  <si>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</si>
  <si>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</si>
  <si>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</si>
  <si>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</si>
  <si>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</si>
  <si>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</si>
  <si>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</si>
  <si>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</si>
  <si>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</si>
  <si>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</si>
  <si>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</si>
  <si>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</si>
  <si>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</si>
  <si>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</si>
  <si>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</si>
  <si>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</si>
  <si>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</si>
  <si>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</si>
  <si>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</si>
  <si>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</si>
  <si>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</si>
  <si>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</si>
  <si>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</si>
  <si>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</si>
  <si>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</si>
  <si>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</si>
  <si>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</si>
  <si>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</si>
  <si>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</si>
  <si>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</si>
  <si>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</si>
  <si>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</si>
  <si>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</si>
  <si>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</si>
  <si>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</si>
  <si>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</si>
  <si>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</si>
  <si>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</si>
  <si>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</si>
  <si>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</si>
  <si>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</si>
  <si>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</si>
  <si>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</si>
  <si>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</si>
  <si>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</si>
  <si>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</si>
  <si>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</si>
  <si>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</si>
  <si>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</si>
  <si>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</si>
  <si>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</si>
  <si>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</si>
  <si>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</si>
  <si>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</si>
  <si>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</si>
  <si>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</si>
  <si>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</si>
  <si>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</si>
  <si>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</si>
  <si>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</si>
  <si>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</si>
  <si>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</si>
  <si>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</si>
  <si>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</si>
  <si>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</si>
  <si>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</si>
  <si>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</si>
  <si>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</si>
  <si>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</si>
  <si>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</si>
  <si>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</si>
  <si>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</si>
  <si>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</si>
  <si>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</si>
  <si>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</si>
  <si>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</si>
  <si>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</si>
  <si>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</si>
  <si>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</si>
  <si>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</si>
  <si>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</si>
  <si>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</si>
  <si>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</si>
  <si>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</si>
  <si>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</si>
  <si>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</si>
  <si>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</si>
  <si>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</si>
  <si>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</si>
  <si>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</si>
  <si>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</si>
  <si>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</si>
  <si>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</si>
  <si>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</si>
  <si>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</si>
  <si>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</si>
  <si>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</si>
  <si>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</si>
  <si>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</si>
  <si>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</si>
  <si>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</si>
  <si>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</si>
  <si>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</si>
  <si>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</si>
  <si>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</si>
  <si>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</si>
  <si>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</si>
  <si>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</si>
  <si>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</si>
  <si>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</si>
  <si>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</si>
  <si>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</si>
  <si>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</si>
  <si>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</si>
  <si>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</si>
  <si>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</si>
  <si>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</si>
  <si>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</si>
  <si>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</si>
  <si>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</si>
  <si>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</si>
  <si>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</si>
  <si>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</si>
  <si>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</si>
  <si>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</si>
  <si>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</si>
  <si>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</si>
  <si>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</si>
  <si>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</si>
  <si>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</si>
  <si>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</si>
  <si>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</si>
  <si>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</si>
  <si>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</si>
  <si>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</si>
  <si>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</si>
  <si>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</si>
  <si>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</si>
  <si>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</si>
  <si>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</si>
  <si>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</si>
  <si>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</si>
  <si>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</si>
  <si>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</si>
  <si>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</si>
  <si>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</si>
  <si>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</si>
  <si>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</si>
  <si>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</si>
  <si>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</si>
  <si>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</si>
  <si>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</si>
  <si>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</si>
  <si>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</si>
  <si>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</si>
  <si>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</si>
  <si>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</si>
  <si>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</si>
  <si>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</si>
  <si>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</si>
  <si>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</si>
  <si>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</si>
  <si>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</si>
  <si>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</si>
  <si>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</si>
  <si>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</si>
  <si>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</si>
  <si>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</si>
  <si>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</si>
  <si>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</si>
  <si>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</si>
  <si>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</si>
  <si>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</si>
  <si>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</si>
  <si>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</si>
  <si>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</si>
  <si>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</si>
  <si>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</si>
  <si>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</si>
  <si>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</si>
  <si>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</si>
  <si>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</si>
  <si>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</si>
  <si>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</si>
  <si>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</si>
  <si>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31033</t>
  </si>
  <si>
    <t>TORHOUT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</si>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</sst>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3AA85C2-28EA-4CEC-B436-B8897FD4A20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31033</v>
      </c>
      <c r="B6" s="384"/>
      <c r="C6" s="385"/>
    </row>
    <row r="7" spans="1:7" s="382" customFormat="1" ht="15.75" customHeight="1">
      <c r="A7" s="386" t="str">
        <f>txtMunicipality</f>
        <v>TORHOUT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27592.234</v>
      </c>
      <c r="D10" s="674">
        <f ca="1">tertiair!C16</f>
        <v>0</v>
      </c>
      <c r="E10" s="674">
        <f ca="1">tertiair!D16</f>
        <v>34056.838354</v>
      </c>
      <c r="F10" s="674">
        <f>tertiair!E16</f>
        <v>209.98802076629983</v>
      </c>
      <c r="G10" s="674">
        <f ca="1">tertiair!F16</f>
        <v>6101.9261001381374</v>
      </c>
      <c r="H10" s="674">
        <f>tertiair!G16</f>
        <v>0</v>
      </c>
      <c r="I10" s="674">
        <f>tertiair!H16</f>
        <v>0</v>
      </c>
      <c r="J10" s="674">
        <f>tertiair!I16</f>
        <v>0</v>
      </c>
      <c r="K10" s="674">
        <f>tertiair!J16</f>
        <v>0</v>
      </c>
      <c r="L10" s="674">
        <f>tertiair!K16</f>
        <v>0</v>
      </c>
      <c r="M10" s="674">
        <f ca="1">tertiair!L16</f>
        <v>0</v>
      </c>
      <c r="N10" s="674">
        <f>tertiair!M16</f>
        <v>0</v>
      </c>
      <c r="O10" s="674">
        <f ca="1">tertiair!N16</f>
        <v>1146.1577665526142</v>
      </c>
      <c r="P10" s="674">
        <f>tertiair!O16</f>
        <v>3.1266666666666669</v>
      </c>
      <c r="Q10" s="675">
        <f>tertiair!P16</f>
        <v>19.066666666666666</v>
      </c>
      <c r="R10" s="677">
        <f ca="1">SUM(C10:Q10)</f>
        <v>69129.337574790377</v>
      </c>
      <c r="S10" s="68"/>
    </row>
    <row r="11" spans="1:19" s="443" customFormat="1">
      <c r="A11" s="789" t="s">
        <v>214</v>
      </c>
      <c r="B11" s="794"/>
      <c r="C11" s="674">
        <f>huishoudens!B8</f>
        <v>41066.366576906963</v>
      </c>
      <c r="D11" s="674">
        <f>huishoudens!C8</f>
        <v>0</v>
      </c>
      <c r="E11" s="674">
        <f>huishoudens!D8</f>
        <v>71895.907028000001</v>
      </c>
      <c r="F11" s="674">
        <f>huishoudens!E8</f>
        <v>1971.4157616837997</v>
      </c>
      <c r="G11" s="674">
        <f>huishoudens!F8</f>
        <v>60102.742970516585</v>
      </c>
      <c r="H11" s="674">
        <f>huishoudens!G8</f>
        <v>0</v>
      </c>
      <c r="I11" s="674">
        <f>huishoudens!H8</f>
        <v>0</v>
      </c>
      <c r="J11" s="674">
        <f>huishoudens!I8</f>
        <v>0</v>
      </c>
      <c r="K11" s="674">
        <f>huishoudens!J8</f>
        <v>1090.5433286496259</v>
      </c>
      <c r="L11" s="674">
        <f>huishoudens!K8</f>
        <v>0</v>
      </c>
      <c r="M11" s="674">
        <f>huishoudens!L8</f>
        <v>0</v>
      </c>
      <c r="N11" s="674">
        <f>huishoudens!M8</f>
        <v>0</v>
      </c>
      <c r="O11" s="674">
        <f>huishoudens!N8</f>
        <v>12322.953400002643</v>
      </c>
      <c r="P11" s="674">
        <f>huishoudens!O8</f>
        <v>120.37666666666668</v>
      </c>
      <c r="Q11" s="675">
        <f>huishoudens!P8</f>
        <v>533.86666666666667</v>
      </c>
      <c r="R11" s="677">
        <f>SUM(C11:Q11)</f>
        <v>189104.17239909299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14802.085000000001</v>
      </c>
      <c r="D13" s="674">
        <f>industrie!C18</f>
        <v>0</v>
      </c>
      <c r="E13" s="674">
        <f>industrie!D18</f>
        <v>2606.3172740000005</v>
      </c>
      <c r="F13" s="674">
        <f>industrie!E18</f>
        <v>142.89844373697804</v>
      </c>
      <c r="G13" s="674">
        <f>industrie!F18</f>
        <v>3647.4954081768133</v>
      </c>
      <c r="H13" s="674">
        <f>industrie!G18</f>
        <v>0</v>
      </c>
      <c r="I13" s="674">
        <f>industrie!H18</f>
        <v>0</v>
      </c>
      <c r="J13" s="674">
        <f>industrie!I18</f>
        <v>0</v>
      </c>
      <c r="K13" s="674">
        <f>industrie!J18</f>
        <v>16.994434099588368</v>
      </c>
      <c r="L13" s="674">
        <f>industrie!K18</f>
        <v>0</v>
      </c>
      <c r="M13" s="674">
        <f>industrie!L18</f>
        <v>0</v>
      </c>
      <c r="N13" s="674">
        <f>industrie!M18</f>
        <v>0</v>
      </c>
      <c r="O13" s="674">
        <f>industrie!N18</f>
        <v>400.17610099875805</v>
      </c>
      <c r="P13" s="674">
        <f>industrie!O18</f>
        <v>0</v>
      </c>
      <c r="Q13" s="675">
        <f>industrie!P18</f>
        <v>0</v>
      </c>
      <c r="R13" s="677">
        <f>SUM(C13:Q13)</f>
        <v>21615.966661012135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83460.685576906966</v>
      </c>
      <c r="D16" s="707">
        <f t="shared" ref="D16:R16" ca="1" si="0">SUM(D9:D15)</f>
        <v>0</v>
      </c>
      <c r="E16" s="707">
        <f t="shared" ca="1" si="0"/>
        <v>108559.06265599999</v>
      </c>
      <c r="F16" s="707">
        <f t="shared" si="0"/>
        <v>2324.3022261870778</v>
      </c>
      <c r="G16" s="707">
        <f t="shared" ca="1" si="0"/>
        <v>69852.164478831532</v>
      </c>
      <c r="H16" s="707">
        <f t="shared" si="0"/>
        <v>0</v>
      </c>
      <c r="I16" s="707">
        <f t="shared" si="0"/>
        <v>0</v>
      </c>
      <c r="J16" s="707">
        <f t="shared" si="0"/>
        <v>0</v>
      </c>
      <c r="K16" s="707">
        <f t="shared" si="0"/>
        <v>1107.5377627492142</v>
      </c>
      <c r="L16" s="707">
        <f t="shared" si="0"/>
        <v>0</v>
      </c>
      <c r="M16" s="707">
        <f t="shared" ca="1" si="0"/>
        <v>0</v>
      </c>
      <c r="N16" s="707">
        <f t="shared" si="0"/>
        <v>0</v>
      </c>
      <c r="O16" s="707">
        <f t="shared" ca="1" si="0"/>
        <v>13869.287267554017</v>
      </c>
      <c r="P16" s="707">
        <f t="shared" si="0"/>
        <v>123.50333333333334</v>
      </c>
      <c r="Q16" s="707">
        <f t="shared" si="0"/>
        <v>552.93333333333339</v>
      </c>
      <c r="R16" s="707">
        <f t="shared" ca="1" si="0"/>
        <v>279849.47663489549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6.1031599192912029</v>
      </c>
      <c r="D19" s="674">
        <f>transport!C54</f>
        <v>0</v>
      </c>
      <c r="E19" s="674">
        <f>transport!D54</f>
        <v>0</v>
      </c>
      <c r="F19" s="674">
        <f>transport!E54</f>
        <v>0</v>
      </c>
      <c r="G19" s="674">
        <f>transport!F54</f>
        <v>0</v>
      </c>
      <c r="H19" s="674">
        <f>transport!G54</f>
        <v>1217.2872786812402</v>
      </c>
      <c r="I19" s="674">
        <f>transport!H54</f>
        <v>0</v>
      </c>
      <c r="J19" s="674">
        <f>transport!I54</f>
        <v>0</v>
      </c>
      <c r="K19" s="674">
        <f>transport!J54</f>
        <v>0</v>
      </c>
      <c r="L19" s="674">
        <f>transport!K54</f>
        <v>0</v>
      </c>
      <c r="M19" s="674">
        <f>transport!L54</f>
        <v>0</v>
      </c>
      <c r="N19" s="674">
        <f>transport!M54</f>
        <v>53.80280123398272</v>
      </c>
      <c r="O19" s="674">
        <f>transport!N54</f>
        <v>0</v>
      </c>
      <c r="P19" s="674">
        <f>transport!O54</f>
        <v>0</v>
      </c>
      <c r="Q19" s="675">
        <f>transport!P54</f>
        <v>0</v>
      </c>
      <c r="R19" s="677">
        <f>SUM(C19:Q19)</f>
        <v>1277.1932398345141</v>
      </c>
      <c r="S19" s="68"/>
    </row>
    <row r="20" spans="1:19" s="443" customFormat="1">
      <c r="A20" s="789" t="s">
        <v>296</v>
      </c>
      <c r="B20" s="794"/>
      <c r="C20" s="674">
        <f>transport!B14</f>
        <v>4.4963683022561005</v>
      </c>
      <c r="D20" s="674">
        <f>transport!C14</f>
        <v>0</v>
      </c>
      <c r="E20" s="674">
        <f>transport!D14</f>
        <v>5.8552089532189395</v>
      </c>
      <c r="F20" s="674">
        <f>transport!E14</f>
        <v>383.05778893227051</v>
      </c>
      <c r="G20" s="674">
        <f>transport!F14</f>
        <v>0</v>
      </c>
      <c r="H20" s="674">
        <f>transport!G14</f>
        <v>94809.943107962827</v>
      </c>
      <c r="I20" s="674">
        <f>transport!H14</f>
        <v>14114.820137564104</v>
      </c>
      <c r="J20" s="674">
        <f>transport!I14</f>
        <v>0</v>
      </c>
      <c r="K20" s="674">
        <f>transport!J14</f>
        <v>0</v>
      </c>
      <c r="L20" s="674">
        <f>transport!K14</f>
        <v>0</v>
      </c>
      <c r="M20" s="674">
        <f>transport!L14</f>
        <v>0</v>
      </c>
      <c r="N20" s="674">
        <f>transport!M14</f>
        <v>4865.1645664609141</v>
      </c>
      <c r="O20" s="674">
        <f>transport!N14</f>
        <v>0</v>
      </c>
      <c r="P20" s="674">
        <f>transport!O14</f>
        <v>0</v>
      </c>
      <c r="Q20" s="675">
        <f>transport!P14</f>
        <v>0</v>
      </c>
      <c r="R20" s="677">
        <f>SUM(C20:Q20)</f>
        <v>114183.33717817558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10.599528221547303</v>
      </c>
      <c r="D22" s="792">
        <f t="shared" ref="D22:R22" si="1">SUM(D18:D21)</f>
        <v>0</v>
      </c>
      <c r="E22" s="792">
        <f t="shared" si="1"/>
        <v>5.8552089532189395</v>
      </c>
      <c r="F22" s="792">
        <f t="shared" si="1"/>
        <v>383.05778893227051</v>
      </c>
      <c r="G22" s="792">
        <f t="shared" si="1"/>
        <v>0</v>
      </c>
      <c r="H22" s="792">
        <f t="shared" si="1"/>
        <v>96027.230386644063</v>
      </c>
      <c r="I22" s="792">
        <f t="shared" si="1"/>
        <v>14114.820137564104</v>
      </c>
      <c r="J22" s="792">
        <f t="shared" si="1"/>
        <v>0</v>
      </c>
      <c r="K22" s="792">
        <f t="shared" si="1"/>
        <v>0</v>
      </c>
      <c r="L22" s="792">
        <f t="shared" si="1"/>
        <v>0</v>
      </c>
      <c r="M22" s="792">
        <f t="shared" si="1"/>
        <v>0</v>
      </c>
      <c r="N22" s="792">
        <f t="shared" si="1"/>
        <v>4918.9673676948969</v>
      </c>
      <c r="O22" s="792">
        <f t="shared" si="1"/>
        <v>0</v>
      </c>
      <c r="P22" s="792">
        <f t="shared" si="1"/>
        <v>0</v>
      </c>
      <c r="Q22" s="792">
        <f t="shared" si="1"/>
        <v>0</v>
      </c>
      <c r="R22" s="792">
        <f t="shared" si="1"/>
        <v>115460.53041801009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3791.3249999999998</v>
      </c>
      <c r="D24" s="674">
        <f>+landbouw!C8</f>
        <v>0</v>
      </c>
      <c r="E24" s="674">
        <f>+landbouw!D8</f>
        <v>14194.645014</v>
      </c>
      <c r="F24" s="674">
        <f>+landbouw!E8</f>
        <v>35.716821771078763</v>
      </c>
      <c r="G24" s="674">
        <f>+landbouw!F8</f>
        <v>12372.351705265613</v>
      </c>
      <c r="H24" s="674">
        <f>+landbouw!G8</f>
        <v>0</v>
      </c>
      <c r="I24" s="674">
        <f>+landbouw!H8</f>
        <v>0</v>
      </c>
      <c r="J24" s="674">
        <f>+landbouw!I8</f>
        <v>0</v>
      </c>
      <c r="K24" s="674">
        <f>+landbouw!J8</f>
        <v>469.00534350125764</v>
      </c>
      <c r="L24" s="674">
        <f>+landbouw!K8</f>
        <v>0</v>
      </c>
      <c r="M24" s="674">
        <f>+landbouw!L8</f>
        <v>0</v>
      </c>
      <c r="N24" s="674">
        <f>+landbouw!M8</f>
        <v>0</v>
      </c>
      <c r="O24" s="674">
        <f>+landbouw!N8</f>
        <v>0</v>
      </c>
      <c r="P24" s="674">
        <f>+landbouw!O8</f>
        <v>0</v>
      </c>
      <c r="Q24" s="675">
        <f>+landbouw!P8</f>
        <v>0</v>
      </c>
      <c r="R24" s="677">
        <f>SUM(C24:Q24)</f>
        <v>30863.043884537947</v>
      </c>
      <c r="S24" s="68"/>
    </row>
    <row r="25" spans="1:19" s="443" customFormat="1" ht="15" thickBot="1">
      <c r="A25" s="811" t="s">
        <v>873</v>
      </c>
      <c r="B25" s="977"/>
      <c r="C25" s="978">
        <f>IF(Onbekend_ele_kWh="---",0,Onbekend_ele_kWh)/1000+IF(REST_rest_ele_kWh="---",0,REST_rest_ele_kWh)/1000</f>
        <v>979.09400000000005</v>
      </c>
      <c r="D25" s="978"/>
      <c r="E25" s="978">
        <f>IF(onbekend_gas_kWh="---",0,onbekend_gas_kWh)/1000+IF(REST_rest_gas_kWh="---",0,REST_rest_gas_kWh)/1000</f>
        <v>2563.127</v>
      </c>
      <c r="F25" s="978"/>
      <c r="G25" s="978"/>
      <c r="H25" s="978"/>
      <c r="I25" s="978"/>
      <c r="J25" s="978"/>
      <c r="K25" s="978"/>
      <c r="L25" s="978"/>
      <c r="M25" s="978"/>
      <c r="N25" s="978"/>
      <c r="O25" s="978"/>
      <c r="P25" s="978"/>
      <c r="Q25" s="979"/>
      <c r="R25" s="677">
        <f>SUM(C25:Q25)</f>
        <v>3542.221</v>
      </c>
      <c r="S25" s="68"/>
    </row>
    <row r="26" spans="1:19" s="443" customFormat="1" ht="15.75" thickBot="1">
      <c r="A26" s="680" t="s">
        <v>874</v>
      </c>
      <c r="B26" s="797"/>
      <c r="C26" s="792">
        <f>SUM(C24:C25)</f>
        <v>4770.4189999999999</v>
      </c>
      <c r="D26" s="792">
        <f t="shared" ref="D26:R26" si="2">SUM(D24:D25)</f>
        <v>0</v>
      </c>
      <c r="E26" s="792">
        <f t="shared" si="2"/>
        <v>16757.772013999998</v>
      </c>
      <c r="F26" s="792">
        <f t="shared" si="2"/>
        <v>35.716821771078763</v>
      </c>
      <c r="G26" s="792">
        <f t="shared" si="2"/>
        <v>12372.351705265613</v>
      </c>
      <c r="H26" s="792">
        <f t="shared" si="2"/>
        <v>0</v>
      </c>
      <c r="I26" s="792">
        <f t="shared" si="2"/>
        <v>0</v>
      </c>
      <c r="J26" s="792">
        <f t="shared" si="2"/>
        <v>0</v>
      </c>
      <c r="K26" s="792">
        <f t="shared" si="2"/>
        <v>469.00534350125764</v>
      </c>
      <c r="L26" s="792">
        <f t="shared" si="2"/>
        <v>0</v>
      </c>
      <c r="M26" s="792">
        <f t="shared" si="2"/>
        <v>0</v>
      </c>
      <c r="N26" s="792">
        <f t="shared" si="2"/>
        <v>0</v>
      </c>
      <c r="O26" s="792">
        <f t="shared" si="2"/>
        <v>0</v>
      </c>
      <c r="P26" s="792">
        <f t="shared" si="2"/>
        <v>0</v>
      </c>
      <c r="Q26" s="792">
        <f t="shared" si="2"/>
        <v>0</v>
      </c>
      <c r="R26" s="792">
        <f t="shared" si="2"/>
        <v>34405.264884537944</v>
      </c>
      <c r="S26" s="68"/>
    </row>
    <row r="27" spans="1:19" s="443" customFormat="1" ht="17.25" thickTop="1" thickBot="1">
      <c r="A27" s="681" t="s">
        <v>109</v>
      </c>
      <c r="B27" s="784"/>
      <c r="C27" s="682">
        <f ca="1">C22+C16+C26</f>
        <v>88241.704105128505</v>
      </c>
      <c r="D27" s="682">
        <f t="shared" ref="D27:R27" ca="1" si="3">D22+D16+D26</f>
        <v>0</v>
      </c>
      <c r="E27" s="682">
        <f t="shared" ca="1" si="3"/>
        <v>125322.68987895321</v>
      </c>
      <c r="F27" s="682">
        <f t="shared" si="3"/>
        <v>2743.0768368904269</v>
      </c>
      <c r="G27" s="682">
        <f t="shared" ca="1" si="3"/>
        <v>82224.516184097141</v>
      </c>
      <c r="H27" s="682">
        <f t="shared" si="3"/>
        <v>96027.230386644063</v>
      </c>
      <c r="I27" s="682">
        <f t="shared" si="3"/>
        <v>14114.820137564104</v>
      </c>
      <c r="J27" s="682">
        <f t="shared" si="3"/>
        <v>0</v>
      </c>
      <c r="K27" s="682">
        <f t="shared" si="3"/>
        <v>1576.5431062504717</v>
      </c>
      <c r="L27" s="682">
        <f t="shared" si="3"/>
        <v>0</v>
      </c>
      <c r="M27" s="682">
        <f t="shared" ca="1" si="3"/>
        <v>0</v>
      </c>
      <c r="N27" s="682">
        <f t="shared" si="3"/>
        <v>4918.9673676948969</v>
      </c>
      <c r="O27" s="682">
        <f t="shared" ca="1" si="3"/>
        <v>13869.287267554017</v>
      </c>
      <c r="P27" s="682">
        <f t="shared" si="3"/>
        <v>123.50333333333334</v>
      </c>
      <c r="Q27" s="682">
        <f t="shared" si="3"/>
        <v>552.93333333333339</v>
      </c>
      <c r="R27" s="682">
        <f t="shared" ca="1" si="3"/>
        <v>429715.27193744353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5751.9578318549502</v>
      </c>
      <c r="D40" s="674">
        <f ca="1">tertiair!C20</f>
        <v>0</v>
      </c>
      <c r="E40" s="674">
        <f ca="1">tertiair!D20</f>
        <v>6879.481347508</v>
      </c>
      <c r="F40" s="674">
        <f>tertiair!E20</f>
        <v>47.667280713950063</v>
      </c>
      <c r="G40" s="674">
        <f ca="1">tertiair!F20</f>
        <v>1629.2142687368828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14308.320728813784</v>
      </c>
    </row>
    <row r="41" spans="1:18">
      <c r="A41" s="802" t="s">
        <v>214</v>
      </c>
      <c r="B41" s="809"/>
      <c r="C41" s="674">
        <f ca="1">huishoudens!B12</f>
        <v>8560.8149328490908</v>
      </c>
      <c r="D41" s="674">
        <f ca="1">huishoudens!C12</f>
        <v>0</v>
      </c>
      <c r="E41" s="674">
        <f>huishoudens!D12</f>
        <v>14522.973219656002</v>
      </c>
      <c r="F41" s="674">
        <f>huishoudens!E12</f>
        <v>447.51137790222253</v>
      </c>
      <c r="G41" s="674">
        <f>huishoudens!F12</f>
        <v>16047.432373127929</v>
      </c>
      <c r="H41" s="674">
        <f>huishoudens!G12</f>
        <v>0</v>
      </c>
      <c r="I41" s="674">
        <f>huishoudens!H12</f>
        <v>0</v>
      </c>
      <c r="J41" s="674">
        <f>huishoudens!I12</f>
        <v>0</v>
      </c>
      <c r="K41" s="674">
        <f>huishoudens!J12</f>
        <v>386.05233834196753</v>
      </c>
      <c r="L41" s="674">
        <f>huishoudens!K12</f>
        <v>0</v>
      </c>
      <c r="M41" s="674">
        <f>huishoudens!L12</f>
        <v>0</v>
      </c>
      <c r="N41" s="674">
        <f>huishoudens!M12</f>
        <v>0</v>
      </c>
      <c r="O41" s="674">
        <f>huishoudens!N12</f>
        <v>0</v>
      </c>
      <c r="P41" s="674">
        <f>huishoudens!O12</f>
        <v>0</v>
      </c>
      <c r="Q41" s="749">
        <f>huishoudens!P12</f>
        <v>0</v>
      </c>
      <c r="R41" s="830">
        <f t="shared" ca="1" si="4"/>
        <v>39964.784241877205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3085.685948572801</v>
      </c>
      <c r="D43" s="674">
        <f ca="1">industrie!C22</f>
        <v>0</v>
      </c>
      <c r="E43" s="674">
        <f>industrie!D22</f>
        <v>526.47608934800007</v>
      </c>
      <c r="F43" s="674">
        <f>industrie!E22</f>
        <v>32.437946728294015</v>
      </c>
      <c r="G43" s="674">
        <f>industrie!F22</f>
        <v>973.88127398320921</v>
      </c>
      <c r="H43" s="674">
        <f>industrie!G22</f>
        <v>0</v>
      </c>
      <c r="I43" s="674">
        <f>industrie!H22</f>
        <v>0</v>
      </c>
      <c r="J43" s="674">
        <f>industrie!I22</f>
        <v>0</v>
      </c>
      <c r="K43" s="674">
        <f>industrie!J22</f>
        <v>6.016029671254282</v>
      </c>
      <c r="L43" s="674">
        <f>industrie!K22</f>
        <v>0</v>
      </c>
      <c r="M43" s="674">
        <f>industrie!L22</f>
        <v>0</v>
      </c>
      <c r="N43" s="674">
        <f>industrie!M22</f>
        <v>0</v>
      </c>
      <c r="O43" s="674">
        <f>industrie!N22</f>
        <v>0</v>
      </c>
      <c r="P43" s="674">
        <f>industrie!O22</f>
        <v>0</v>
      </c>
      <c r="Q43" s="749">
        <f>industrie!P22</f>
        <v>0</v>
      </c>
      <c r="R43" s="829">
        <f t="shared" ca="1" si="4"/>
        <v>4624.4972883035589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17398.458713276843</v>
      </c>
      <c r="D46" s="707">
        <f t="shared" ref="D46:Q46" ca="1" si="5">SUM(D39:D45)</f>
        <v>0</v>
      </c>
      <c r="E46" s="707">
        <f t="shared" ca="1" si="5"/>
        <v>21928.930656512002</v>
      </c>
      <c r="F46" s="707">
        <f t="shared" si="5"/>
        <v>527.61660534446662</v>
      </c>
      <c r="G46" s="707">
        <f t="shared" ca="1" si="5"/>
        <v>18650.527915848023</v>
      </c>
      <c r="H46" s="707">
        <f t="shared" si="5"/>
        <v>0</v>
      </c>
      <c r="I46" s="707">
        <f t="shared" si="5"/>
        <v>0</v>
      </c>
      <c r="J46" s="707">
        <f t="shared" si="5"/>
        <v>0</v>
      </c>
      <c r="K46" s="707">
        <f t="shared" si="5"/>
        <v>392.0683680132218</v>
      </c>
      <c r="L46" s="707">
        <f t="shared" si="5"/>
        <v>0</v>
      </c>
      <c r="M46" s="707">
        <f t="shared" ca="1" si="5"/>
        <v>0</v>
      </c>
      <c r="N46" s="707">
        <f t="shared" si="5"/>
        <v>0</v>
      </c>
      <c r="O46" s="707">
        <f t="shared" ca="1" si="5"/>
        <v>0</v>
      </c>
      <c r="P46" s="707">
        <f t="shared" si="5"/>
        <v>0</v>
      </c>
      <c r="Q46" s="707">
        <f t="shared" si="5"/>
        <v>0</v>
      </c>
      <c r="R46" s="707">
        <f ca="1">SUM(R39:R45)</f>
        <v>58897.60225899455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1.272282574032616</v>
      </c>
      <c r="D49" s="674">
        <f ca="1">transport!C58</f>
        <v>0</v>
      </c>
      <c r="E49" s="674">
        <f>transport!D58</f>
        <v>0</v>
      </c>
      <c r="F49" s="674">
        <f>transport!E58</f>
        <v>0</v>
      </c>
      <c r="G49" s="674">
        <f>transport!F58</f>
        <v>0</v>
      </c>
      <c r="H49" s="674">
        <f>transport!G58</f>
        <v>325.01570340789112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326.28798598192373</v>
      </c>
    </row>
    <row r="50" spans="1:18">
      <c r="A50" s="805" t="s">
        <v>296</v>
      </c>
      <c r="B50" s="815"/>
      <c r="C50" s="984">
        <f ca="1">transport!B18</f>
        <v>0.93732609222820906</v>
      </c>
      <c r="D50" s="984">
        <f>transport!C18</f>
        <v>0</v>
      </c>
      <c r="E50" s="984">
        <f>transport!D18</f>
        <v>1.1827522085502258</v>
      </c>
      <c r="F50" s="984">
        <f>transport!E18</f>
        <v>86.954118087625403</v>
      </c>
      <c r="G50" s="984">
        <f>transport!F18</f>
        <v>0</v>
      </c>
      <c r="H50" s="984">
        <f>transport!G18</f>
        <v>25314.254809826078</v>
      </c>
      <c r="I50" s="984">
        <f>transport!H18</f>
        <v>3514.5902142534619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28917.919220467942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2.209608666260825</v>
      </c>
      <c r="D52" s="707">
        <f t="shared" ref="D52:Q52" ca="1" si="6">SUM(D48:D51)</f>
        <v>0</v>
      </c>
      <c r="E52" s="707">
        <f t="shared" si="6"/>
        <v>1.1827522085502258</v>
      </c>
      <c r="F52" s="707">
        <f t="shared" si="6"/>
        <v>86.954118087625403</v>
      </c>
      <c r="G52" s="707">
        <f t="shared" si="6"/>
        <v>0</v>
      </c>
      <c r="H52" s="707">
        <f t="shared" si="6"/>
        <v>25639.270513233969</v>
      </c>
      <c r="I52" s="707">
        <f t="shared" si="6"/>
        <v>3514.5902142534619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29244.207206449864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790.35070255121309</v>
      </c>
      <c r="D54" s="984">
        <f ca="1">+landbouw!C12</f>
        <v>0</v>
      </c>
      <c r="E54" s="984">
        <f>+landbouw!D12</f>
        <v>2867.3182928280003</v>
      </c>
      <c r="F54" s="984">
        <f>+landbouw!E12</f>
        <v>8.1077185420348794</v>
      </c>
      <c r="G54" s="984">
        <f>+landbouw!F12</f>
        <v>3303.4179053059188</v>
      </c>
      <c r="H54" s="984">
        <f>+landbouw!G12</f>
        <v>0</v>
      </c>
      <c r="I54" s="984">
        <f>+landbouw!H12</f>
        <v>0</v>
      </c>
      <c r="J54" s="984">
        <f>+landbouw!I12</f>
        <v>0</v>
      </c>
      <c r="K54" s="984">
        <f>+landbouw!J12</f>
        <v>166.02789159944518</v>
      </c>
      <c r="L54" s="984">
        <f>+landbouw!K12</f>
        <v>0</v>
      </c>
      <c r="M54" s="984">
        <f>+landbouw!L12</f>
        <v>0</v>
      </c>
      <c r="N54" s="984">
        <f>+landbouw!M12</f>
        <v>0</v>
      </c>
      <c r="O54" s="984">
        <f>+landbouw!N12</f>
        <v>0</v>
      </c>
      <c r="P54" s="984">
        <f>+landbouw!O12</f>
        <v>0</v>
      </c>
      <c r="Q54" s="985">
        <f>+landbouw!P12</f>
        <v>0</v>
      </c>
      <c r="R54" s="706">
        <f ca="1">SUM(C54:Q54)</f>
        <v>7135.2225108266121</v>
      </c>
    </row>
    <row r="55" spans="1:18" ht="15" thickBot="1">
      <c r="A55" s="805" t="s">
        <v>873</v>
      </c>
      <c r="B55" s="815"/>
      <c r="C55" s="984">
        <f ca="1">C25*'EF ele_warmte'!B12</f>
        <v>204.10479997459399</v>
      </c>
      <c r="D55" s="984"/>
      <c r="E55" s="984">
        <f>E25*EF_CO2_aardgas</f>
        <v>517.75165400000003</v>
      </c>
      <c r="F55" s="984"/>
      <c r="G55" s="984"/>
      <c r="H55" s="984"/>
      <c r="I55" s="984"/>
      <c r="J55" s="984"/>
      <c r="K55" s="984"/>
      <c r="L55" s="984"/>
      <c r="M55" s="984"/>
      <c r="N55" s="984"/>
      <c r="O55" s="984"/>
      <c r="P55" s="984"/>
      <c r="Q55" s="985"/>
      <c r="R55" s="706">
        <f ca="1">SUM(C55:Q55)</f>
        <v>721.85645397459405</v>
      </c>
    </row>
    <row r="56" spans="1:18" ht="15.75" thickBot="1">
      <c r="A56" s="803" t="s">
        <v>874</v>
      </c>
      <c r="B56" s="816"/>
      <c r="C56" s="707">
        <f ca="1">SUM(C54:C55)</f>
        <v>994.45550252580711</v>
      </c>
      <c r="D56" s="707">
        <f t="shared" ref="D56:Q56" ca="1" si="7">SUM(D54:D55)</f>
        <v>0</v>
      </c>
      <c r="E56" s="707">
        <f t="shared" si="7"/>
        <v>3385.0699468280004</v>
      </c>
      <c r="F56" s="707">
        <f t="shared" si="7"/>
        <v>8.1077185420348794</v>
      </c>
      <c r="G56" s="707">
        <f t="shared" si="7"/>
        <v>3303.4179053059188</v>
      </c>
      <c r="H56" s="707">
        <f t="shared" si="7"/>
        <v>0</v>
      </c>
      <c r="I56" s="707">
        <f t="shared" si="7"/>
        <v>0</v>
      </c>
      <c r="J56" s="707">
        <f t="shared" si="7"/>
        <v>0</v>
      </c>
      <c r="K56" s="707">
        <f t="shared" si="7"/>
        <v>166.02789159944518</v>
      </c>
      <c r="L56" s="707">
        <f t="shared" si="7"/>
        <v>0</v>
      </c>
      <c r="M56" s="707">
        <f t="shared" si="7"/>
        <v>0</v>
      </c>
      <c r="N56" s="707">
        <f t="shared" si="7"/>
        <v>0</v>
      </c>
      <c r="O56" s="707">
        <f t="shared" si="7"/>
        <v>0</v>
      </c>
      <c r="P56" s="707">
        <f t="shared" si="7"/>
        <v>0</v>
      </c>
      <c r="Q56" s="708">
        <f t="shared" si="7"/>
        <v>0</v>
      </c>
      <c r="R56" s="709">
        <f ca="1">SUM(R54:R55)</f>
        <v>7857.078964801206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18395.123824468912</v>
      </c>
      <c r="D61" s="715">
        <f t="shared" ref="D61:Q61" ca="1" si="8">D46+D52+D56</f>
        <v>0</v>
      </c>
      <c r="E61" s="715">
        <f t="shared" ca="1" si="8"/>
        <v>25315.183355548554</v>
      </c>
      <c r="F61" s="715">
        <f t="shared" si="8"/>
        <v>622.67844197412683</v>
      </c>
      <c r="G61" s="715">
        <f t="shared" ca="1" si="8"/>
        <v>21953.945821153942</v>
      </c>
      <c r="H61" s="715">
        <f t="shared" si="8"/>
        <v>25639.270513233969</v>
      </c>
      <c r="I61" s="715">
        <f t="shared" si="8"/>
        <v>3514.5902142534619</v>
      </c>
      <c r="J61" s="715">
        <f t="shared" si="8"/>
        <v>0</v>
      </c>
      <c r="K61" s="715">
        <f t="shared" si="8"/>
        <v>558.09625961266693</v>
      </c>
      <c r="L61" s="715">
        <f t="shared" si="8"/>
        <v>0</v>
      </c>
      <c r="M61" s="715">
        <f t="shared" ca="1" si="8"/>
        <v>0</v>
      </c>
      <c r="N61" s="715">
        <f t="shared" si="8"/>
        <v>0</v>
      </c>
      <c r="O61" s="715">
        <f t="shared" ca="1" si="8"/>
        <v>0</v>
      </c>
      <c r="P61" s="715">
        <f t="shared" si="8"/>
        <v>0</v>
      </c>
      <c r="Q61" s="715">
        <f t="shared" si="8"/>
        <v>0</v>
      </c>
      <c r="R61" s="715">
        <f ca="1">R46+R52+R56</f>
        <v>95998.888430245614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0.20846292590353327</v>
      </c>
      <c r="D63" s="759">
        <f t="shared" ca="1" si="9"/>
        <v>0</v>
      </c>
      <c r="E63" s="986">
        <f t="shared" ca="1" si="9"/>
        <v>0.20200000000000004</v>
      </c>
      <c r="F63" s="759">
        <f t="shared" si="9"/>
        <v>0.22699999999999998</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5005.8496957669195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5005.8496957669195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41066.366576906963</v>
      </c>
      <c r="C4" s="447">
        <f>huishoudens!C8</f>
        <v>0</v>
      </c>
      <c r="D4" s="447">
        <f>huishoudens!D8</f>
        <v>71895.907028000001</v>
      </c>
      <c r="E4" s="447">
        <f>huishoudens!E8</f>
        <v>1971.4157616837997</v>
      </c>
      <c r="F4" s="447">
        <f>huishoudens!F8</f>
        <v>60102.742970516585</v>
      </c>
      <c r="G4" s="447">
        <f>huishoudens!G8</f>
        <v>0</v>
      </c>
      <c r="H4" s="447">
        <f>huishoudens!H8</f>
        <v>0</v>
      </c>
      <c r="I4" s="447">
        <f>huishoudens!I8</f>
        <v>0</v>
      </c>
      <c r="J4" s="447">
        <f>huishoudens!J8</f>
        <v>1090.5433286496259</v>
      </c>
      <c r="K4" s="447">
        <f>huishoudens!K8</f>
        <v>0</v>
      </c>
      <c r="L4" s="447">
        <f>huishoudens!L8</f>
        <v>0</v>
      </c>
      <c r="M4" s="447">
        <f>huishoudens!M8</f>
        <v>0</v>
      </c>
      <c r="N4" s="447">
        <f>huishoudens!N8</f>
        <v>12322.953400002643</v>
      </c>
      <c r="O4" s="447">
        <f>huishoudens!O8</f>
        <v>120.37666666666668</v>
      </c>
      <c r="P4" s="448">
        <f>huishoudens!P8</f>
        <v>533.86666666666667</v>
      </c>
      <c r="Q4" s="449">
        <f>SUM(B4:P4)</f>
        <v>189104.17239909299</v>
      </c>
    </row>
    <row r="5" spans="1:17">
      <c r="A5" s="446" t="s">
        <v>149</v>
      </c>
      <c r="B5" s="447">
        <f ca="1">tertiair!B16</f>
        <v>26196.082999999999</v>
      </c>
      <c r="C5" s="447">
        <f ca="1">tertiair!C16</f>
        <v>0</v>
      </c>
      <c r="D5" s="447">
        <f ca="1">tertiair!D16</f>
        <v>34056.838354</v>
      </c>
      <c r="E5" s="447">
        <f>tertiair!E16</f>
        <v>209.98802076629983</v>
      </c>
      <c r="F5" s="447">
        <f ca="1">tertiair!F16</f>
        <v>6101.9261001381374</v>
      </c>
      <c r="G5" s="447">
        <f>tertiair!G16</f>
        <v>0</v>
      </c>
      <c r="H5" s="447">
        <f>tertiair!H16</f>
        <v>0</v>
      </c>
      <c r="I5" s="447">
        <f>tertiair!I16</f>
        <v>0</v>
      </c>
      <c r="J5" s="447">
        <f>tertiair!J16</f>
        <v>0</v>
      </c>
      <c r="K5" s="447">
        <f>tertiair!K16</f>
        <v>0</v>
      </c>
      <c r="L5" s="447">
        <f ca="1">tertiair!L16</f>
        <v>0</v>
      </c>
      <c r="M5" s="447">
        <f>tertiair!M16</f>
        <v>0</v>
      </c>
      <c r="N5" s="447">
        <f ca="1">tertiair!N16</f>
        <v>1146.1577665526142</v>
      </c>
      <c r="O5" s="447">
        <f>tertiair!O16</f>
        <v>3.1266666666666669</v>
      </c>
      <c r="P5" s="448">
        <f>tertiair!P16</f>
        <v>19.066666666666666</v>
      </c>
      <c r="Q5" s="446">
        <f t="shared" ref="Q5:Q14" ca="1" si="0">SUM(B5:P5)</f>
        <v>67733.186574790379</v>
      </c>
    </row>
    <row r="6" spans="1:17">
      <c r="A6" s="446" t="s">
        <v>187</v>
      </c>
      <c r="B6" s="447">
        <f>'openbare verlichting'!B8</f>
        <v>1396.1510000000001</v>
      </c>
      <c r="C6" s="447"/>
      <c r="D6" s="447"/>
      <c r="E6" s="447"/>
      <c r="F6" s="447"/>
      <c r="G6" s="447"/>
      <c r="H6" s="447"/>
      <c r="I6" s="447"/>
      <c r="J6" s="447"/>
      <c r="K6" s="447"/>
      <c r="L6" s="447"/>
      <c r="M6" s="447"/>
      <c r="N6" s="447"/>
      <c r="O6" s="447"/>
      <c r="P6" s="448"/>
      <c r="Q6" s="446">
        <f t="shared" si="0"/>
        <v>1396.1510000000001</v>
      </c>
    </row>
    <row r="7" spans="1:17">
      <c r="A7" s="446" t="s">
        <v>105</v>
      </c>
      <c r="B7" s="447">
        <f>landbouw!B8</f>
        <v>3791.3249999999998</v>
      </c>
      <c r="C7" s="447">
        <f>landbouw!C8</f>
        <v>0</v>
      </c>
      <c r="D7" s="447">
        <f>landbouw!D8</f>
        <v>14194.645014</v>
      </c>
      <c r="E7" s="447">
        <f>landbouw!E8</f>
        <v>35.716821771078763</v>
      </c>
      <c r="F7" s="447">
        <f>landbouw!F8</f>
        <v>12372.351705265613</v>
      </c>
      <c r="G7" s="447">
        <f>landbouw!G8</f>
        <v>0</v>
      </c>
      <c r="H7" s="447">
        <f>landbouw!H8</f>
        <v>0</v>
      </c>
      <c r="I7" s="447">
        <f>landbouw!I8</f>
        <v>0</v>
      </c>
      <c r="J7" s="447">
        <f>landbouw!J8</f>
        <v>469.00534350125764</v>
      </c>
      <c r="K7" s="447">
        <f>landbouw!K8</f>
        <v>0</v>
      </c>
      <c r="L7" s="447">
        <f>landbouw!L8</f>
        <v>0</v>
      </c>
      <c r="M7" s="447">
        <f>landbouw!M8</f>
        <v>0</v>
      </c>
      <c r="N7" s="447">
        <f>landbouw!N8</f>
        <v>0</v>
      </c>
      <c r="O7" s="447">
        <f>landbouw!O8</f>
        <v>0</v>
      </c>
      <c r="P7" s="448">
        <f>landbouw!P8</f>
        <v>0</v>
      </c>
      <c r="Q7" s="446">
        <f t="shared" si="0"/>
        <v>30863.043884537947</v>
      </c>
    </row>
    <row r="8" spans="1:17">
      <c r="A8" s="446" t="s">
        <v>665</v>
      </c>
      <c r="B8" s="447">
        <f>industrie!B18</f>
        <v>14802.085000000001</v>
      </c>
      <c r="C8" s="447">
        <f>industrie!C18</f>
        <v>0</v>
      </c>
      <c r="D8" s="447">
        <f>industrie!D18</f>
        <v>2606.3172740000005</v>
      </c>
      <c r="E8" s="447">
        <f>industrie!E18</f>
        <v>142.89844373697804</v>
      </c>
      <c r="F8" s="447">
        <f>industrie!F18</f>
        <v>3647.4954081768133</v>
      </c>
      <c r="G8" s="447">
        <f>industrie!G18</f>
        <v>0</v>
      </c>
      <c r="H8" s="447">
        <f>industrie!H18</f>
        <v>0</v>
      </c>
      <c r="I8" s="447">
        <f>industrie!I18</f>
        <v>0</v>
      </c>
      <c r="J8" s="447">
        <f>industrie!J18</f>
        <v>16.994434099588368</v>
      </c>
      <c r="K8" s="447">
        <f>industrie!K18</f>
        <v>0</v>
      </c>
      <c r="L8" s="447">
        <f>industrie!L18</f>
        <v>0</v>
      </c>
      <c r="M8" s="447">
        <f>industrie!M18</f>
        <v>0</v>
      </c>
      <c r="N8" s="447">
        <f>industrie!N18</f>
        <v>400.17610099875805</v>
      </c>
      <c r="O8" s="447">
        <f>industrie!O18</f>
        <v>0</v>
      </c>
      <c r="P8" s="448">
        <f>industrie!P18</f>
        <v>0</v>
      </c>
      <c r="Q8" s="446">
        <f t="shared" si="0"/>
        <v>21615.966661012135</v>
      </c>
    </row>
    <row r="9" spans="1:17" s="452" customFormat="1">
      <c r="A9" s="450" t="s">
        <v>562</v>
      </c>
      <c r="B9" s="451">
        <f>transport!B14</f>
        <v>4.4963683022561005</v>
      </c>
      <c r="C9" s="451">
        <f>transport!C14</f>
        <v>0</v>
      </c>
      <c r="D9" s="451">
        <f>transport!D14</f>
        <v>5.8552089532189395</v>
      </c>
      <c r="E9" s="451">
        <f>transport!E14</f>
        <v>383.05778893227051</v>
      </c>
      <c r="F9" s="451">
        <f>transport!F14</f>
        <v>0</v>
      </c>
      <c r="G9" s="451">
        <f>transport!G14</f>
        <v>94809.943107962827</v>
      </c>
      <c r="H9" s="451">
        <f>transport!H14</f>
        <v>14114.820137564104</v>
      </c>
      <c r="I9" s="451">
        <f>transport!I14</f>
        <v>0</v>
      </c>
      <c r="J9" s="451">
        <f>transport!J14</f>
        <v>0</v>
      </c>
      <c r="K9" s="451">
        <f>transport!K14</f>
        <v>0</v>
      </c>
      <c r="L9" s="451">
        <f>transport!L14</f>
        <v>0</v>
      </c>
      <c r="M9" s="451">
        <f>transport!M14</f>
        <v>4865.1645664609141</v>
      </c>
      <c r="N9" s="451">
        <f>transport!N14</f>
        <v>0</v>
      </c>
      <c r="O9" s="451">
        <f>transport!O14</f>
        <v>0</v>
      </c>
      <c r="P9" s="451">
        <f>transport!P14</f>
        <v>0</v>
      </c>
      <c r="Q9" s="450">
        <f>SUM(B9:P9)</f>
        <v>114183.33717817558</v>
      </c>
    </row>
    <row r="10" spans="1:17">
      <c r="A10" s="446" t="s">
        <v>552</v>
      </c>
      <c r="B10" s="447">
        <f>transport!B54</f>
        <v>6.1031599192912029</v>
      </c>
      <c r="C10" s="447">
        <f>transport!C54</f>
        <v>0</v>
      </c>
      <c r="D10" s="447">
        <f>transport!D54</f>
        <v>0</v>
      </c>
      <c r="E10" s="447">
        <f>transport!E54</f>
        <v>0</v>
      </c>
      <c r="F10" s="447">
        <f>transport!F54</f>
        <v>0</v>
      </c>
      <c r="G10" s="447">
        <f>transport!G54</f>
        <v>1217.2872786812402</v>
      </c>
      <c r="H10" s="447">
        <f>transport!H54</f>
        <v>0</v>
      </c>
      <c r="I10" s="447">
        <f>transport!I54</f>
        <v>0</v>
      </c>
      <c r="J10" s="447">
        <f>transport!J54</f>
        <v>0</v>
      </c>
      <c r="K10" s="447">
        <f>transport!K54</f>
        <v>0</v>
      </c>
      <c r="L10" s="447">
        <f>transport!L54</f>
        <v>0</v>
      </c>
      <c r="M10" s="447">
        <f>transport!M54</f>
        <v>53.80280123398272</v>
      </c>
      <c r="N10" s="447">
        <f>transport!N54</f>
        <v>0</v>
      </c>
      <c r="O10" s="447">
        <f>transport!O54</f>
        <v>0</v>
      </c>
      <c r="P10" s="448">
        <f>transport!P54</f>
        <v>0</v>
      </c>
      <c r="Q10" s="446">
        <f t="shared" si="0"/>
        <v>1277.1932398345141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979.09400000000005</v>
      </c>
      <c r="C14" s="454"/>
      <c r="D14" s="454">
        <f>'SEAP template'!E25</f>
        <v>2563.127</v>
      </c>
      <c r="E14" s="454"/>
      <c r="F14" s="454"/>
      <c r="G14" s="454"/>
      <c r="H14" s="454"/>
      <c r="I14" s="454"/>
      <c r="J14" s="454"/>
      <c r="K14" s="454"/>
      <c r="L14" s="454"/>
      <c r="M14" s="454"/>
      <c r="N14" s="454"/>
      <c r="O14" s="454"/>
      <c r="P14" s="455"/>
      <c r="Q14" s="446">
        <f t="shared" si="0"/>
        <v>3542.221</v>
      </c>
    </row>
    <row r="15" spans="1:17" s="459" customFormat="1">
      <c r="A15" s="456" t="s">
        <v>556</v>
      </c>
      <c r="B15" s="457">
        <f ca="1">SUM(B4:B14)</f>
        <v>88241.704105128505</v>
      </c>
      <c r="C15" s="457">
        <f t="shared" ref="C15:Q15" ca="1" si="1">SUM(C4:C14)</f>
        <v>0</v>
      </c>
      <c r="D15" s="457">
        <f t="shared" ca="1" si="1"/>
        <v>125322.6898789532</v>
      </c>
      <c r="E15" s="457">
        <f t="shared" si="1"/>
        <v>2743.0768368904269</v>
      </c>
      <c r="F15" s="457">
        <f t="shared" ca="1" si="1"/>
        <v>82224.516184097141</v>
      </c>
      <c r="G15" s="457">
        <f t="shared" si="1"/>
        <v>96027.230386644063</v>
      </c>
      <c r="H15" s="457">
        <f t="shared" si="1"/>
        <v>14114.820137564104</v>
      </c>
      <c r="I15" s="457">
        <f t="shared" si="1"/>
        <v>0</v>
      </c>
      <c r="J15" s="457">
        <f t="shared" si="1"/>
        <v>1576.5431062504717</v>
      </c>
      <c r="K15" s="457">
        <f t="shared" si="1"/>
        <v>0</v>
      </c>
      <c r="L15" s="457">
        <f t="shared" ca="1" si="1"/>
        <v>0</v>
      </c>
      <c r="M15" s="457">
        <f t="shared" si="1"/>
        <v>4918.9673676948969</v>
      </c>
      <c r="N15" s="457">
        <f t="shared" ca="1" si="1"/>
        <v>13869.287267554017</v>
      </c>
      <c r="O15" s="457">
        <f t="shared" si="1"/>
        <v>123.50333333333334</v>
      </c>
      <c r="P15" s="457">
        <f t="shared" si="1"/>
        <v>552.93333333333339</v>
      </c>
      <c r="Q15" s="457">
        <f t="shared" ca="1" si="1"/>
        <v>429715.27193744358</v>
      </c>
    </row>
    <row r="17" spans="1:17">
      <c r="A17" s="460" t="s">
        <v>557</v>
      </c>
      <c r="B17" s="764">
        <f ca="1">huishoudens!B10</f>
        <v>0.20846292590353324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8560.8149328490908</v>
      </c>
      <c r="C22" s="447">
        <f t="shared" ref="C22:C32" ca="1" si="3">C4*$C$17</f>
        <v>0</v>
      </c>
      <c r="D22" s="447">
        <f t="shared" ref="D22:D32" si="4">D4*$D$17</f>
        <v>14522.973219656002</v>
      </c>
      <c r="E22" s="447">
        <f t="shared" ref="E22:E32" si="5">E4*$E$17</f>
        <v>447.51137790222253</v>
      </c>
      <c r="F22" s="447">
        <f t="shared" ref="F22:F32" si="6">F4*$F$17</f>
        <v>16047.432373127929</v>
      </c>
      <c r="G22" s="447">
        <f t="shared" ref="G22:G32" si="7">G4*$G$17</f>
        <v>0</v>
      </c>
      <c r="H22" s="447">
        <f t="shared" ref="H22:H32" si="8">H4*$H$17</f>
        <v>0</v>
      </c>
      <c r="I22" s="447">
        <f t="shared" ref="I22:I32" si="9">I4*$I$17</f>
        <v>0</v>
      </c>
      <c r="J22" s="447">
        <f t="shared" ref="J22:J32" si="10">J4*$J$17</f>
        <v>386.05233834196753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39964.784241877205</v>
      </c>
    </row>
    <row r="23" spans="1:17">
      <c r="A23" s="446" t="s">
        <v>149</v>
      </c>
      <c r="B23" s="447">
        <f t="shared" ca="1" si="2"/>
        <v>5460.9121093918066</v>
      </c>
      <c r="C23" s="447">
        <f t="shared" ca="1" si="3"/>
        <v>0</v>
      </c>
      <c r="D23" s="447">
        <f t="shared" ca="1" si="4"/>
        <v>6879.481347508</v>
      </c>
      <c r="E23" s="447">
        <f t="shared" si="5"/>
        <v>47.667280713950063</v>
      </c>
      <c r="F23" s="447">
        <f t="shared" ca="1" si="6"/>
        <v>1629.2142687368828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14017.275006350639</v>
      </c>
    </row>
    <row r="24" spans="1:17">
      <c r="A24" s="446" t="s">
        <v>187</v>
      </c>
      <c r="B24" s="447">
        <f t="shared" ca="1" si="2"/>
        <v>291.04572246314387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291.04572246314387</v>
      </c>
    </row>
    <row r="25" spans="1:17">
      <c r="A25" s="446" t="s">
        <v>105</v>
      </c>
      <c r="B25" s="447">
        <f t="shared" ca="1" si="2"/>
        <v>790.35070255121309</v>
      </c>
      <c r="C25" s="447">
        <f t="shared" ca="1" si="3"/>
        <v>0</v>
      </c>
      <c r="D25" s="447">
        <f t="shared" si="4"/>
        <v>2867.3182928280003</v>
      </c>
      <c r="E25" s="447">
        <f t="shared" si="5"/>
        <v>8.1077185420348794</v>
      </c>
      <c r="F25" s="447">
        <f t="shared" si="6"/>
        <v>3303.4179053059188</v>
      </c>
      <c r="G25" s="447">
        <f t="shared" si="7"/>
        <v>0</v>
      </c>
      <c r="H25" s="447">
        <f t="shared" si="8"/>
        <v>0</v>
      </c>
      <c r="I25" s="447">
        <f t="shared" si="9"/>
        <v>0</v>
      </c>
      <c r="J25" s="447">
        <f t="shared" si="10"/>
        <v>166.02789159944518</v>
      </c>
      <c r="K25" s="447">
        <f t="shared" si="11"/>
        <v>0</v>
      </c>
      <c r="L25" s="447">
        <f t="shared" si="12"/>
        <v>0</v>
      </c>
      <c r="M25" s="447">
        <f t="shared" si="13"/>
        <v>0</v>
      </c>
      <c r="N25" s="447">
        <f t="shared" si="14"/>
        <v>0</v>
      </c>
      <c r="O25" s="447">
        <f t="shared" si="15"/>
        <v>0</v>
      </c>
      <c r="P25" s="448">
        <f t="shared" si="16"/>
        <v>0</v>
      </c>
      <c r="Q25" s="446">
        <f t="shared" ca="1" si="17"/>
        <v>7135.2225108266121</v>
      </c>
    </row>
    <row r="26" spans="1:17">
      <c r="A26" s="446" t="s">
        <v>665</v>
      </c>
      <c r="B26" s="447">
        <f t="shared" ca="1" si="2"/>
        <v>3085.685948572801</v>
      </c>
      <c r="C26" s="447">
        <f t="shared" ca="1" si="3"/>
        <v>0</v>
      </c>
      <c r="D26" s="447">
        <f t="shared" si="4"/>
        <v>526.47608934800007</v>
      </c>
      <c r="E26" s="447">
        <f t="shared" si="5"/>
        <v>32.437946728294015</v>
      </c>
      <c r="F26" s="447">
        <f t="shared" si="6"/>
        <v>973.88127398320921</v>
      </c>
      <c r="G26" s="447">
        <f t="shared" si="7"/>
        <v>0</v>
      </c>
      <c r="H26" s="447">
        <f t="shared" si="8"/>
        <v>0</v>
      </c>
      <c r="I26" s="447">
        <f t="shared" si="9"/>
        <v>0</v>
      </c>
      <c r="J26" s="447">
        <f t="shared" si="10"/>
        <v>6.016029671254282</v>
      </c>
      <c r="K26" s="447">
        <f t="shared" si="11"/>
        <v>0</v>
      </c>
      <c r="L26" s="447">
        <f t="shared" si="12"/>
        <v>0</v>
      </c>
      <c r="M26" s="447">
        <f t="shared" si="13"/>
        <v>0</v>
      </c>
      <c r="N26" s="447">
        <f t="shared" si="14"/>
        <v>0</v>
      </c>
      <c r="O26" s="447">
        <f t="shared" si="15"/>
        <v>0</v>
      </c>
      <c r="P26" s="448">
        <f t="shared" si="16"/>
        <v>0</v>
      </c>
      <c r="Q26" s="446">
        <f t="shared" ca="1" si="17"/>
        <v>4624.4972883035589</v>
      </c>
    </row>
    <row r="27" spans="1:17" s="452" customFormat="1">
      <c r="A27" s="450" t="s">
        <v>562</v>
      </c>
      <c r="B27" s="758">
        <f t="shared" ca="1" si="2"/>
        <v>0.93732609222820906</v>
      </c>
      <c r="C27" s="451">
        <f t="shared" ca="1" si="3"/>
        <v>0</v>
      </c>
      <c r="D27" s="451">
        <f t="shared" si="4"/>
        <v>1.1827522085502258</v>
      </c>
      <c r="E27" s="451">
        <f t="shared" si="5"/>
        <v>86.954118087625403</v>
      </c>
      <c r="F27" s="451">
        <f t="shared" si="6"/>
        <v>0</v>
      </c>
      <c r="G27" s="451">
        <f t="shared" si="7"/>
        <v>25314.254809826078</v>
      </c>
      <c r="H27" s="451">
        <f t="shared" si="8"/>
        <v>3514.5902142534619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28917.919220467942</v>
      </c>
    </row>
    <row r="28" spans="1:17">
      <c r="A28" s="446" t="s">
        <v>552</v>
      </c>
      <c r="B28" s="447">
        <f t="shared" ca="1" si="2"/>
        <v>1.272282574032616</v>
      </c>
      <c r="C28" s="447">
        <f t="shared" ca="1" si="3"/>
        <v>0</v>
      </c>
      <c r="D28" s="447">
        <f t="shared" si="4"/>
        <v>0</v>
      </c>
      <c r="E28" s="447">
        <f t="shared" si="5"/>
        <v>0</v>
      </c>
      <c r="F28" s="447">
        <f t="shared" si="6"/>
        <v>0</v>
      </c>
      <c r="G28" s="447">
        <f t="shared" si="7"/>
        <v>325.01570340789112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326.28798598192373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204.10479997459399</v>
      </c>
      <c r="C32" s="447">
        <f t="shared" ca="1" si="3"/>
        <v>0</v>
      </c>
      <c r="D32" s="447">
        <f t="shared" si="4"/>
        <v>517.75165400000003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721.85645397459405</v>
      </c>
    </row>
    <row r="33" spans="1:17" s="459" customFormat="1">
      <c r="A33" s="456" t="s">
        <v>556</v>
      </c>
      <c r="B33" s="457">
        <f ca="1">SUM(B22:B32)</f>
        <v>18395.123824468912</v>
      </c>
      <c r="C33" s="457">
        <f t="shared" ref="C33:Q33" ca="1" si="18">SUM(C22:C32)</f>
        <v>0</v>
      </c>
      <c r="D33" s="457">
        <f t="shared" ca="1" si="18"/>
        <v>25315.183355548554</v>
      </c>
      <c r="E33" s="457">
        <f t="shared" si="18"/>
        <v>622.67844197412683</v>
      </c>
      <c r="F33" s="457">
        <f t="shared" ca="1" si="18"/>
        <v>21953.945821153942</v>
      </c>
      <c r="G33" s="457">
        <f t="shared" si="18"/>
        <v>25639.270513233969</v>
      </c>
      <c r="H33" s="457">
        <f t="shared" si="18"/>
        <v>3514.5902142534619</v>
      </c>
      <c r="I33" s="457">
        <f t="shared" si="18"/>
        <v>0</v>
      </c>
      <c r="J33" s="457">
        <f t="shared" si="18"/>
        <v>558.09625961266693</v>
      </c>
      <c r="K33" s="457">
        <f t="shared" si="18"/>
        <v>0</v>
      </c>
      <c r="L33" s="457">
        <f t="shared" ca="1" si="18"/>
        <v>0</v>
      </c>
      <c r="M33" s="457">
        <f t="shared" si="18"/>
        <v>0</v>
      </c>
      <c r="N33" s="457">
        <f t="shared" ca="1" si="18"/>
        <v>0</v>
      </c>
      <c r="O33" s="457">
        <f t="shared" si="18"/>
        <v>0</v>
      </c>
      <c r="P33" s="457">
        <f t="shared" si="18"/>
        <v>0</v>
      </c>
      <c r="Q33" s="457">
        <f t="shared" ca="1" si="18"/>
        <v>95998.888430245628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5005.8496957669195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5005.8496957669195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0.20846292590353324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0.20846292590353324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0.20846292590353324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0.20846292590353324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8479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2781</v>
      </c>
      <c r="C14" s="327"/>
      <c r="D14" s="327"/>
      <c r="E14" s="327"/>
      <c r="F14" s="327"/>
    </row>
    <row r="15" spans="1:6">
      <c r="A15" s="1293" t="s">
        <v>177</v>
      </c>
      <c r="B15" s="1294">
        <v>34</v>
      </c>
      <c r="C15" s="327"/>
      <c r="D15" s="327"/>
      <c r="E15" s="327"/>
      <c r="F15" s="327"/>
    </row>
    <row r="16" spans="1:6">
      <c r="A16" s="1293" t="s">
        <v>6</v>
      </c>
      <c r="B16" s="1294">
        <v>1156</v>
      </c>
      <c r="C16" s="327"/>
      <c r="D16" s="327"/>
      <c r="E16" s="327"/>
      <c r="F16" s="327"/>
    </row>
    <row r="17" spans="1:6">
      <c r="A17" s="1293" t="s">
        <v>7</v>
      </c>
      <c r="B17" s="1294">
        <v>1282</v>
      </c>
      <c r="C17" s="327"/>
      <c r="D17" s="327"/>
      <c r="E17" s="327"/>
      <c r="F17" s="327"/>
    </row>
    <row r="18" spans="1:6">
      <c r="A18" s="1293" t="s">
        <v>8</v>
      </c>
      <c r="B18" s="1294">
        <v>1747</v>
      </c>
      <c r="C18" s="327"/>
      <c r="D18" s="327"/>
      <c r="E18" s="327"/>
      <c r="F18" s="327"/>
    </row>
    <row r="19" spans="1:6">
      <c r="A19" s="1293" t="s">
        <v>9</v>
      </c>
      <c r="B19" s="1294">
        <v>1542</v>
      </c>
      <c r="C19" s="327"/>
      <c r="D19" s="327"/>
      <c r="E19" s="327"/>
      <c r="F19" s="327"/>
    </row>
    <row r="20" spans="1:6">
      <c r="A20" s="1293" t="s">
        <v>10</v>
      </c>
      <c r="B20" s="1294">
        <v>1139</v>
      </c>
      <c r="C20" s="327"/>
      <c r="D20" s="327"/>
      <c r="E20" s="327"/>
      <c r="F20" s="327"/>
    </row>
    <row r="21" spans="1:6">
      <c r="A21" s="1293" t="s">
        <v>11</v>
      </c>
      <c r="B21" s="1294">
        <v>14019</v>
      </c>
      <c r="C21" s="327"/>
      <c r="D21" s="327"/>
      <c r="E21" s="327"/>
      <c r="F21" s="327"/>
    </row>
    <row r="22" spans="1:6">
      <c r="A22" s="1293" t="s">
        <v>12</v>
      </c>
      <c r="B22" s="1294">
        <v>79480</v>
      </c>
      <c r="C22" s="327"/>
      <c r="D22" s="327"/>
      <c r="E22" s="327"/>
      <c r="F22" s="327"/>
    </row>
    <row r="23" spans="1:6">
      <c r="A23" s="1293" t="s">
        <v>13</v>
      </c>
      <c r="B23" s="1294">
        <v>767</v>
      </c>
      <c r="C23" s="327"/>
      <c r="D23" s="327"/>
      <c r="E23" s="327"/>
      <c r="F23" s="327"/>
    </row>
    <row r="24" spans="1:6">
      <c r="A24" s="1293" t="s">
        <v>14</v>
      </c>
      <c r="B24" s="1294">
        <v>20</v>
      </c>
      <c r="C24" s="327"/>
      <c r="D24" s="327"/>
      <c r="E24" s="327"/>
      <c r="F24" s="327"/>
    </row>
    <row r="25" spans="1:6">
      <c r="A25" s="1293" t="s">
        <v>15</v>
      </c>
      <c r="B25" s="1294">
        <v>3474</v>
      </c>
      <c r="C25" s="327"/>
      <c r="D25" s="327"/>
      <c r="E25" s="327"/>
      <c r="F25" s="327"/>
    </row>
    <row r="26" spans="1:6">
      <c r="A26" s="1293" t="s">
        <v>16</v>
      </c>
      <c r="B26" s="1294">
        <v>283</v>
      </c>
      <c r="C26" s="327"/>
      <c r="D26" s="327"/>
      <c r="E26" s="327"/>
      <c r="F26" s="327"/>
    </row>
    <row r="27" spans="1:6">
      <c r="A27" s="1293" t="s">
        <v>17</v>
      </c>
      <c r="B27" s="1294">
        <v>8</v>
      </c>
      <c r="C27" s="327"/>
      <c r="D27" s="327"/>
      <c r="E27" s="327"/>
      <c r="F27" s="327"/>
    </row>
    <row r="28" spans="1:6">
      <c r="A28" s="1293" t="s">
        <v>18</v>
      </c>
      <c r="B28" s="1295">
        <v>37147</v>
      </c>
      <c r="C28" s="327"/>
      <c r="D28" s="327"/>
      <c r="E28" s="327"/>
      <c r="F28" s="327"/>
    </row>
    <row r="29" spans="1:6">
      <c r="A29" s="1293" t="s">
        <v>955</v>
      </c>
      <c r="B29" s="1295">
        <v>287</v>
      </c>
      <c r="C29" s="327"/>
      <c r="D29" s="327"/>
      <c r="E29" s="327"/>
      <c r="F29" s="327"/>
    </row>
    <row r="30" spans="1:6">
      <c r="A30" s="1288" t="s">
        <v>956</v>
      </c>
      <c r="B30" s="1296">
        <v>63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3121593</v>
      </c>
    </row>
    <row r="37" spans="1:6">
      <c r="A37" s="1293" t="s">
        <v>24</v>
      </c>
      <c r="B37" s="1293" t="s">
        <v>27</v>
      </c>
      <c r="C37" s="1294">
        <v>0</v>
      </c>
      <c r="D37" s="1294">
        <v>0</v>
      </c>
      <c r="E37" s="1294">
        <v>0</v>
      </c>
      <c r="F37" s="1294">
        <v>0</v>
      </c>
    </row>
    <row r="38" spans="1:6">
      <c r="A38" s="1293" t="s">
        <v>24</v>
      </c>
      <c r="B38" s="1293" t="s">
        <v>28</v>
      </c>
      <c r="C38" s="1294">
        <v>3</v>
      </c>
      <c r="D38" s="1294">
        <v>740353</v>
      </c>
      <c r="E38" s="1294">
        <v>0</v>
      </c>
      <c r="F38" s="1294">
        <v>0</v>
      </c>
    </row>
    <row r="39" spans="1:6">
      <c r="A39" s="1293" t="s">
        <v>29</v>
      </c>
      <c r="B39" s="1293" t="s">
        <v>30</v>
      </c>
      <c r="C39" s="1294">
        <v>4906</v>
      </c>
      <c r="D39" s="1294">
        <v>79707214</v>
      </c>
      <c r="E39" s="1294">
        <v>8405</v>
      </c>
      <c r="F39" s="1294">
        <v>37127882</v>
      </c>
    </row>
    <row r="40" spans="1:6">
      <c r="A40" s="1293" t="s">
        <v>29</v>
      </c>
      <c r="B40" s="1293" t="s">
        <v>28</v>
      </c>
      <c r="C40" s="1294">
        <v>0</v>
      </c>
      <c r="D40" s="1294">
        <v>0</v>
      </c>
      <c r="E40" s="1294">
        <v>0</v>
      </c>
      <c r="F40" s="1294">
        <v>0</v>
      </c>
    </row>
    <row r="41" spans="1:6">
      <c r="A41" s="1293" t="s">
        <v>31</v>
      </c>
      <c r="B41" s="1293" t="s">
        <v>32</v>
      </c>
      <c r="C41" s="1294">
        <v>65</v>
      </c>
      <c r="D41" s="1294">
        <v>1505372</v>
      </c>
      <c r="E41" s="1294">
        <v>213</v>
      </c>
      <c r="F41" s="1294">
        <v>2792196</v>
      </c>
    </row>
    <row r="42" spans="1:6">
      <c r="A42" s="1293" t="s">
        <v>31</v>
      </c>
      <c r="B42" s="1293" t="s">
        <v>33</v>
      </c>
      <c r="C42" s="1294">
        <v>0</v>
      </c>
      <c r="D42" s="1294">
        <v>0</v>
      </c>
      <c r="E42" s="1294">
        <v>5</v>
      </c>
      <c r="F42" s="1294">
        <v>94515</v>
      </c>
    </row>
    <row r="43" spans="1:6">
      <c r="A43" s="1293" t="s">
        <v>31</v>
      </c>
      <c r="B43" s="1293" t="s">
        <v>34</v>
      </c>
      <c r="C43" s="1294">
        <v>0</v>
      </c>
      <c r="D43" s="1294">
        <v>0</v>
      </c>
      <c r="E43" s="1294">
        <v>0</v>
      </c>
      <c r="F43" s="1294">
        <v>0</v>
      </c>
    </row>
    <row r="44" spans="1:6">
      <c r="A44" s="1293" t="s">
        <v>31</v>
      </c>
      <c r="B44" s="1293" t="s">
        <v>35</v>
      </c>
      <c r="C44" s="1294">
        <v>15</v>
      </c>
      <c r="D44" s="1294">
        <v>371809</v>
      </c>
      <c r="E44" s="1294">
        <v>37</v>
      </c>
      <c r="F44" s="1294">
        <v>794958</v>
      </c>
    </row>
    <row r="45" spans="1:6">
      <c r="A45" s="1293" t="s">
        <v>31</v>
      </c>
      <c r="B45" s="1293" t="s">
        <v>36</v>
      </c>
      <c r="C45" s="1294">
        <v>0</v>
      </c>
      <c r="D45" s="1294">
        <v>0</v>
      </c>
      <c r="E45" s="1294">
        <v>4</v>
      </c>
      <c r="F45" s="1294">
        <v>553200</v>
      </c>
    </row>
    <row r="46" spans="1:6">
      <c r="A46" s="1293" t="s">
        <v>31</v>
      </c>
      <c r="B46" s="1293" t="s">
        <v>37</v>
      </c>
      <c r="C46" s="1294">
        <v>0</v>
      </c>
      <c r="D46" s="1294">
        <v>0</v>
      </c>
      <c r="E46" s="1294">
        <v>0</v>
      </c>
      <c r="F46" s="1294">
        <v>0</v>
      </c>
    </row>
    <row r="47" spans="1:6">
      <c r="A47" s="1293" t="s">
        <v>31</v>
      </c>
      <c r="B47" s="1293" t="s">
        <v>38</v>
      </c>
      <c r="C47" s="1294">
        <v>7</v>
      </c>
      <c r="D47" s="1294">
        <v>398482</v>
      </c>
      <c r="E47" s="1294">
        <v>8</v>
      </c>
      <c r="F47" s="1294">
        <v>85106</v>
      </c>
    </row>
    <row r="48" spans="1:6">
      <c r="A48" s="1293" t="s">
        <v>31</v>
      </c>
      <c r="B48" s="1293" t="s">
        <v>28</v>
      </c>
      <c r="C48" s="1294">
        <v>4</v>
      </c>
      <c r="D48" s="1294">
        <v>163172</v>
      </c>
      <c r="E48" s="1294">
        <v>0</v>
      </c>
      <c r="F48" s="1294">
        <v>0</v>
      </c>
    </row>
    <row r="49" spans="1:6">
      <c r="A49" s="1293" t="s">
        <v>31</v>
      </c>
      <c r="B49" s="1293" t="s">
        <v>39</v>
      </c>
      <c r="C49" s="1294">
        <v>0</v>
      </c>
      <c r="D49" s="1294">
        <v>0</v>
      </c>
      <c r="E49" s="1294">
        <v>5</v>
      </c>
      <c r="F49" s="1294">
        <v>150277</v>
      </c>
    </row>
    <row r="50" spans="1:6">
      <c r="A50" s="1293" t="s">
        <v>31</v>
      </c>
      <c r="B50" s="1293" t="s">
        <v>40</v>
      </c>
      <c r="C50" s="1294">
        <v>13</v>
      </c>
      <c r="D50" s="1294">
        <v>450652</v>
      </c>
      <c r="E50" s="1294">
        <v>34</v>
      </c>
      <c r="F50" s="1294">
        <v>10331833</v>
      </c>
    </row>
    <row r="51" spans="1:6">
      <c r="A51" s="1293" t="s">
        <v>41</v>
      </c>
      <c r="B51" s="1293" t="s">
        <v>42</v>
      </c>
      <c r="C51" s="1294">
        <v>22</v>
      </c>
      <c r="D51" s="1294">
        <v>15736857</v>
      </c>
      <c r="E51" s="1294">
        <v>171</v>
      </c>
      <c r="F51" s="1294">
        <v>3791325</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116</v>
      </c>
      <c r="F54" s="1294">
        <v>1396151</v>
      </c>
    </row>
    <row r="55" spans="1:6">
      <c r="A55" s="1293" t="s">
        <v>45</v>
      </c>
      <c r="B55" s="1293" t="s">
        <v>28</v>
      </c>
      <c r="C55" s="1294">
        <v>0</v>
      </c>
      <c r="D55" s="1294">
        <v>0</v>
      </c>
      <c r="E55" s="1294">
        <v>0</v>
      </c>
      <c r="F55" s="1294">
        <v>0</v>
      </c>
    </row>
    <row r="56" spans="1:6">
      <c r="A56" s="1293" t="s">
        <v>47</v>
      </c>
      <c r="B56" s="1293" t="s">
        <v>28</v>
      </c>
      <c r="C56" s="1294">
        <v>70</v>
      </c>
      <c r="D56" s="1294">
        <v>2563127</v>
      </c>
      <c r="E56" s="1294">
        <v>137</v>
      </c>
      <c r="F56" s="1294">
        <v>979094</v>
      </c>
    </row>
    <row r="57" spans="1:6">
      <c r="A57" s="1293" t="s">
        <v>48</v>
      </c>
      <c r="B57" s="1293" t="s">
        <v>49</v>
      </c>
      <c r="C57" s="1294">
        <v>71</v>
      </c>
      <c r="D57" s="1294">
        <v>7788809</v>
      </c>
      <c r="E57" s="1294">
        <v>105</v>
      </c>
      <c r="F57" s="1294">
        <v>1816330</v>
      </c>
    </row>
    <row r="58" spans="1:6">
      <c r="A58" s="1293" t="s">
        <v>48</v>
      </c>
      <c r="B58" s="1293" t="s">
        <v>50</v>
      </c>
      <c r="C58" s="1294">
        <v>39</v>
      </c>
      <c r="D58" s="1294">
        <v>8847228</v>
      </c>
      <c r="E58" s="1294">
        <v>70</v>
      </c>
      <c r="F58" s="1294">
        <v>4739894</v>
      </c>
    </row>
    <row r="59" spans="1:6">
      <c r="A59" s="1293" t="s">
        <v>48</v>
      </c>
      <c r="B59" s="1293" t="s">
        <v>51</v>
      </c>
      <c r="C59" s="1294">
        <v>166</v>
      </c>
      <c r="D59" s="1294">
        <v>5803440</v>
      </c>
      <c r="E59" s="1294">
        <v>359</v>
      </c>
      <c r="F59" s="1294">
        <v>10160658</v>
      </c>
    </row>
    <row r="60" spans="1:6">
      <c r="A60" s="1293" t="s">
        <v>48</v>
      </c>
      <c r="B60" s="1293" t="s">
        <v>52</v>
      </c>
      <c r="C60" s="1294">
        <v>59</v>
      </c>
      <c r="D60" s="1294">
        <v>2135112</v>
      </c>
      <c r="E60" s="1294">
        <v>86</v>
      </c>
      <c r="F60" s="1294">
        <v>2426725</v>
      </c>
    </row>
    <row r="61" spans="1:6">
      <c r="A61" s="1293" t="s">
        <v>48</v>
      </c>
      <c r="B61" s="1293" t="s">
        <v>53</v>
      </c>
      <c r="C61" s="1294">
        <v>98</v>
      </c>
      <c r="D61" s="1294">
        <v>3690359</v>
      </c>
      <c r="E61" s="1294">
        <v>369</v>
      </c>
      <c r="F61" s="1294">
        <v>5306783</v>
      </c>
    </row>
    <row r="62" spans="1:6">
      <c r="A62" s="1293" t="s">
        <v>48</v>
      </c>
      <c r="B62" s="1293" t="s">
        <v>54</v>
      </c>
      <c r="C62" s="1294">
        <v>27</v>
      </c>
      <c r="D62" s="1294">
        <v>9492079</v>
      </c>
      <c r="E62" s="1294">
        <v>25</v>
      </c>
      <c r="F62" s="1294">
        <v>1745693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27320</v>
      </c>
      <c r="E65" s="1294">
        <v>1</v>
      </c>
      <c r="F65" s="1294">
        <v>175034</v>
      </c>
    </row>
    <row r="66" spans="1:6">
      <c r="A66" s="1293" t="s">
        <v>55</v>
      </c>
      <c r="B66" s="1293" t="s">
        <v>57</v>
      </c>
      <c r="C66" s="1294">
        <v>0</v>
      </c>
      <c r="D66" s="1294">
        <v>0</v>
      </c>
      <c r="E66" s="1294">
        <v>0</v>
      </c>
      <c r="F66" s="1294">
        <v>0</v>
      </c>
    </row>
    <row r="67" spans="1:6">
      <c r="A67" s="1293" t="s">
        <v>55</v>
      </c>
      <c r="B67" s="1293" t="s">
        <v>58</v>
      </c>
      <c r="C67" s="1294">
        <v>0</v>
      </c>
      <c r="D67" s="1294">
        <v>0</v>
      </c>
      <c r="E67" s="1294">
        <v>3</v>
      </c>
      <c r="F67" s="1294">
        <v>87832</v>
      </c>
    </row>
    <row r="68" spans="1:6">
      <c r="A68" s="1288" t="s">
        <v>55</v>
      </c>
      <c r="B68" s="1288" t="s">
        <v>59</v>
      </c>
      <c r="C68" s="1296">
        <v>6</v>
      </c>
      <c r="D68" s="1296">
        <v>88371</v>
      </c>
      <c r="E68" s="1296">
        <v>19</v>
      </c>
      <c r="F68" s="1296">
        <v>134620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60959559</v>
      </c>
      <c r="E73" s="445"/>
      <c r="F73" s="327"/>
    </row>
    <row r="74" spans="1:6">
      <c r="A74" s="1293" t="s">
        <v>63</v>
      </c>
      <c r="B74" s="1293" t="s">
        <v>749</v>
      </c>
      <c r="C74" s="1306" t="s">
        <v>743</v>
      </c>
      <c r="D74" s="1294">
        <v>9324657.2825454213</v>
      </c>
      <c r="E74" s="445"/>
      <c r="F74" s="327"/>
    </row>
    <row r="75" spans="1:6">
      <c r="A75" s="1293" t="s">
        <v>64</v>
      </c>
      <c r="B75" s="1293" t="s">
        <v>748</v>
      </c>
      <c r="C75" s="1306" t="s">
        <v>744</v>
      </c>
      <c r="D75" s="1294">
        <v>30157730</v>
      </c>
      <c r="E75" s="445"/>
      <c r="F75" s="327"/>
    </row>
    <row r="76" spans="1:6">
      <c r="A76" s="1293" t="s">
        <v>64</v>
      </c>
      <c r="B76" s="1293" t="s">
        <v>749</v>
      </c>
      <c r="C76" s="1306" t="s">
        <v>745</v>
      </c>
      <c r="D76" s="1294">
        <v>1694835.2825454208</v>
      </c>
      <c r="E76" s="445"/>
      <c r="F76" s="327"/>
    </row>
    <row r="77" spans="1:6">
      <c r="A77" s="1293" t="s">
        <v>65</v>
      </c>
      <c r="B77" s="1293" t="s">
        <v>748</v>
      </c>
      <c r="C77" s="1306" t="s">
        <v>746</v>
      </c>
      <c r="D77" s="1294">
        <v>16736246</v>
      </c>
      <c r="E77" s="445"/>
      <c r="F77" s="327"/>
    </row>
    <row r="78" spans="1:6">
      <c r="A78" s="1288" t="s">
        <v>65</v>
      </c>
      <c r="B78" s="1288" t="s">
        <v>749</v>
      </c>
      <c r="C78" s="1288" t="s">
        <v>747</v>
      </c>
      <c r="D78" s="1296">
        <v>2399248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336241.43490915815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3938.4845769069625</v>
      </c>
      <c r="C91" s="327"/>
      <c r="D91" s="327"/>
      <c r="E91" s="327"/>
      <c r="F91" s="327"/>
    </row>
    <row r="92" spans="1:6">
      <c r="A92" s="1288" t="s">
        <v>68</v>
      </c>
      <c r="B92" s="1289">
        <v>1067.3651188599565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2900</v>
      </c>
      <c r="C97" s="327"/>
      <c r="D97" s="327"/>
      <c r="E97" s="327"/>
      <c r="F97" s="327"/>
    </row>
    <row r="98" spans="1:6">
      <c r="A98" s="1293" t="s">
        <v>71</v>
      </c>
      <c r="B98" s="1294">
        <v>0</v>
      </c>
      <c r="C98" s="327"/>
      <c r="D98" s="327"/>
      <c r="E98" s="327"/>
      <c r="F98" s="327"/>
    </row>
    <row r="99" spans="1:6">
      <c r="A99" s="1293" t="s">
        <v>72</v>
      </c>
      <c r="B99" s="1294">
        <v>129</v>
      </c>
      <c r="C99" s="327"/>
      <c r="D99" s="327"/>
      <c r="E99" s="327"/>
      <c r="F99" s="327"/>
    </row>
    <row r="100" spans="1:6">
      <c r="A100" s="1293" t="s">
        <v>73</v>
      </c>
      <c r="B100" s="1294">
        <v>998</v>
      </c>
      <c r="C100" s="327"/>
      <c r="D100" s="327"/>
      <c r="E100" s="327"/>
      <c r="F100" s="327"/>
    </row>
    <row r="101" spans="1:6">
      <c r="A101" s="1293" t="s">
        <v>74</v>
      </c>
      <c r="B101" s="1294">
        <v>144</v>
      </c>
      <c r="C101" s="327"/>
      <c r="D101" s="327"/>
      <c r="E101" s="327"/>
      <c r="F101" s="327"/>
    </row>
    <row r="102" spans="1:6">
      <c r="A102" s="1293" t="s">
        <v>75</v>
      </c>
      <c r="B102" s="1294">
        <v>105</v>
      </c>
      <c r="C102" s="327"/>
      <c r="D102" s="327"/>
      <c r="E102" s="327"/>
      <c r="F102" s="327"/>
    </row>
    <row r="103" spans="1:6">
      <c r="A103" s="1293" t="s">
        <v>76</v>
      </c>
      <c r="B103" s="1294">
        <v>238</v>
      </c>
      <c r="C103" s="327"/>
      <c r="D103" s="327"/>
      <c r="E103" s="327"/>
      <c r="F103" s="327"/>
    </row>
    <row r="104" spans="1:6">
      <c r="A104" s="1293" t="s">
        <v>77</v>
      </c>
      <c r="B104" s="1294">
        <v>2766</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18</v>
      </c>
      <c r="C123" s="1294">
        <v>14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63</v>
      </c>
      <c r="C129" s="327"/>
      <c r="D129" s="327"/>
      <c r="E129" s="327"/>
      <c r="F129" s="327"/>
    </row>
    <row r="130" spans="1:6">
      <c r="A130" s="1293" t="s">
        <v>284</v>
      </c>
      <c r="B130" s="1294">
        <v>2</v>
      </c>
      <c r="C130" s="327"/>
      <c r="D130" s="327"/>
      <c r="E130" s="327"/>
      <c r="F130" s="327"/>
    </row>
    <row r="131" spans="1:6">
      <c r="A131" s="1293" t="s">
        <v>285</v>
      </c>
      <c r="B131" s="1294">
        <v>1</v>
      </c>
      <c r="C131" s="327"/>
      <c r="D131" s="327"/>
      <c r="E131" s="327"/>
      <c r="F131" s="327"/>
    </row>
    <row r="132" spans="1:6">
      <c r="A132" s="1288" t="s">
        <v>286</v>
      </c>
      <c r="B132" s="1289">
        <v>10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88241.704105128505</v>
      </c>
      <c r="C3" s="44" t="s">
        <v>163</v>
      </c>
      <c r="D3" s="44"/>
      <c r="E3" s="157"/>
      <c r="F3" s="44"/>
      <c r="G3" s="44"/>
      <c r="H3" s="44"/>
      <c r="I3" s="44"/>
      <c r="J3" s="44"/>
      <c r="K3" s="97"/>
    </row>
    <row r="4" spans="1:11">
      <c r="A4" s="352" t="s">
        <v>164</v>
      </c>
      <c r="B4" s="50">
        <f>IF(ISERROR('SEAP template'!B78+'SEAP template'!C78),0,'SEAP template'!B78+'SEAP template'!C78)</f>
        <v>5005.8496957669195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0.20846292590353324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1396.1510000000001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1396.1510000000001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0.20846292590353324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291.04572246314387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37127.881999999998</v>
      </c>
      <c r="C5" s="18">
        <f>IF(ISERROR('Eigen informatie GS &amp; warmtenet'!B57),0,'Eigen informatie GS &amp; warmtenet'!B57)</f>
        <v>0</v>
      </c>
      <c r="D5" s="31">
        <f>(SUM(HH_hh_gas_kWh,HH_rest_gas_kWh)/1000)*0.902</f>
        <v>71895.907028000001</v>
      </c>
      <c r="E5" s="18">
        <f>B32*B41</f>
        <v>1971.4157616837997</v>
      </c>
      <c r="F5" s="18">
        <f>B36*B45</f>
        <v>60102.742970516585</v>
      </c>
      <c r="G5" s="19"/>
      <c r="H5" s="18"/>
      <c r="I5" s="18"/>
      <c r="J5" s="18">
        <f>B35*B44+C35*C44</f>
        <v>1090.5433286496259</v>
      </c>
      <c r="K5" s="18"/>
      <c r="L5" s="18"/>
      <c r="M5" s="18"/>
      <c r="N5" s="18">
        <f>B34*B43+C34*C43</f>
        <v>12322.953400002643</v>
      </c>
      <c r="O5" s="18">
        <f>B52*B53*B54</f>
        <v>120.37666666666668</v>
      </c>
      <c r="P5" s="18">
        <f>B60*B61*B62/1000-B60*B61*B62/1000/B63</f>
        <v>533.86666666666667</v>
      </c>
    </row>
    <row r="6" spans="1:16">
      <c r="A6" s="17" t="s">
        <v>622</v>
      </c>
      <c r="B6" s="766">
        <f>kWh_PV_kleiner_dan_10kW</f>
        <v>3938.4845769069625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41066.366576906963</v>
      </c>
      <c r="C8" s="22">
        <f>C5</f>
        <v>0</v>
      </c>
      <c r="D8" s="22">
        <f>D5</f>
        <v>71895.907028000001</v>
      </c>
      <c r="E8" s="22">
        <f>E5</f>
        <v>1971.4157616837997</v>
      </c>
      <c r="F8" s="22">
        <f>F5</f>
        <v>60102.742970516585</v>
      </c>
      <c r="G8" s="22"/>
      <c r="H8" s="22"/>
      <c r="I8" s="22"/>
      <c r="J8" s="22">
        <f>J5</f>
        <v>1090.5433286496259</v>
      </c>
      <c r="K8" s="22"/>
      <c r="L8" s="22">
        <f>L5</f>
        <v>0</v>
      </c>
      <c r="M8" s="22">
        <f>M5</f>
        <v>0</v>
      </c>
      <c r="N8" s="22">
        <f>N5</f>
        <v>12322.953400002643</v>
      </c>
      <c r="O8" s="22">
        <f>O5</f>
        <v>120.37666666666668</v>
      </c>
      <c r="P8" s="22">
        <f>P5</f>
        <v>533.86666666666667</v>
      </c>
    </row>
    <row r="9" spans="1:16">
      <c r="B9" s="20"/>
      <c r="C9" s="20"/>
      <c r="D9" s="258"/>
      <c r="E9" s="20"/>
      <c r="F9" s="20"/>
      <c r="G9" s="20"/>
      <c r="H9" s="20"/>
      <c r="I9" s="20"/>
      <c r="J9" s="20"/>
      <c r="K9" s="20"/>
      <c r="L9" s="20"/>
      <c r="M9" s="20"/>
      <c r="N9" s="20"/>
      <c r="O9" s="20"/>
      <c r="P9" s="20"/>
    </row>
    <row r="10" spans="1:16">
      <c r="A10" s="25" t="s">
        <v>207</v>
      </c>
      <c r="B10" s="26">
        <f ca="1">'EF ele_warmte'!B12</f>
        <v>0.20846292590353324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8560.8149328490908</v>
      </c>
      <c r="C12" s="24">
        <f ca="1">C10*C8</f>
        <v>0</v>
      </c>
      <c r="D12" s="24">
        <f>D8*D10</f>
        <v>14522.973219656002</v>
      </c>
      <c r="E12" s="24">
        <f>E10*E8</f>
        <v>447.51137790222253</v>
      </c>
      <c r="F12" s="24">
        <f>F10*F8</f>
        <v>16047.432373127929</v>
      </c>
      <c r="G12" s="24"/>
      <c r="H12" s="24"/>
      <c r="I12" s="24"/>
      <c r="J12" s="24">
        <f>J10*J8</f>
        <v>386.05233834196753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8479</v>
      </c>
      <c r="C26" s="37"/>
      <c r="D26" s="228"/>
    </row>
    <row r="27" spans="1:5" s="16" customFormat="1">
      <c r="A27" s="230" t="s">
        <v>648</v>
      </c>
      <c r="B27" s="38">
        <f>SUM(HH_hh_gas_aantal,HH_rest_gas_aantal)</f>
        <v>4906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4660.7</v>
      </c>
      <c r="C31" s="35" t="s">
        <v>104</v>
      </c>
      <c r="D31" s="174"/>
    </row>
    <row r="32" spans="1:5">
      <c r="A32" s="171" t="s">
        <v>72</v>
      </c>
      <c r="B32" s="34">
        <f>IF((B21*($B$26-($B$27-0.05*$B$27)-$B$60))&lt;0,0,B21*($B$26-($B$27-0.05*$B$27)-$B$60))</f>
        <v>93.14787545328808</v>
      </c>
      <c r="C32" s="35" t="s">
        <v>104</v>
      </c>
      <c r="D32" s="174"/>
    </row>
    <row r="33" spans="1:6">
      <c r="A33" s="171" t="s">
        <v>73</v>
      </c>
      <c r="B33" s="34">
        <f>IF((B22*($B$26-($B$27-0.05*$B$27)-$B$60))&lt;0,0,B22*($B$26-($B$27-0.05*$B$27)-$B$60))</f>
        <v>626.9944493088766</v>
      </c>
      <c r="C33" s="35" t="s">
        <v>104</v>
      </c>
      <c r="D33" s="174"/>
    </row>
    <row r="34" spans="1:6">
      <c r="A34" s="171" t="s">
        <v>74</v>
      </c>
      <c r="B34" s="34">
        <f>IF((B24*($B$26-($B$27-0.05*$B$27)-$B$60))&lt;0,0,B24*($B$26-($B$27-0.05*$B$27)-$B$60))</f>
        <v>159.01900819022961</v>
      </c>
      <c r="C34" s="34">
        <f>B26*C24</f>
        <v>1733.9752363060636</v>
      </c>
      <c r="D34" s="233"/>
    </row>
    <row r="35" spans="1:6">
      <c r="A35" s="171" t="s">
        <v>76</v>
      </c>
      <c r="B35" s="34">
        <f>IF((B19*($B$26-($B$27-0.05*$B$27)-$B$60))&lt;0,0,B19*($B$26-($B$27-0.05*$B$27)-$B$60))</f>
        <v>59.118234945610524</v>
      </c>
      <c r="C35" s="34">
        <f>B35/2</f>
        <v>29.559117472805262</v>
      </c>
      <c r="D35" s="233"/>
    </row>
    <row r="36" spans="1:6">
      <c r="A36" s="171" t="s">
        <v>77</v>
      </c>
      <c r="B36" s="34">
        <f>IF((B18*($B$26-($B$27-0.05*$B$27)-$B$60))&lt;0,0,B18*($B$26-($B$27-0.05*$B$27)-$B$60))</f>
        <v>2852.0204321019946</v>
      </c>
      <c r="C36" s="35" t="s">
        <v>104</v>
      </c>
      <c r="D36" s="174"/>
    </row>
    <row r="37" spans="1:6">
      <c r="A37" s="171" t="s">
        <v>78</v>
      </c>
      <c r="B37" s="34">
        <f>B60</f>
        <v>28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26196.082999999999</v>
      </c>
      <c r="C5" s="18">
        <f>IF(ISERROR('Eigen informatie GS &amp; warmtenet'!B58),0,'Eigen informatie GS &amp; warmtenet'!B58)</f>
        <v>0</v>
      </c>
      <c r="D5" s="31">
        <f>SUM(D6:D12)</f>
        <v>34056.838354</v>
      </c>
      <c r="E5" s="18">
        <f>SUM(E6:E12)</f>
        <v>209.98802076629983</v>
      </c>
      <c r="F5" s="18">
        <f>SUM(F6:F12)</f>
        <v>6101.9261001381374</v>
      </c>
      <c r="G5" s="19"/>
      <c r="H5" s="18"/>
      <c r="I5" s="18"/>
      <c r="J5" s="18">
        <f>SUM(J6:J12)</f>
        <v>0</v>
      </c>
      <c r="K5" s="18"/>
      <c r="L5" s="18"/>
      <c r="M5" s="18"/>
      <c r="N5" s="18">
        <f>SUM(N6:N12)</f>
        <v>1146.1577665526142</v>
      </c>
      <c r="O5" s="18">
        <f>B38*B39*B40</f>
        <v>3.1266666666666669</v>
      </c>
      <c r="P5" s="18">
        <f>B46*B47*B48/1000-B46*B47*B48/1000/B49</f>
        <v>19.066666666666666</v>
      </c>
      <c r="R5" s="33"/>
    </row>
    <row r="6" spans="1:18">
      <c r="A6" s="33" t="s">
        <v>53</v>
      </c>
      <c r="B6" s="38">
        <f>B26</f>
        <v>5306.7830000000004</v>
      </c>
      <c r="C6" s="34"/>
      <c r="D6" s="38">
        <f>IF(ISERROR(TER_kantoor_gas_kWh/1000),0,TER_kantoor_gas_kWh/1000)*0.902</f>
        <v>3328.703818</v>
      </c>
      <c r="E6" s="34">
        <f>$C$26*'E Balans VL '!I12/100/3.6*1000000</f>
        <v>8.7095064597498748</v>
      </c>
      <c r="F6" s="34">
        <f>$C$26*('E Balans VL '!L12+'E Balans VL '!N12)/100/3.6*1000000</f>
        <v>625.54485387657451</v>
      </c>
      <c r="G6" s="35"/>
      <c r="H6" s="34"/>
      <c r="I6" s="34"/>
      <c r="J6" s="34">
        <f>$C$26*('E Balans VL '!D12+'E Balans VL '!E12)/100/3.6*1000000</f>
        <v>0</v>
      </c>
      <c r="K6" s="34"/>
      <c r="L6" s="34"/>
      <c r="M6" s="34"/>
      <c r="N6" s="34">
        <f>$C$26*'E Balans VL '!Y12/100/3.6*1000000</f>
        <v>1.0722103754751942</v>
      </c>
      <c r="O6" s="34"/>
      <c r="P6" s="34"/>
      <c r="R6" s="33"/>
    </row>
    <row r="7" spans="1:18">
      <c r="A7" s="33" t="s">
        <v>52</v>
      </c>
      <c r="B7" s="38">
        <f t="shared" ref="B7:B12" si="0">B27</f>
        <v>2426.7249999999999</v>
      </c>
      <c r="C7" s="34"/>
      <c r="D7" s="38">
        <f>IF(ISERROR(TER_horeca_gas_kWh/1000),0,TER_horeca_gas_kWh/1000)*0.902</f>
        <v>1925.871024</v>
      </c>
      <c r="E7" s="34">
        <f>$C$27*'E Balans VL '!I9/100/3.6*1000000</f>
        <v>125.9294673421266</v>
      </c>
      <c r="F7" s="34">
        <f>$C$27*('E Balans VL '!L9+'E Balans VL '!N9)/100/3.6*1000000</f>
        <v>553.78040584038706</v>
      </c>
      <c r="G7" s="35"/>
      <c r="H7" s="34"/>
      <c r="I7" s="34"/>
      <c r="J7" s="34">
        <f>$C$27*('E Balans VL '!D9+'E Balans VL '!E9)/100/3.6*1000000</f>
        <v>0</v>
      </c>
      <c r="K7" s="34"/>
      <c r="L7" s="34"/>
      <c r="M7" s="34"/>
      <c r="N7" s="34">
        <f>$C$27*'E Balans VL '!Y9/100/3.6*1000000</f>
        <v>0.2562610479047509</v>
      </c>
      <c r="O7" s="34"/>
      <c r="P7" s="34"/>
      <c r="R7" s="33"/>
    </row>
    <row r="8" spans="1:18">
      <c r="A8" s="6" t="s">
        <v>51</v>
      </c>
      <c r="B8" s="38">
        <f t="shared" si="0"/>
        <v>10160.657999999999</v>
      </c>
      <c r="C8" s="34"/>
      <c r="D8" s="38">
        <f>IF(ISERROR(TER_handel_gas_kWh/1000),0,TER_handel_gas_kWh/1000)*0.902</f>
        <v>5234.7028799999998</v>
      </c>
      <c r="E8" s="34">
        <f>$C$28*'E Balans VL '!I13/100/3.6*1000000</f>
        <v>54.716391908918638</v>
      </c>
      <c r="F8" s="34">
        <f>$C$28*('E Balans VL '!L13+'E Balans VL '!N13)/100/3.6*1000000</f>
        <v>2072.0601137603207</v>
      </c>
      <c r="G8" s="35"/>
      <c r="H8" s="34"/>
      <c r="I8" s="34"/>
      <c r="J8" s="34">
        <f>$C$28*('E Balans VL '!D13+'E Balans VL '!E13)/100/3.6*1000000</f>
        <v>0</v>
      </c>
      <c r="K8" s="34"/>
      <c r="L8" s="34"/>
      <c r="M8" s="34"/>
      <c r="N8" s="34">
        <f>$C$28*'E Balans VL '!Y13/100/3.6*1000000</f>
        <v>50.523586544240324</v>
      </c>
      <c r="O8" s="34"/>
      <c r="P8" s="34"/>
      <c r="R8" s="33"/>
    </row>
    <row r="9" spans="1:18">
      <c r="A9" s="33" t="s">
        <v>50</v>
      </c>
      <c r="B9" s="38">
        <f t="shared" si="0"/>
        <v>4739.8940000000002</v>
      </c>
      <c r="C9" s="34"/>
      <c r="D9" s="38">
        <f>IF(ISERROR(TER_gezond_gas_kWh/1000),0,TER_gezond_gas_kWh/1000)*0.902</f>
        <v>7980.1996559999998</v>
      </c>
      <c r="E9" s="34">
        <f>$C$29*'E Balans VL '!I10/100/3.6*1000000</f>
        <v>4.6972888558514896</v>
      </c>
      <c r="F9" s="34">
        <f>$C$29*('E Balans VL '!L10+'E Balans VL '!N10)/100/3.6*1000000</f>
        <v>1644.6065957968733</v>
      </c>
      <c r="G9" s="35"/>
      <c r="H9" s="34"/>
      <c r="I9" s="34"/>
      <c r="J9" s="34">
        <f>$C$29*('E Balans VL '!D10+'E Balans VL '!E10)/100/3.6*1000000</f>
        <v>0</v>
      </c>
      <c r="K9" s="34"/>
      <c r="L9" s="34"/>
      <c r="M9" s="34"/>
      <c r="N9" s="34">
        <f>$C$29*'E Balans VL '!Y10/100/3.6*1000000</f>
        <v>40.843255982951405</v>
      </c>
      <c r="O9" s="34"/>
      <c r="P9" s="34"/>
      <c r="R9" s="33"/>
    </row>
    <row r="10" spans="1:18">
      <c r="A10" s="33" t="s">
        <v>49</v>
      </c>
      <c r="B10" s="38">
        <f t="shared" si="0"/>
        <v>1816.33</v>
      </c>
      <c r="C10" s="34"/>
      <c r="D10" s="38">
        <f>IF(ISERROR(TER_ander_gas_kWh/1000),0,TER_ander_gas_kWh/1000)*0.902</f>
        <v>7025.5057180000003</v>
      </c>
      <c r="E10" s="34">
        <f>$C$30*'E Balans VL '!I14/100/3.6*1000000</f>
        <v>14.859394692553789</v>
      </c>
      <c r="F10" s="34">
        <f>$C$30*('E Balans VL '!L14+'E Balans VL '!N14)/100/3.6*1000000</f>
        <v>531.02094614312136</v>
      </c>
      <c r="G10" s="35"/>
      <c r="H10" s="34"/>
      <c r="I10" s="34"/>
      <c r="J10" s="34">
        <f>$C$30*('E Balans VL '!D14+'E Balans VL '!E14)/100/3.6*1000000</f>
        <v>0</v>
      </c>
      <c r="K10" s="34"/>
      <c r="L10" s="34"/>
      <c r="M10" s="34"/>
      <c r="N10" s="34">
        <f>$C$30*'E Balans VL '!Y14/100/3.6*1000000</f>
        <v>1047.784087367065</v>
      </c>
      <c r="O10" s="34"/>
      <c r="P10" s="34"/>
      <c r="R10" s="33"/>
    </row>
    <row r="11" spans="1:18">
      <c r="A11" s="33" t="s">
        <v>54</v>
      </c>
      <c r="B11" s="38">
        <f t="shared" si="0"/>
        <v>1745.693</v>
      </c>
      <c r="C11" s="34"/>
      <c r="D11" s="38">
        <f>IF(ISERROR(TER_onderwijs_gas_kWh/1000),0,TER_onderwijs_gas_kWh/1000)*0.902</f>
        <v>8561.8552579999996</v>
      </c>
      <c r="E11" s="34">
        <f>$C$31*'E Balans VL '!I11/100/3.6*1000000</f>
        <v>1.0759715070994198</v>
      </c>
      <c r="F11" s="34">
        <f>$C$31*('E Balans VL '!L11+'E Balans VL '!N11)/100/3.6*1000000</f>
        <v>674.91318472086016</v>
      </c>
      <c r="G11" s="35"/>
      <c r="H11" s="34"/>
      <c r="I11" s="34"/>
      <c r="J11" s="34">
        <f>$C$31*('E Balans VL '!D11+'E Balans VL '!E11)/100/3.6*1000000</f>
        <v>0</v>
      </c>
      <c r="K11" s="34"/>
      <c r="L11" s="34"/>
      <c r="M11" s="34"/>
      <c r="N11" s="34">
        <f>$C$31*'E Balans VL '!Y11/100/3.6*1000000</f>
        <v>5.6783652349775462</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26196.082999999999</v>
      </c>
      <c r="C16" s="22">
        <f t="shared" ca="1" si="1"/>
        <v>0</v>
      </c>
      <c r="D16" s="22">
        <f t="shared" ca="1" si="1"/>
        <v>34056.838354</v>
      </c>
      <c r="E16" s="22">
        <f t="shared" si="1"/>
        <v>209.98802076629983</v>
      </c>
      <c r="F16" s="22">
        <f t="shared" ca="1" si="1"/>
        <v>6101.9261001381374</v>
      </c>
      <c r="G16" s="22">
        <f t="shared" si="1"/>
        <v>0</v>
      </c>
      <c r="H16" s="22">
        <f t="shared" si="1"/>
        <v>0</v>
      </c>
      <c r="I16" s="22">
        <f t="shared" si="1"/>
        <v>0</v>
      </c>
      <c r="J16" s="22">
        <f t="shared" si="1"/>
        <v>0</v>
      </c>
      <c r="K16" s="22">
        <f t="shared" si="1"/>
        <v>0</v>
      </c>
      <c r="L16" s="22">
        <f t="shared" ca="1" si="1"/>
        <v>0</v>
      </c>
      <c r="M16" s="22">
        <f t="shared" si="1"/>
        <v>0</v>
      </c>
      <c r="N16" s="22">
        <f t="shared" ca="1" si="1"/>
        <v>1146.1577665526142</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0.20846292590353324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5460.9121093918066</v>
      </c>
      <c r="C20" s="24">
        <f t="shared" ref="C20:P20" ca="1" si="2">C16*C18</f>
        <v>0</v>
      </c>
      <c r="D20" s="24">
        <f t="shared" ca="1" si="2"/>
        <v>6879.481347508</v>
      </c>
      <c r="E20" s="24">
        <f t="shared" si="2"/>
        <v>47.667280713950063</v>
      </c>
      <c r="F20" s="24">
        <f t="shared" ca="1" si="2"/>
        <v>1629.2142687368828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5306.7830000000004</v>
      </c>
      <c r="C26" s="40">
        <f>IF(ISERROR(B26*3.6/1000000/'E Balans VL '!Z12*100),0,B26*3.6/1000000/'E Balans VL '!Z12*100)</f>
        <v>0.11276533309116854</v>
      </c>
      <c r="D26" s="236" t="s">
        <v>685</v>
      </c>
      <c r="F26" s="6"/>
    </row>
    <row r="27" spans="1:18">
      <c r="A27" s="231" t="s">
        <v>52</v>
      </c>
      <c r="B27" s="34">
        <f>IF(ISERROR(TER_horeca_ele_kWh/1000),0,TER_horeca_ele_kWh/1000)</f>
        <v>2426.7249999999999</v>
      </c>
      <c r="C27" s="40">
        <f>IF(ISERROR(B27*3.6/1000000/'E Balans VL '!Z9*100),0,B27*3.6/1000000/'E Balans VL '!Z9*100)</f>
        <v>0.19100202328304419</v>
      </c>
      <c r="D27" s="236" t="s">
        <v>685</v>
      </c>
      <c r="F27" s="6"/>
    </row>
    <row r="28" spans="1:18">
      <c r="A28" s="171" t="s">
        <v>51</v>
      </c>
      <c r="B28" s="34">
        <f>IF(ISERROR(TER_handel_ele_kWh/1000),0,TER_handel_ele_kWh/1000)</f>
        <v>10160.657999999999</v>
      </c>
      <c r="C28" s="40">
        <f>IF(ISERROR(B28*3.6/1000000/'E Balans VL '!Z13*100),0,B28*3.6/1000000/'E Balans VL '!Z13*100)</f>
        <v>0.28460546834948003</v>
      </c>
      <c r="D28" s="236" t="s">
        <v>685</v>
      </c>
      <c r="F28" s="6"/>
    </row>
    <row r="29" spans="1:18">
      <c r="A29" s="231" t="s">
        <v>50</v>
      </c>
      <c r="B29" s="34">
        <f>IF(ISERROR(TER_gezond_ele_kWh/1000),0,TER_gezond_ele_kWh/1000)</f>
        <v>4739.8940000000002</v>
      </c>
      <c r="C29" s="40">
        <f>IF(ISERROR(B29*3.6/1000000/'E Balans VL '!Z10*100),0,B29*3.6/1000000/'E Balans VL '!Z10*100)</f>
        <v>0.60637577122208708</v>
      </c>
      <c r="D29" s="236" t="s">
        <v>685</v>
      </c>
      <c r="F29" s="6"/>
    </row>
    <row r="30" spans="1:18">
      <c r="A30" s="231" t="s">
        <v>49</v>
      </c>
      <c r="B30" s="34">
        <f>IF(ISERROR(TER_ander_ele_kWh/1000),0,TER_ander_ele_kWh/1000)</f>
        <v>1816.33</v>
      </c>
      <c r="C30" s="40">
        <f>IF(ISERROR(B30*3.6/1000000/'E Balans VL '!Z14*100),0,B30*3.6/1000000/'E Balans VL '!Z14*100)</f>
        <v>0.13584617933606433</v>
      </c>
      <c r="D30" s="236" t="s">
        <v>685</v>
      </c>
      <c r="F30" s="6"/>
    </row>
    <row r="31" spans="1:18">
      <c r="A31" s="231" t="s">
        <v>54</v>
      </c>
      <c r="B31" s="34">
        <f>IF(ISERROR(TER_onderwijs_ele_kWh/1000),0,TER_onderwijs_ele_kWh/1000)</f>
        <v>1745.693</v>
      </c>
      <c r="C31" s="40">
        <f>IF(ISERROR(B31*3.6/1000000/'E Balans VL '!Z11*100),0,B31*3.6/1000000/'E Balans VL '!Z11*100)</f>
        <v>0.36860533820042496</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14802.085000000001</v>
      </c>
      <c r="C5" s="18">
        <f>IF(ISERROR('Eigen informatie GS &amp; warmtenet'!B59),0,'Eigen informatie GS &amp; warmtenet'!B59)</f>
        <v>0</v>
      </c>
      <c r="D5" s="31">
        <f>SUM(D6:D15)</f>
        <v>2606.3172740000005</v>
      </c>
      <c r="E5" s="18">
        <f>SUM(E6:E15)</f>
        <v>142.89844373697804</v>
      </c>
      <c r="F5" s="18">
        <f>SUM(F6:F15)</f>
        <v>3647.4954081768133</v>
      </c>
      <c r="G5" s="19"/>
      <c r="H5" s="18"/>
      <c r="I5" s="18"/>
      <c r="J5" s="18">
        <f>SUM(J6:J15)</f>
        <v>16.994434099588368</v>
      </c>
      <c r="K5" s="18"/>
      <c r="L5" s="18"/>
      <c r="M5" s="18"/>
      <c r="N5" s="18">
        <f>SUM(N6:N15)</f>
        <v>400.17610099875805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794.95799999999997</v>
      </c>
      <c r="C8" s="34"/>
      <c r="D8" s="38">
        <f>IF( ISERROR(IND_metaal_Gas_kWH/1000),0,IND_metaal_Gas_kWH/1000)*0.902</f>
        <v>335.37171800000004</v>
      </c>
      <c r="E8" s="34">
        <f>C30*'E Balans VL '!I18/100/3.6*1000000</f>
        <v>7.2395392447471423</v>
      </c>
      <c r="F8" s="34">
        <f>C30*'E Balans VL '!L18/100/3.6*1000000+C30*'E Balans VL '!N18/100/3.6*1000000</f>
        <v>104.848923185259</v>
      </c>
      <c r="G8" s="35"/>
      <c r="H8" s="34"/>
      <c r="I8" s="34"/>
      <c r="J8" s="41">
        <f>C30*'E Balans VL '!D18/100/3.6*1000000+C30*'E Balans VL '!E18/100/3.6*1000000</f>
        <v>13.036156962546846</v>
      </c>
      <c r="K8" s="34"/>
      <c r="L8" s="34"/>
      <c r="M8" s="34"/>
      <c r="N8" s="34">
        <f>C30*'E Balans VL '!Y18/100/3.6*1000000</f>
        <v>2.7319548497445783</v>
      </c>
      <c r="O8" s="34"/>
      <c r="P8" s="34"/>
      <c r="R8" s="33"/>
    </row>
    <row r="9" spans="1:18">
      <c r="A9" s="6" t="s">
        <v>32</v>
      </c>
      <c r="B9" s="38">
        <f t="shared" si="0"/>
        <v>2792.1959999999999</v>
      </c>
      <c r="C9" s="34"/>
      <c r="D9" s="38">
        <f>IF( ISERROR(IND_andere_gas_kWh/1000),0,IND_andere_gas_kWh/1000)*0.902</f>
        <v>1357.845544</v>
      </c>
      <c r="E9" s="34">
        <f>C31*'E Balans VL '!I19/100/3.6*1000000</f>
        <v>16.13931013917945</v>
      </c>
      <c r="F9" s="34">
        <f>C31*'E Balans VL '!L19/100/3.6*1000000+C31*'E Balans VL '!N19/100/3.6*1000000</f>
        <v>2221.3262731548903</v>
      </c>
      <c r="G9" s="35"/>
      <c r="H9" s="34"/>
      <c r="I9" s="34"/>
      <c r="J9" s="41">
        <f>C31*'E Balans VL '!D19/100/3.6*1000000+C31*'E Balans VL '!E19/100/3.6*1000000</f>
        <v>0.2641107267652899</v>
      </c>
      <c r="K9" s="34"/>
      <c r="L9" s="34"/>
      <c r="M9" s="34"/>
      <c r="N9" s="34">
        <f>C31*'E Balans VL '!Y19/100/3.6*1000000</f>
        <v>211.55110215997158</v>
      </c>
      <c r="O9" s="34"/>
      <c r="P9" s="34"/>
      <c r="R9" s="33"/>
    </row>
    <row r="10" spans="1:18">
      <c r="A10" s="6" t="s">
        <v>40</v>
      </c>
      <c r="B10" s="38">
        <f t="shared" si="0"/>
        <v>10331.833000000001</v>
      </c>
      <c r="C10" s="34"/>
      <c r="D10" s="38">
        <f>IF( ISERROR(IND_voed_gas_kWh/1000),0,IND_voed_gas_kWh/1000)*0.902</f>
        <v>406.48810400000002</v>
      </c>
      <c r="E10" s="34">
        <f>C32*'E Balans VL '!I20/100/3.6*1000000</f>
        <v>101.5889480284863</v>
      </c>
      <c r="F10" s="34">
        <f>C32*'E Balans VL '!L20/100/3.6*1000000+C32*'E Balans VL '!N20/100/3.6*1000000</f>
        <v>1147.4849123920619</v>
      </c>
      <c r="G10" s="35"/>
      <c r="H10" s="34"/>
      <c r="I10" s="34"/>
      <c r="J10" s="41">
        <f>C32*'E Balans VL '!D20/100/3.6*1000000+C32*'E Balans VL '!E20/100/3.6*1000000</f>
        <v>4.0722444222951633E-2</v>
      </c>
      <c r="K10" s="34"/>
      <c r="L10" s="34"/>
      <c r="M10" s="34"/>
      <c r="N10" s="34">
        <f>C32*'E Balans VL '!Y20/100/3.6*1000000</f>
        <v>152.99014369705654</v>
      </c>
      <c r="O10" s="34"/>
      <c r="P10" s="34"/>
      <c r="R10" s="33"/>
    </row>
    <row r="11" spans="1:18">
      <c r="A11" s="6" t="s">
        <v>39</v>
      </c>
      <c r="B11" s="38">
        <f t="shared" si="0"/>
        <v>150.27699999999999</v>
      </c>
      <c r="C11" s="34"/>
      <c r="D11" s="38">
        <f>IF( ISERROR(IND_textiel_gas_kWh/1000),0,IND_textiel_gas_kWh/1000)*0.902</f>
        <v>0</v>
      </c>
      <c r="E11" s="34">
        <f>C33*'E Balans VL '!I21/100/3.6*1000000</f>
        <v>0.29262421434820174</v>
      </c>
      <c r="F11" s="34">
        <f>C33*'E Balans VL '!L21/100/3.6*1000000+C33*'E Balans VL '!N21/100/3.6*1000000</f>
        <v>4.9566285945138411</v>
      </c>
      <c r="G11" s="35"/>
      <c r="H11" s="34"/>
      <c r="I11" s="34"/>
      <c r="J11" s="41">
        <f>C33*'E Balans VL '!D21/100/3.6*1000000+C33*'E Balans VL '!E21/100/3.6*1000000</f>
        <v>0</v>
      </c>
      <c r="K11" s="34"/>
      <c r="L11" s="34"/>
      <c r="M11" s="34"/>
      <c r="N11" s="34">
        <f>C33*'E Balans VL '!Y21/100/3.6*1000000</f>
        <v>1.5587677451531714</v>
      </c>
      <c r="O11" s="34"/>
      <c r="P11" s="34"/>
      <c r="R11" s="33"/>
    </row>
    <row r="12" spans="1:18">
      <c r="A12" s="6" t="s">
        <v>36</v>
      </c>
      <c r="B12" s="38">
        <f t="shared" si="0"/>
        <v>553.20000000000005</v>
      </c>
      <c r="C12" s="34"/>
      <c r="D12" s="38">
        <f>IF( ISERROR(IND_min_gas_kWh/1000),0,IND_min_gas_kWh/1000)*0.902</f>
        <v>0</v>
      </c>
      <c r="E12" s="34">
        <f>C34*'E Balans VL '!I22/100/3.6*1000000</f>
        <v>14.02460441667708</v>
      </c>
      <c r="F12" s="34">
        <f>C34*'E Balans VL '!L22/100/3.6*1000000+C34*'E Balans VL '!N22/100/3.6*1000000</f>
        <v>153.07236822854108</v>
      </c>
      <c r="G12" s="35"/>
      <c r="H12" s="34"/>
      <c r="I12" s="34"/>
      <c r="J12" s="41">
        <f>C34*'E Balans VL '!D22/100/3.6*1000000+C34*'E Balans VL '!E22/100/3.6*1000000</f>
        <v>3.653443966053278</v>
      </c>
      <c r="K12" s="34"/>
      <c r="L12" s="34"/>
      <c r="M12" s="34"/>
      <c r="N12" s="34">
        <f>C34*'E Balans VL '!Y22/100/3.6*1000000</f>
        <v>0</v>
      </c>
      <c r="O12" s="34"/>
      <c r="P12" s="34"/>
      <c r="R12" s="33"/>
    </row>
    <row r="13" spans="1:18">
      <c r="A13" s="6" t="s">
        <v>38</v>
      </c>
      <c r="B13" s="38">
        <f t="shared" si="0"/>
        <v>85.105999999999995</v>
      </c>
      <c r="C13" s="34"/>
      <c r="D13" s="38">
        <f>IF( ISERROR(IND_papier_gas_kWh/1000),0,IND_papier_gas_kWh/1000)*0.902</f>
        <v>359.43076400000001</v>
      </c>
      <c r="E13" s="34">
        <f>C35*'E Balans VL '!I23/100/3.6*1000000</f>
        <v>2.8988337557221571</v>
      </c>
      <c r="F13" s="34">
        <f>C35*'E Balans VL '!L23/100/3.6*1000000+C35*'E Balans VL '!N23/100/3.6*1000000</f>
        <v>14.057513805175057</v>
      </c>
      <c r="G13" s="35"/>
      <c r="H13" s="34"/>
      <c r="I13" s="34"/>
      <c r="J13" s="41">
        <f>C35*'E Balans VL '!D23/100/3.6*1000000+C35*'E Balans VL '!E23/100/3.6*1000000</f>
        <v>0</v>
      </c>
      <c r="K13" s="34"/>
      <c r="L13" s="34"/>
      <c r="M13" s="34"/>
      <c r="N13" s="34">
        <f>C35*'E Balans VL '!Y23/100/3.6*1000000</f>
        <v>31.316725634009128</v>
      </c>
      <c r="O13" s="34"/>
      <c r="P13" s="34"/>
      <c r="R13" s="33"/>
    </row>
    <row r="14" spans="1:18">
      <c r="A14" s="6" t="s">
        <v>33</v>
      </c>
      <c r="B14" s="38">
        <f t="shared" si="0"/>
        <v>94.515000000000001</v>
      </c>
      <c r="C14" s="34"/>
      <c r="D14" s="38">
        <f>IF( ISERROR(IND_chemie_gas_kWh/1000),0,IND_chemie_gas_kWh/1000)*0.902</f>
        <v>0</v>
      </c>
      <c r="E14" s="34">
        <f>C36*'E Balans VL '!I24/100/3.6*1000000</f>
        <v>0.71458393781767182</v>
      </c>
      <c r="F14" s="34">
        <f>C36*'E Balans VL '!L24/100/3.6*1000000+C36*'E Balans VL '!N24/100/3.6*1000000</f>
        <v>1.748788816371736</v>
      </c>
      <c r="G14" s="35"/>
      <c r="H14" s="34"/>
      <c r="I14" s="34"/>
      <c r="J14" s="41">
        <f>C36*'E Balans VL '!D24/100/3.6*1000000+C36*'E Balans VL '!E24/100/3.6*1000000</f>
        <v>0</v>
      </c>
      <c r="K14" s="34"/>
      <c r="L14" s="34"/>
      <c r="M14" s="34"/>
      <c r="N14" s="34">
        <f>C36*'E Balans VL '!Y24/100/3.6*1000000</f>
        <v>2.7406912823122822E-2</v>
      </c>
      <c r="O14" s="34"/>
      <c r="P14" s="34"/>
      <c r="R14" s="33"/>
    </row>
    <row r="15" spans="1:18">
      <c r="A15" s="6" t="s">
        <v>259</v>
      </c>
      <c r="B15" s="38">
        <f t="shared" si="0"/>
        <v>0</v>
      </c>
      <c r="C15" s="34"/>
      <c r="D15" s="38">
        <f>IF( ISERROR(IND_rest_gas_kWh/1000),0,IND_rest_gas_kWh/1000)*0.902</f>
        <v>147.18114399999999</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14802.085000000001</v>
      </c>
      <c r="C18" s="22">
        <f>C5+C16</f>
        <v>0</v>
      </c>
      <c r="D18" s="22">
        <f>MAX((D5+D16),0)</f>
        <v>2606.3172740000005</v>
      </c>
      <c r="E18" s="22">
        <f>MAX((E5+E16),0)</f>
        <v>142.89844373697804</v>
      </c>
      <c r="F18" s="22">
        <f>MAX((F5+F16),0)</f>
        <v>3647.4954081768133</v>
      </c>
      <c r="G18" s="22"/>
      <c r="H18" s="22"/>
      <c r="I18" s="22"/>
      <c r="J18" s="22">
        <f>MAX((J5+J16),0)</f>
        <v>16.994434099588368</v>
      </c>
      <c r="K18" s="22"/>
      <c r="L18" s="22">
        <f>MAX((L5+L16),0)</f>
        <v>0</v>
      </c>
      <c r="M18" s="22"/>
      <c r="N18" s="22">
        <f>MAX((N5+N16),0)</f>
        <v>400.17610099875805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0.20846292590353324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3085.685948572801</v>
      </c>
      <c r="C22" s="24">
        <f ca="1">C18*C20</f>
        <v>0</v>
      </c>
      <c r="D22" s="24">
        <f>D18*D20</f>
        <v>526.47608934800007</v>
      </c>
      <c r="E22" s="24">
        <f>E18*E20</f>
        <v>32.437946728294015</v>
      </c>
      <c r="F22" s="24">
        <f>F18*F20</f>
        <v>973.88127398320921</v>
      </c>
      <c r="G22" s="24"/>
      <c r="H22" s="24"/>
      <c r="I22" s="24"/>
      <c r="J22" s="24">
        <f>J18*J20</f>
        <v>6.016029671254282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794.95799999999997</v>
      </c>
      <c r="C30" s="40">
        <f>IF(ISERROR(B30*3.6/1000000/'E Balans VL '!Z18*100),0,B30*3.6/1000000/'E Balans VL '!Z18*100)</f>
        <v>4.4234096861462506E-2</v>
      </c>
      <c r="D30" s="236" t="s">
        <v>685</v>
      </c>
    </row>
    <row r="31" spans="1:18">
      <c r="A31" s="6" t="s">
        <v>32</v>
      </c>
      <c r="B31" s="38">
        <f>IF( ISERROR(IND_ander_ele_kWh/1000),0,IND_ander_ele_kWh/1000)</f>
        <v>2792.1959999999999</v>
      </c>
      <c r="C31" s="40">
        <f>IF(ISERROR(B31*3.6/1000000/'E Balans VL '!Z19*100),0,B31*3.6/1000000/'E Balans VL '!Z19*100)</f>
        <v>0.12980185888806056</v>
      </c>
      <c r="D31" s="236" t="s">
        <v>685</v>
      </c>
    </row>
    <row r="32" spans="1:18">
      <c r="A32" s="171" t="s">
        <v>40</v>
      </c>
      <c r="B32" s="38">
        <f>IF( ISERROR(IND_voed_ele_kWh/1000),0,IND_voed_ele_kWh/1000)</f>
        <v>10331.833000000001</v>
      </c>
      <c r="C32" s="40">
        <f>IF(ISERROR(B32*3.6/1000000/'E Balans VL '!Z20*100),0,B32*3.6/1000000/'E Balans VL '!Z20*100)</f>
        <v>0.36520943052957139</v>
      </c>
      <c r="D32" s="236" t="s">
        <v>685</v>
      </c>
    </row>
    <row r="33" spans="1:5">
      <c r="A33" s="171" t="s">
        <v>39</v>
      </c>
      <c r="B33" s="38">
        <f>IF( ISERROR(IND_textiel_ele_kWh/1000),0,IND_textiel_ele_kWh/1000)</f>
        <v>150.27699999999999</v>
      </c>
      <c r="C33" s="40">
        <f>IF(ISERROR(B33*3.6/1000000/'E Balans VL '!Z21*100),0,B33*3.6/1000000/'E Balans VL '!Z21*100)</f>
        <v>2.0297189143673514E-2</v>
      </c>
      <c r="D33" s="236" t="s">
        <v>685</v>
      </c>
    </row>
    <row r="34" spans="1:5">
      <c r="A34" s="171" t="s">
        <v>36</v>
      </c>
      <c r="B34" s="38">
        <f>IF( ISERROR(IND_min_ele_kWh/1000),0,IND_min_ele_kWh/1000)</f>
        <v>553.20000000000005</v>
      </c>
      <c r="C34" s="40">
        <f>IF(ISERROR(B34*3.6/1000000/'E Balans VL '!Z22*100),0,B34*3.6/1000000/'E Balans VL '!Z22*100)</f>
        <v>0.11117760028702228</v>
      </c>
      <c r="D34" s="236" t="s">
        <v>685</v>
      </c>
    </row>
    <row r="35" spans="1:5">
      <c r="A35" s="171" t="s">
        <v>38</v>
      </c>
      <c r="B35" s="38">
        <f>IF( ISERROR(IND_papier_ele_kWh/1000),0,IND_papier_ele_kWh/1000)</f>
        <v>85.105999999999995</v>
      </c>
      <c r="C35" s="40">
        <f>IF(ISERROR(B35*3.6/1000000/'E Balans VL '!Z22*100),0,B35*3.6/1000000/'E Balans VL '!Z22*100)</f>
        <v>1.7103906091878736E-2</v>
      </c>
      <c r="D35" s="236" t="s">
        <v>685</v>
      </c>
    </row>
    <row r="36" spans="1:5">
      <c r="A36" s="171" t="s">
        <v>33</v>
      </c>
      <c r="B36" s="38">
        <f>IF( ISERROR(IND_chemie_ele_kWh/1000),0,IND_chemie_ele_kWh/1000)</f>
        <v>94.515000000000001</v>
      </c>
      <c r="C36" s="40">
        <f>IF(ISERROR(B36*3.6/1000000/'E Balans VL '!Z24*100),0,B36*3.6/1000000/'E Balans VL '!Z24*100)</f>
        <v>2.327453031069467E-3</v>
      </c>
      <c r="D36" s="236" t="s">
        <v>685</v>
      </c>
    </row>
    <row r="37" spans="1:5">
      <c r="A37" s="171" t="s">
        <v>259</v>
      </c>
      <c r="B37" s="38">
        <f>IF( ISERROR(IND_rest_ele_kWh/1000),0,IND_rest_ele_kWh/1000)</f>
        <v>0</v>
      </c>
      <c r="C37" s="40">
        <f>IF(ISERROR(B37*3.6/1000000/'E Balans VL '!Z15*100),0,B37*3.6/1000000/'E Balans VL '!Z15*100)</f>
        <v>0</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3791.3249999999998</v>
      </c>
      <c r="C5" s="18">
        <f>'Eigen informatie GS &amp; warmtenet'!B60</f>
        <v>0</v>
      </c>
      <c r="D5" s="31">
        <f>IF(ISERROR(SUM(LB_lb_gas_kWh,LB_rest_gas_kWh)/1000),0,SUM(LB_lb_gas_kWh,LB_rest_gas_kWh)/1000)*0.902</f>
        <v>14194.645014</v>
      </c>
      <c r="E5" s="18">
        <f>B17*'E Balans VL '!I25/3.6*1000000/100</f>
        <v>35.716821771078763</v>
      </c>
      <c r="F5" s="18">
        <f>B17*('E Balans VL '!L25/3.6*1000000+'E Balans VL '!N25/3.6*1000000)/100</f>
        <v>12372.351705265613</v>
      </c>
      <c r="G5" s="19"/>
      <c r="H5" s="18"/>
      <c r="I5" s="18"/>
      <c r="J5" s="18">
        <f>('E Balans VL '!D25+'E Balans VL '!E25)/3.6*1000000*landbouw!B17/100</f>
        <v>469.00534350125764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3791.3249999999998</v>
      </c>
      <c r="C8" s="22">
        <f>C5+C6</f>
        <v>0</v>
      </c>
      <c r="D8" s="22">
        <f>MAX((D5+D6),0)</f>
        <v>14194.645014</v>
      </c>
      <c r="E8" s="22">
        <f>MAX((E5+E6),0)</f>
        <v>35.716821771078763</v>
      </c>
      <c r="F8" s="22">
        <f>MAX((F5+F6),0)</f>
        <v>12372.351705265613</v>
      </c>
      <c r="G8" s="22"/>
      <c r="H8" s="22"/>
      <c r="I8" s="22"/>
      <c r="J8" s="22">
        <f>MAX((J5+J6),0)</f>
        <v>469.00534350125764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0.20846292590353324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790.35070255121309</v>
      </c>
      <c r="C12" s="24">
        <f ca="1">C8*C10</f>
        <v>0</v>
      </c>
      <c r="D12" s="24">
        <f>D8*D10</f>
        <v>2867.3182928280003</v>
      </c>
      <c r="E12" s="24">
        <f>E8*E10</f>
        <v>8.1077185420348794</v>
      </c>
      <c r="F12" s="24">
        <f>F8*F10</f>
        <v>3303.4179053059188</v>
      </c>
      <c r="G12" s="24"/>
      <c r="H12" s="24"/>
      <c r="I12" s="24"/>
      <c r="J12" s="24">
        <f>J8*J10</f>
        <v>166.02789159944518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0.5132848215631689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561.838048851179</v>
      </c>
      <c r="C26" s="246">
        <f>B26*'GWP N2O_CH4'!B5</f>
        <v>11798.599025874759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506.20937569422722</v>
      </c>
      <c r="C27" s="246">
        <f>B27*'GWP N2O_CH4'!B5</f>
        <v>10630.396889578771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9.6609526990071117</v>
      </c>
      <c r="C28" s="246">
        <f>B28*'GWP N2O_CH4'!B4</f>
        <v>2994.8953366922046</v>
      </c>
      <c r="D28" s="51"/>
    </row>
    <row r="29" spans="1:4">
      <c r="A29" s="42" t="s">
        <v>266</v>
      </c>
      <c r="B29" s="246">
        <f>B34*'ha_N2O bodem landbouw'!B4</f>
        <v>15.338229659364639</v>
      </c>
      <c r="C29" s="246">
        <f>B29*'GWP N2O_CH4'!B4</f>
        <v>4754.8511944030379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4.1408391564659482E-3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1.6186925888121961E-5</v>
      </c>
      <c r="C5" s="433" t="s">
        <v>204</v>
      </c>
      <c r="D5" s="418">
        <f>SUM(D6:D11)</f>
        <v>2.1078752231588184E-5</v>
      </c>
      <c r="E5" s="418">
        <f>SUM(E6:E11)</f>
        <v>1.3790080401561737E-3</v>
      </c>
      <c r="F5" s="431" t="s">
        <v>204</v>
      </c>
      <c r="G5" s="418">
        <f>SUM(G6:G11)</f>
        <v>0.34131579518866617</v>
      </c>
      <c r="H5" s="418">
        <f>SUM(H6:H11)</f>
        <v>5.0813352495230772E-2</v>
      </c>
      <c r="I5" s="433" t="s">
        <v>204</v>
      </c>
      <c r="J5" s="433" t="s">
        <v>204</v>
      </c>
      <c r="K5" s="433" t="s">
        <v>204</v>
      </c>
      <c r="L5" s="433" t="s">
        <v>204</v>
      </c>
      <c r="M5" s="418">
        <f>SUM(M6:M11)</f>
        <v>1.7514592439259291E-2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8.5589241828693694E-6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9.9684204197167574E-6</v>
      </c>
      <c r="E6" s="421">
        <f>vkm_GW_PW*SUMIFS(TableVerdeelsleutelVkm[LPG],TableVerdeelsleutelVkm[Voertuigtype],"Lichte voertuigen")*SUMIFS(TableECFTransport[EnergieConsumptieFactor (PJ per km)],TableECFTransport[Index],CONCATENATE($A6,"_LPG_LPG"))</f>
        <v>6.4672550091813207E-4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0.10090133720880796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2.431720630306251E-2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5.6035379769712752E-3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5.4581623220839492E-7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9.0290050343365624E-2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2.4228037935687297E-6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4.0176126975237049E-3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4.4209556212003457E-6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8.4094182844887839E-6</v>
      </c>
      <c r="E8" s="421">
        <f>vkm_NGW_PW*SUMIFS(TableVerdeelsleutelVkm[LPG],TableVerdeelsleutelVkm[Voertuigtype],"Lichte voertuigen")*SUMIFS(TableECFTransport[EnergieConsumptieFactor (PJ per km)],TableECFTransport[Index],CONCATENATE($A8,"_LPG_LPG"))</f>
        <v>5.1691820289224402E-4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7.5923788520791971E-2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1.9554909779069578E-2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4.2740059801302912E-3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9.9206713995205321E-8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2.1044544866371574E-2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5.3153186938447111E-7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9.3641207606050606E-4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2.42158382047611E-6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2.7009135273826407E-6</v>
      </c>
      <c r="E10" s="421">
        <f>vkm_SW_PW*SUMIFS(TableVerdeelsleutelVkm[LPG],TableVerdeelsleutelVkm[Voertuigtype],"Lichte voertuigen")*SUMIFS(TableECFTransport[EnergieConsumptieFactor (PJ per km)],TableECFTransport[Index],CONCATENATE($A10,"_LPG_LPG"))</f>
        <v>2.1536433634579766E-4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3.1394510321738504E-2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6.9376404381494769E-3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1.714702461043275E-3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1.4043931737253617E-7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2.176156392759054E-2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6.4163928624816977E-7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9.6832124753024171E-4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4.4963683022561005</v>
      </c>
      <c r="C14" s="22"/>
      <c r="D14" s="22">
        <f t="shared" ref="D14:M14" si="0">((D5)*10^9/3600)+D12</f>
        <v>5.8552089532189395</v>
      </c>
      <c r="E14" s="22">
        <f t="shared" si="0"/>
        <v>383.05778893227051</v>
      </c>
      <c r="F14" s="22"/>
      <c r="G14" s="22">
        <f t="shared" si="0"/>
        <v>94809.943107962827</v>
      </c>
      <c r="H14" s="22">
        <f t="shared" si="0"/>
        <v>14114.820137564104</v>
      </c>
      <c r="I14" s="22"/>
      <c r="J14" s="22"/>
      <c r="K14" s="22"/>
      <c r="L14" s="22"/>
      <c r="M14" s="22">
        <f t="shared" si="0"/>
        <v>4865.1645664609141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0.20846292590353324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0.93732609222820906</v>
      </c>
      <c r="C18" s="24"/>
      <c r="D18" s="24">
        <f t="shared" ref="D18:M18" si="1">D14*D16</f>
        <v>1.1827522085502258</v>
      </c>
      <c r="E18" s="24">
        <f t="shared" si="1"/>
        <v>86.954118087625403</v>
      </c>
      <c r="F18" s="24"/>
      <c r="G18" s="24">
        <f t="shared" si="1"/>
        <v>25314.254809826078</v>
      </c>
      <c r="H18" s="24">
        <f t="shared" si="1"/>
        <v>3514.5902142534619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2.1971375709448331E-5</v>
      </c>
      <c r="C50" s="316">
        <f t="shared" ref="C50:P50" si="2">SUM(C51:C52)</f>
        <v>0</v>
      </c>
      <c r="D50" s="316">
        <f t="shared" si="2"/>
        <v>0</v>
      </c>
      <c r="E50" s="316">
        <f t="shared" si="2"/>
        <v>0</v>
      </c>
      <c r="F50" s="316">
        <f t="shared" si="2"/>
        <v>0</v>
      </c>
      <c r="G50" s="316">
        <f t="shared" si="2"/>
        <v>4.3822342032524648E-3</v>
      </c>
      <c r="H50" s="316">
        <f t="shared" si="2"/>
        <v>0</v>
      </c>
      <c r="I50" s="316">
        <f t="shared" si="2"/>
        <v>0</v>
      </c>
      <c r="J50" s="316">
        <f t="shared" si="2"/>
        <v>0</v>
      </c>
      <c r="K50" s="316">
        <f t="shared" si="2"/>
        <v>0</v>
      </c>
      <c r="L50" s="316">
        <f t="shared" si="2"/>
        <v>0</v>
      </c>
      <c r="M50" s="316">
        <f t="shared" si="2"/>
        <v>1.936900844423378E-4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2.1971375709448331E-5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4.3822342032524648E-3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1.936900844423378E-4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6.1031599192912029</v>
      </c>
      <c r="C54" s="22">
        <f t="shared" ref="C54:P54" si="3">(C50)*10^9/3600</f>
        <v>0</v>
      </c>
      <c r="D54" s="22">
        <f t="shared" si="3"/>
        <v>0</v>
      </c>
      <c r="E54" s="22">
        <f t="shared" si="3"/>
        <v>0</v>
      </c>
      <c r="F54" s="22">
        <f t="shared" si="3"/>
        <v>0</v>
      </c>
      <c r="G54" s="22">
        <f t="shared" si="3"/>
        <v>1217.2872786812402</v>
      </c>
      <c r="H54" s="22">
        <f t="shared" si="3"/>
        <v>0</v>
      </c>
      <c r="I54" s="22">
        <f t="shared" si="3"/>
        <v>0</v>
      </c>
      <c r="J54" s="22">
        <f t="shared" si="3"/>
        <v>0</v>
      </c>
      <c r="K54" s="22">
        <f t="shared" si="3"/>
        <v>0</v>
      </c>
      <c r="L54" s="22">
        <f t="shared" si="3"/>
        <v>0</v>
      </c>
      <c r="M54" s="22">
        <f t="shared" si="3"/>
        <v>53.80280123398272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0.20846292590353324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1.272282574032616</v>
      </c>
      <c r="C58" s="24">
        <f t="shared" ref="C58:P58" ca="1" si="4">C54*C56</f>
        <v>0</v>
      </c>
      <c r="D58" s="24">
        <f t="shared" si="4"/>
        <v>0</v>
      </c>
      <c r="E58" s="24">
        <f t="shared" si="4"/>
        <v>0</v>
      </c>
      <c r="F58" s="24">
        <f t="shared" si="4"/>
        <v>0</v>
      </c>
      <c r="G58" s="24">
        <f t="shared" si="4"/>
        <v>325.01570340789112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5005.8496957669195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5005.8496957669195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2021-11-11T13:33:32Z</dcterms:modified>
</cp:coreProperties>
</file>