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4F4CE40-4C7D-478B-B56B-0A220A2E95C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<sst xmlns="http://schemas.openxmlformats.org/spreadsheetml/2006/main" count="2553" uniqueCount="959">
  <si>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</si>
  <si>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</si>
  <si>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</si>
  <si>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</si>
  <si>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</si>
  <si>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</si>
  <si>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</si>
  <si>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</si>
  <si>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</si>
  <si>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</si>
  <si>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</si>
  <si>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</si>
  <si>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</si>
  <si>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</si>
  <si>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</si>
  <si>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</si>
  <si>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</si>
  <si>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</si>
  <si>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</si>
  <si>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</si>
  <si>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</si>
  <si>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</si>
  <si>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</si>
  <si>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</si>
  <si>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</si>
  <si>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</si>
  <si>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</si>
  <si>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</si>
  <si>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</si>
  <si>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</si>
  <si>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</si>
  <si>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</si>
  <si>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</si>
  <si>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</si>
  <si>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</si>
  <si>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</si>
  <si>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</si>
  <si>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</si>
  <si>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</si>
  <si>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</si>
  <si>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</si>
  <si>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</si>
  <si>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</si>
  <si>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</si>
  <si>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</si>
  <si>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</si>
  <si>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</si>
  <si>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</si>
  <si>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</si>
  <si>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</si>
  <si>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</si>
  <si>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</si>
  <si>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</si>
  <si>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</si>
  <si>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</si>
  <si>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</si>
  <si>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</si>
  <si>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</si>
  <si>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</si>
  <si>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</si>
  <si>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</si>
  <si>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</si>
  <si>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</si>
  <si>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</si>
  <si>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</si>
  <si>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</si>
  <si>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</si>
  <si>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</si>
  <si>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</si>
  <si>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</si>
  <si>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</si>
  <si>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</si>
  <si>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</si>
  <si>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</si>
  <si>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</si>
  <si>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</si>
  <si>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</si>
  <si>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</si>
  <si>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</si>
  <si>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</si>
  <si>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</si>
  <si>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</si>
  <si>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</si>
  <si>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</si>
  <si>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</si>
  <si>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</si>
  <si>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</si>
  <si>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</si>
  <si>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</si>
  <si>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</si>
  <si>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</si>
  <si>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</si>
  <si>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</si>
  <si>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</si>
  <si>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</si>
  <si>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</si>
  <si>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</si>
  <si>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</si>
  <si>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</si>
  <si>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</si>
  <si>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</si>
  <si>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</si>
  <si>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</si>
  <si>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</si>
  <si>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</si>
  <si>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</si>
  <si>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</si>
  <si>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</si>
  <si>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</si>
  <si>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</si>
  <si>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</si>
  <si>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</si>
  <si>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</si>
  <si>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</si>
  <si>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</si>
  <si>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</si>
  <si>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</si>
  <si>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</si>
  <si>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</si>
  <si>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</si>
  <si>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</si>
  <si>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</si>
  <si>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</si>
  <si>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</si>
  <si>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</si>
  <si>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</si>
  <si>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</si>
  <si>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</si>
  <si>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</si>
  <si>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</si>
  <si>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</si>
  <si>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</si>
  <si>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</si>
  <si>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</si>
  <si>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</si>
  <si>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</si>
  <si>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</si>
  <si>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</si>
  <si>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</si>
  <si>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</si>
  <si>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</si>
  <si>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</si>
  <si>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</si>
  <si>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</si>
  <si>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</si>
  <si>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</si>
  <si>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</si>
  <si>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</si>
  <si>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</si>
  <si>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</si>
  <si>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</si>
  <si>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</si>
  <si>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</si>
  <si>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</si>
  <si>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</si>
  <si>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</si>
  <si>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</si>
  <si>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</si>
  <si>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</si>
  <si>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</si>
  <si>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</si>
  <si>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</si>
  <si>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</si>
  <si>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</si>
  <si>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</si>
  <si>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</si>
  <si>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</si>
  <si>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</si>
  <si>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</si>
  <si>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</si>
  <si>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</si>
  <si>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</si>
  <si>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</si>
  <si>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</si>
  <si>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</si>
  <si>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</si>
  <si>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</si>
  <si>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</si>
  <si>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</si>
  <si>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</si>
  <si>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</si>
  <si>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</si>
  <si>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</si>
  <si>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</si>
  <si>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</si>
  <si>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</si>
  <si>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</si>
  <si>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</si>
  <si>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</si>
  <si>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</si>
  <si>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</si>
  <si>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</si>
  <si>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</si>
  <si>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</si>
  <si>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</si>
  <si>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</si>
  <si>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</si>
  <si>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</si>
  <si>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</si>
  <si>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</si>
  <si>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</si>
  <si>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</si>
  <si>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</si>
  <si>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</si>
  <si>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</si>
  <si>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</si>
  <si>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</si>
  <si>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</si>
  <si>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</si>
  <si>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</si>
  <si>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</si>
  <si>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</si>
  <si>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</si>
  <si>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</si>
  <si>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</si>
  <si>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</si>
  <si>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</si>
  <si>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</si>
  <si>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</si>
  <si>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</si>
  <si>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</si>
  <si>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</si>
  <si>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</si>
  <si>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</si>
  <si>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</si>
  <si>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</si>
  <si>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</si>
  <si>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</si>
  <si>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</si>
  <si>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</si>
  <si>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</si>
  <si>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</si>
  <si>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</si>
  <si>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</si>
  <si>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</si>
  <si>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</si>
  <si>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</si>
  <si>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</si>
  <si>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</si>
  <si>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</si>
  <si>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</si>
  <si>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</si>
  <si>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</si>
  <si>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</si>
  <si>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</si>
  <si>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</si>
  <si>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</si>
  <si>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</si>
  <si>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</si>
  <si>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</si>
  <si>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</si>
  <si>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</si>
  <si>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</si>
  <si>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</si>
  <si>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</si>
  <si>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</si>
  <si>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</si>
  <si>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</si>
  <si>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</si>
  <si>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</si>
  <si>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</si>
  <si>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</si>
  <si>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</si>
  <si>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</si>
  <si>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</si>
  <si>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</si>
  <si>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</si>
  <si>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</si>
  <si>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</si>
  <si>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</si>
  <si>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</si>
  <si>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</si>
  <si>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</si>
  <si>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</si>
  <si>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</si>
  <si>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</si>
  <si>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</si>
  <si>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</si>
  <si>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</si>
  <si>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</si>
  <si>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</si>
  <si>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</si>
  <si>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</si>
  <si>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</si>
  <si>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</si>
  <si>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</si>
  <si>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</si>
  <si>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</si>
  <si>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</si>
  <si>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</si>
  <si>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</si>
  <si>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</si>
  <si>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</si>
  <si>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</si>
  <si>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</si>
  <si>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</si>
  <si>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</si>
  <si>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</si>
  <si>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</si>
  <si>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</si>
  <si>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</si>
  <si>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</si>
  <si>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</si>
  <si>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</si>
  <si>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</si>
  <si>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</si>
  <si>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</si>
  <si>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</si>
  <si>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</si>
  <si>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</si>
  <si>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</si>
  <si>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</si>
  <si>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</si>
  <si>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</si>
  <si>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</si>
  <si>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</si>
  <si>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</si>
  <si>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</si>
  <si>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</si>
  <si>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</si>
  <si>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</si>
  <si>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</si>
  <si>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</si>
  <si>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</si>
  <si>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</si>
  <si>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</si>
  <si>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</si>
  <si>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</si>
  <si>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</si>
  <si>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</si>
  <si>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</si>
  <si>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</si>
  <si>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</si>
  <si>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</si>
  <si>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</si>
  <si>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</si>
  <si>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</si>
  <si>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</si>
  <si>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</si>
  <si>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</si>
  <si>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</si>
  <si>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</si>
  <si>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</si>
  <si>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</si>
  <si>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</si>
  <si>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</si>
  <si>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</si>
  <si>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</si>
  <si>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</si>
  <si>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</si>
  <si>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</si>
  <si>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</si>
  <si>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</si>
  <si>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</si>
  <si>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</si>
  <si>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</si>
  <si>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</si>
  <si>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</si>
  <si>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</si>
  <si>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</si>
  <si>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</si>
  <si>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</si>
  <si>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</si>
  <si>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</si>
  <si>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</si>
  <si>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</si>
  <si>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</si>
  <si>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</si>
  <si>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</si>
  <si>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</si>
  <si>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</si>
  <si>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</si>
  <si>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</si>
  <si>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</si>
  <si>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</si>
  <si>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</si>
  <si>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</si>
  <si>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</si>
  <si>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</si>
  <si>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</si>
  <si>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</si>
  <si>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</si>
  <si>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</si>
  <si>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</si>
  <si>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</si>
  <si>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</si>
  <si>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</si>
  <si>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</si>
  <si>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</si>
  <si>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</si>
  <si>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</si>
  <si>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</si>
  <si>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</si>
  <si>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</si>
  <si>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</si>
  <si>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</si>
  <si>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</si>
  <si>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</si>
  <si>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</si>
  <si>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</si>
  <si>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</si>
  <si>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</si>
  <si>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</si>
  <si>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</si>
  <si>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</si>
  <si>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</si>
  <si>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</si>
  <si>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</si>
  <si>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</si>
  <si>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</si>
  <si>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</si>
  <si>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</si>
  <si>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</si>
  <si>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</si>
  <si>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</si>
  <si>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</si>
  <si>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</si>
  <si>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</si>
  <si>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</si>
  <si>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</si>
  <si>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</si>
  <si>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</si>
  <si>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</si>
  <si>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</si>
  <si>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</si>
  <si>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</si>
  <si>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</si>
  <si>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</si>
  <si>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</si>
  <si>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</si>
  <si>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</si>
  <si>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</si>
  <si>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</si>
  <si>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</si>
  <si>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</si>
  <si>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</si>
  <si>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</si>
  <si>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</si>
  <si>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</si>
  <si>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</si>
  <si>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</si>
  <si>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</si>
  <si>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</si>
  <si>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</si>
  <si>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</si>
  <si>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</si>
  <si>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</si>
  <si>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</si>
  <si>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</si>
  <si>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</si>
  <si>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</si>
  <si>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</si>
  <si>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</si>
  <si>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</si>
  <si>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</si>
  <si>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</si>
  <si>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</si>
  <si>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</si>
  <si>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</si>
  <si>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</si>
  <si>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</si>
  <si>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</si>
  <si>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</si>
  <si>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</si>
  <si>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</si>
  <si>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</si>
  <si>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</si>
  <si>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</si>
  <si>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</si>
  <si>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</si>
  <si>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</si>
  <si>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</si>
  <si>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</si>
  <si>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</si>
  <si>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</si>
  <si>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</si>
  <si>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</si>
  <si>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</si>
  <si>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</si>
  <si>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</si>
  <si>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</si>
  <si>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</si>
  <si>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</si>
  <si>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</si>
  <si>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</si>
  <si>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</si>
  <si>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</si>
  <si>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</si>
  <si>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</si>
  <si>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</si>
  <si>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</si>
  <si>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</si>
  <si>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</si>
  <si>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</si>
  <si>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</si>
  <si>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</si>
  <si>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</si>
  <si>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</si>
  <si>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</si>
  <si>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</si>
  <si>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</si>
  <si>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</si>
  <si>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</si>
  <si>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</si>
  <si>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</si>
  <si>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</si>
  <si>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</si>
  <si>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</si>
  <si>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</si>
  <si>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</si>
  <si>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</si>
  <si>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</si>
  <si>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</si>
  <si>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</si>
  <si>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</si>
  <si>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</si>
  <si>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</si>
  <si>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</si>
  <si>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</si>
  <si>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</si>
  <si>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</si>
  <si>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</si>
  <si>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</si>
  <si>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</si>
  <si>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</si>
  <si>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</si>
  <si>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</si>
  <si>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</si>
  <si>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</si>
  <si>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</si>
  <si>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</si>
  <si>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</si>
  <si>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</si>
  <si>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</si>
  <si>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</si>
  <si>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</si>
  <si>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</si>
  <si>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</si>
  <si>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</si>
  <si>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</si>
  <si>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</si>
  <si>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</si>
  <si>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</si>
  <si>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</si>
  <si>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</si>
  <si>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</si>
  <si>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</si>
  <si>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</si>
  <si>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</si>
  <si>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</si>
  <si>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</si>
  <si>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</si>
  <si>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</si>
  <si>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</si>
  <si>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</si>
  <si>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</si>
  <si>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</si>
  <si>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</si>
  <si>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</si>
  <si>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</si>
  <si>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</si>
  <si>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</si>
  <si>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</si>
  <si>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</si>
  <si>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</si>
  <si>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</si>
  <si>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</si>
  <si>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</si>
  <si>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</si>
  <si>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</si>
  <si>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</si>
  <si>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</si>
  <si>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</si>
  <si>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</si>
  <si>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</si>
  <si>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</si>
  <si>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</si>
  <si>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</si>
  <si>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</si>
  <si>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</si>
  <si>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</si>
  <si>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</si>
  <si>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</si>
  <si>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</si>
  <si>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</si>
  <si>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</si>
  <si>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</si>
  <si>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</si>
  <si>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</si>
  <si>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</si>
  <si>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</si>
  <si>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</si>
  <si>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</si>
  <si>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</si>
  <si>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</si>
  <si>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</si>
  <si>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</si>
  <si>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</si>
  <si>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</si>
  <si>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</si>
  <si>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</si>
  <si>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</si>
  <si>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</si>
  <si>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</si>
  <si>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</si>
  <si>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</si>
  <si>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</si>
  <si>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</si>
  <si>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</si>
  <si>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</si>
  <si>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</si>
  <si>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</si>
  <si>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</si>
  <si>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</si>
  <si>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</si>
  <si>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</si>
  <si>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</si>
  <si>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</si>
  <si>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</si>
  <si>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</si>
  <si>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</si>
  <si>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</si>
  <si>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</si>
  <si>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</si>
  <si>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</si>
  <si>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</si>
  <si>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</si>
  <si>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</si>
  <si>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</si>
  <si>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</si>
  <si>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</si>
  <si>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</si>
  <si>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</si>
  <si>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</si>
  <si>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</si>
  <si>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</si>
  <si>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</si>
  <si>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</si>
  <si>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</si>
  <si>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</si>
  <si>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</si>
  <si>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</si>
  <si>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</si>
  <si>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</si>
  <si>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</si>
  <si>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</si>
  <si>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</si>
  <si>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</si>
  <si>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</si>
  <si>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</si>
  <si>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</si>
  <si>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</si>
  <si>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</si>
  <si>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</si>
  <si>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</si>
  <si>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</si>
  <si>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</si>
  <si>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</si>
  <si>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</si>
  <si>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</si>
  <si>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</si>
  <si>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</si>
  <si>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</si>
  <si>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</si>
  <si>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</si>
  <si>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</si>
  <si>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</si>
  <si>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</si>
  <si>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</si>
  <si>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</si>
  <si>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</si>
  <si>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</si>
  <si>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</si>
  <si>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</si>
  <si>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</si>
  <si>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</si>
  <si>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</si>
  <si>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</si>
  <si>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</si>
  <si>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</si>
  <si>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</si>
  <si>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</si>
  <si>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</si>
  <si>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</si>
  <si>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</si>
  <si>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</si>
  <si>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</si>
  <si>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</si>
  <si>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</si>
  <si>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</si>
  <si>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</si>
  <si>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</si>
  <si>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</si>
  <si>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</si>
  <si>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</si>
  <si>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</si>
  <si>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</si>
  <si>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</si>
  <si>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</si>
  <si>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</si>
  <si>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</si>
  <si>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</si>
  <si>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</si>
  <si>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</si>
  <si>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</si>
  <si>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</si>
  <si>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</si>
  <si>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</si>
  <si>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</si>
  <si>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</si>
  <si>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</si>
  <si>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</si>
  <si>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</si>
  <si>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</si>
  <si>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</si>
  <si>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</si>
  <si>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</si>
  <si>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</si>
  <si>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</si>
  <si>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</si>
  <si>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</si>
  <si>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</si>
  <si>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</si>
  <si>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</si>
  <si>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</si>
  <si>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</si>
  <si>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</si>
  <si>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</si>
  <si>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</si>
  <si>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</si>
  <si>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</si>
  <si>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</si>
  <si>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</si>
  <si>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</si>
  <si>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</si>
  <si>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</si>
  <si>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</si>
  <si>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</si>
  <si>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</si>
  <si>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</si>
  <si>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</si>
  <si>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</si>
  <si>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</si>
  <si>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</si>
  <si>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</si>
  <si>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</si>
  <si>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</si>
  <si>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</si>
  <si>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</si>
  <si>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</si>
  <si>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</si>
  <si>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</si>
  <si>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</si>
  <si>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</si>
  <si>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</si>
  <si>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</si>
  <si>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</si>
  <si>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</si>
  <si>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</si>
  <si>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</si>
  <si>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</si>
  <si>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</si>
  <si>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</si>
  <si>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</si>
  <si>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</si>
  <si>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</si>
  <si>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</si>
  <si>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</si>
  <si>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</si>
  <si>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</si>
  <si>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</si>
  <si>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</si>
  <si>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</si>
  <si>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</si>
  <si>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</si>
  <si>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</si>
  <si>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</si>
  <si>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</si>
  <si>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</si>
  <si>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</si>
  <si>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</si>
  <si>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</si>
  <si>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</si>
  <si>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</si>
  <si>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</si>
  <si>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</si>
  <si>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</si>
  <si>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</si>
  <si>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</si>
  <si>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</si>
  <si>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</si>
  <si>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</si>
  <si>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</si>
  <si>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</si>
  <si>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</si>
  <si>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</si>
  <si>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</si>
  <si>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</si>
  <si>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</si>
  <si>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</si>
  <si>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</si>
  <si>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</si>
  <si>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</si>
  <si>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</si>
  <si>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</si>
  <si>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</si>
  <si>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</si>
  <si>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</si>
  <si>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</si>
  <si>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</si>
  <si>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</si>
  <si>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</si>
  <si>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</si>
  <si>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</si>
  <si>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</si>
  <si>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</si>
  <si>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</si>
  <si>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</si>
  <si>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</si>
  <si>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</si>
  <si>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</si>
  <si>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</si>
  <si>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</si>
  <si>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</si>
  <si>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</si>
  <si>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</si>
  <si>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</si>
  <si>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</si>
  <si>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</si>
  <si>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</si>
  <si>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</si>
  <si>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</si>
  <si>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</si>
  <si>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</si>
  <si>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</si>
  <si>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</si>
  <si>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</si>
  <si>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</si>
  <si>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</si>
  <si>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</si>
  <si>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</si>
  <si>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</si>
  <si>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</si>
  <si>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</si>
  <si>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</si>
  <si>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</si>
  <si>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</si>
  <si>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</si>
  <si>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</si>
  <si>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</si>
  <si>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</si>
  <si>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</si>
  <si>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</si>
  <si>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</si>
  <si>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</si>
  <si>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</si>
  <si>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</si>
  <si>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</si>
  <si>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</si>
  <si>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</si>
  <si>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</si>
  <si>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</si>
  <si>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</si>
  <si>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</si>
  <si>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</si>
  <si>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</si>
  <si>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</si>
  <si>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</si>
  <si>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</si>
  <si>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</si>
  <si>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</si>
  <si>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</si>
  <si>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</si>
  <si>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</si>
  <si>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</si>
  <si>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</si>
  <si>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</si>
  <si>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</si>
  <si>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</si>
  <si>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</si>
  <si>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</si>
  <si>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</si>
  <si>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</si>
  <si>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</si>
  <si>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</si>
  <si>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</si>
  <si>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</si>
  <si>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</si>
  <si>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</si>
  <si>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</si>
  <si>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</si>
  <si>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</si>
  <si>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</si>
  <si>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</si>
  <si>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</si>
  <si>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</si>
  <si>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</si>
  <si>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</si>
  <si>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</si>
  <si>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</si>
  <si>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</si>
  <si>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</si>
  <si>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</si>
  <si>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</si>
  <si>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</si>
  <si>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</si>
  <si>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</si>
  <si>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</si>
  <si>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</si>
  <si>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</si>
  <si>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</si>
  <si>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</si>
  <si>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</si>
  <si>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</si>
  <si>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</si>
  <si>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</si>
  <si>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</si>
  <si>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</si>
  <si>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</si>
  <si>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</si>
  <si>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</si>
  <si>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</si>
  <si>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</si>
  <si>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</si>
  <si>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</si>
  <si>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</si>
  <si>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</si>
  <si>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</si>
  <si>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</si>
  <si>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</si>
  <si>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</si>
  <si>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</si>
  <si>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</si>
  <si>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</si>
  <si>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</si>
  <si>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</si>
  <si>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</si>
  <si>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</si>
  <si>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</si>
  <si>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</si>
  <si>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</si>
  <si>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</si>
  <si>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</si>
  <si>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</si>
  <si>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</si>
  <si>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</si>
  <si>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</si>
  <si>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</si>
  <si>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</si>
  <si>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</si>
  <si>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</si>
  <si>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</si>
  <si>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</si>
  <si>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24134</t>
  </si>
  <si>
    <t>SCHERPENHEUVEL-ZICHEM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</si>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</sst>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639C33AD-8D33-441C-A1DF-1D4D322F21D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24134</v>
      </c>
      <c r="B6" s="384"/>
      <c r="C6" s="385"/>
    </row>
    <row r="7" spans="1:7" s="382" customFormat="1" ht="15.75" customHeight="1">
      <c r="A7" s="386" t="str">
        <f>txtMunicipality</f>
        <v>SCHERPENHEUVEL-ZICHEM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17927.427029147337</v>
      </c>
      <c r="D10" s="674">
        <f ca="1">tertiair!C16</f>
        <v>0</v>
      </c>
      <c r="E10" s="674">
        <f ca="1">tertiair!D16</f>
        <v>13985.421432011673</v>
      </c>
      <c r="F10" s="674">
        <f>tertiair!E16</f>
        <v>192.86241133395163</v>
      </c>
      <c r="G10" s="674">
        <f ca="1">tertiair!F16</f>
        <v>3326.1529828426428</v>
      </c>
      <c r="H10" s="674">
        <f>tertiair!G16</f>
        <v>0</v>
      </c>
      <c r="I10" s="674">
        <f>tertiair!H16</f>
        <v>0</v>
      </c>
      <c r="J10" s="674">
        <f>tertiair!I16</f>
        <v>0</v>
      </c>
      <c r="K10" s="674">
        <f>tertiair!J16</f>
        <v>0</v>
      </c>
      <c r="L10" s="674">
        <f>tertiair!K16</f>
        <v>0</v>
      </c>
      <c r="M10" s="674">
        <f ca="1">tertiair!L16</f>
        <v>0</v>
      </c>
      <c r="N10" s="674">
        <f>tertiair!M16</f>
        <v>0</v>
      </c>
      <c r="O10" s="674">
        <f ca="1">tertiair!N16</f>
        <v>923.80168551870679</v>
      </c>
      <c r="P10" s="674">
        <f>tertiair!O16</f>
        <v>0</v>
      </c>
      <c r="Q10" s="675">
        <f>tertiair!P16</f>
        <v>38.133333333333333</v>
      </c>
      <c r="R10" s="677">
        <f ca="1">SUM(C10:Q10)</f>
        <v>36393.79887418764</v>
      </c>
      <c r="S10" s="68"/>
    </row>
    <row r="11" spans="1:19" s="443" customFormat="1">
      <c r="A11" s="789" t="s">
        <v>214</v>
      </c>
      <c r="B11" s="794"/>
      <c r="C11" s="674">
        <f>huishoudens!B8</f>
        <v>43603.301270979013</v>
      </c>
      <c r="D11" s="674">
        <f>huishoudens!C8</f>
        <v>0</v>
      </c>
      <c r="E11" s="674">
        <f>huishoudens!D8</f>
        <v>48394.22345239525</v>
      </c>
      <c r="F11" s="674">
        <f>huishoudens!E8</f>
        <v>3519.998912898548</v>
      </c>
      <c r="G11" s="674">
        <f>huishoudens!F8</f>
        <v>107314.54725599992</v>
      </c>
      <c r="H11" s="674">
        <f>huishoudens!G8</f>
        <v>0</v>
      </c>
      <c r="I11" s="674">
        <f>huishoudens!H8</f>
        <v>0</v>
      </c>
      <c r="J11" s="674">
        <f>huishoudens!I8</f>
        <v>0</v>
      </c>
      <c r="K11" s="674">
        <f>huishoudens!J8</f>
        <v>1947.1850666532046</v>
      </c>
      <c r="L11" s="674">
        <f>huishoudens!K8</f>
        <v>0</v>
      </c>
      <c r="M11" s="674">
        <f>huishoudens!L8</f>
        <v>0</v>
      </c>
      <c r="N11" s="674">
        <f>huishoudens!M8</f>
        <v>0</v>
      </c>
      <c r="O11" s="674">
        <f>huishoudens!N8</f>
        <v>15152.750372606019</v>
      </c>
      <c r="P11" s="674">
        <f>huishoudens!O8</f>
        <v>145.39000000000001</v>
      </c>
      <c r="Q11" s="675">
        <f>huishoudens!P8</f>
        <v>572</v>
      </c>
      <c r="R11" s="677">
        <f>SUM(C11:Q11)</f>
        <v>220649.39633153196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2751.9700867019142</v>
      </c>
      <c r="D13" s="674">
        <f>industrie!C18</f>
        <v>0</v>
      </c>
      <c r="E13" s="674">
        <f>industrie!D18</f>
        <v>1281.3986113131682</v>
      </c>
      <c r="F13" s="674">
        <f>industrie!E18</f>
        <v>22.363914523781133</v>
      </c>
      <c r="G13" s="674">
        <f>industrie!F18</f>
        <v>847.80851862243924</v>
      </c>
      <c r="H13" s="674">
        <f>industrie!G18</f>
        <v>0</v>
      </c>
      <c r="I13" s="674">
        <f>industrie!H18</f>
        <v>0</v>
      </c>
      <c r="J13" s="674">
        <f>industrie!I18</f>
        <v>0</v>
      </c>
      <c r="K13" s="674">
        <f>industrie!J18</f>
        <v>7.4851159829064589</v>
      </c>
      <c r="L13" s="674">
        <f>industrie!K18</f>
        <v>0</v>
      </c>
      <c r="M13" s="674">
        <f>industrie!L18</f>
        <v>0</v>
      </c>
      <c r="N13" s="674">
        <f>industrie!M18</f>
        <v>0</v>
      </c>
      <c r="O13" s="674">
        <f>industrie!N18</f>
        <v>94.340161925650094</v>
      </c>
      <c r="P13" s="674">
        <f>industrie!O18</f>
        <v>0</v>
      </c>
      <c r="Q13" s="675">
        <f>industrie!P18</f>
        <v>0</v>
      </c>
      <c r="R13" s="677">
        <f>SUM(C13:Q13)</f>
        <v>5005.3664090698594</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64282.698386828262</v>
      </c>
      <c r="D16" s="707">
        <f t="shared" ref="D16:R16" ca="1" si="0">SUM(D9:D15)</f>
        <v>0</v>
      </c>
      <c r="E16" s="707">
        <f t="shared" ca="1" si="0"/>
        <v>63661.043495720092</v>
      </c>
      <c r="F16" s="707">
        <f t="shared" si="0"/>
        <v>3735.2252387562808</v>
      </c>
      <c r="G16" s="707">
        <f t="shared" ca="1" si="0"/>
        <v>111488.508757465</v>
      </c>
      <c r="H16" s="707">
        <f t="shared" si="0"/>
        <v>0</v>
      </c>
      <c r="I16" s="707">
        <f t="shared" si="0"/>
        <v>0</v>
      </c>
      <c r="J16" s="707">
        <f t="shared" si="0"/>
        <v>0</v>
      </c>
      <c r="K16" s="707">
        <f t="shared" si="0"/>
        <v>1954.6701826361111</v>
      </c>
      <c r="L16" s="707">
        <f t="shared" si="0"/>
        <v>0</v>
      </c>
      <c r="M16" s="707">
        <f t="shared" ca="1" si="0"/>
        <v>0</v>
      </c>
      <c r="N16" s="707">
        <f t="shared" si="0"/>
        <v>0</v>
      </c>
      <c r="O16" s="707">
        <f t="shared" ca="1" si="0"/>
        <v>16170.892220050375</v>
      </c>
      <c r="P16" s="707">
        <f t="shared" si="0"/>
        <v>145.39000000000001</v>
      </c>
      <c r="Q16" s="707">
        <f t="shared" si="0"/>
        <v>610.13333333333333</v>
      </c>
      <c r="R16" s="707">
        <f t="shared" ca="1" si="0"/>
        <v>262048.56161478945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5.4231284859804871</v>
      </c>
      <c r="D19" s="674">
        <f>transport!C54</f>
        <v>0</v>
      </c>
      <c r="E19" s="674">
        <f>transport!D54</f>
        <v>0</v>
      </c>
      <c r="F19" s="674">
        <f>transport!E54</f>
        <v>0</v>
      </c>
      <c r="G19" s="674">
        <f>transport!F54</f>
        <v>0</v>
      </c>
      <c r="H19" s="674">
        <f>transport!G54</f>
        <v>1081.6536685810083</v>
      </c>
      <c r="I19" s="674">
        <f>transport!H54</f>
        <v>0</v>
      </c>
      <c r="J19" s="674">
        <f>transport!I54</f>
        <v>0</v>
      </c>
      <c r="K19" s="674">
        <f>transport!J54</f>
        <v>0</v>
      </c>
      <c r="L19" s="674">
        <f>transport!K54</f>
        <v>0</v>
      </c>
      <c r="M19" s="674">
        <f>transport!L54</f>
        <v>0</v>
      </c>
      <c r="N19" s="674">
        <f>transport!M54</f>
        <v>47.807940125456177</v>
      </c>
      <c r="O19" s="674">
        <f>transport!N54</f>
        <v>0</v>
      </c>
      <c r="P19" s="674">
        <f>transport!O54</f>
        <v>0</v>
      </c>
      <c r="Q19" s="675">
        <f>transport!P54</f>
        <v>0</v>
      </c>
      <c r="R19" s="677">
        <f>SUM(C19:Q19)</f>
        <v>1134.8847371924448</v>
      </c>
      <c r="S19" s="68"/>
    </row>
    <row r="20" spans="1:19" s="443" customFormat="1">
      <c r="A20" s="789" t="s">
        <v>296</v>
      </c>
      <c r="B20" s="794"/>
      <c r="C20" s="674">
        <f>transport!B14</f>
        <v>8.8728830165840193</v>
      </c>
      <c r="D20" s="674">
        <f>transport!C14</f>
        <v>0</v>
      </c>
      <c r="E20" s="674">
        <f>transport!D14</f>
        <v>12.846621517505842</v>
      </c>
      <c r="F20" s="674">
        <f>transport!E14</f>
        <v>816.42823416830481</v>
      </c>
      <c r="G20" s="674">
        <f>transport!F14</f>
        <v>0</v>
      </c>
      <c r="H20" s="674">
        <f>transport!G14</f>
        <v>162531.96729526625</v>
      </c>
      <c r="I20" s="674">
        <f>transport!H14</f>
        <v>30582.467561679627</v>
      </c>
      <c r="J20" s="674">
        <f>transport!I14</f>
        <v>0</v>
      </c>
      <c r="K20" s="674">
        <f>transport!J14</f>
        <v>0</v>
      </c>
      <c r="L20" s="674">
        <f>transport!K14</f>
        <v>0</v>
      </c>
      <c r="M20" s="674">
        <f>transport!L14</f>
        <v>0</v>
      </c>
      <c r="N20" s="674">
        <f>transport!M14</f>
        <v>8632.8127535119402</v>
      </c>
      <c r="O20" s="674">
        <f>transport!N14</f>
        <v>0</v>
      </c>
      <c r="P20" s="674">
        <f>transport!O14</f>
        <v>0</v>
      </c>
      <c r="Q20" s="675">
        <f>transport!P14</f>
        <v>0</v>
      </c>
      <c r="R20" s="677">
        <f>SUM(C20:Q20)</f>
        <v>202585.39534916022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14.296011502564507</v>
      </c>
      <c r="D22" s="792">
        <f t="shared" ref="D22:R22" si="1">SUM(D18:D21)</f>
        <v>0</v>
      </c>
      <c r="E22" s="792">
        <f t="shared" si="1"/>
        <v>12.846621517505842</v>
      </c>
      <c r="F22" s="792">
        <f t="shared" si="1"/>
        <v>816.42823416830481</v>
      </c>
      <c r="G22" s="792">
        <f t="shared" si="1"/>
        <v>0</v>
      </c>
      <c r="H22" s="792">
        <f t="shared" si="1"/>
        <v>163613.62096384726</v>
      </c>
      <c r="I22" s="792">
        <f t="shared" si="1"/>
        <v>30582.467561679627</v>
      </c>
      <c r="J22" s="792">
        <f t="shared" si="1"/>
        <v>0</v>
      </c>
      <c r="K22" s="792">
        <f t="shared" si="1"/>
        <v>0</v>
      </c>
      <c r="L22" s="792">
        <f t="shared" si="1"/>
        <v>0</v>
      </c>
      <c r="M22" s="792">
        <f t="shared" si="1"/>
        <v>0</v>
      </c>
      <c r="N22" s="792">
        <f t="shared" si="1"/>
        <v>8680.6206936373965</v>
      </c>
      <c r="O22" s="792">
        <f t="shared" si="1"/>
        <v>0</v>
      </c>
      <c r="P22" s="792">
        <f t="shared" si="1"/>
        <v>0</v>
      </c>
      <c r="Q22" s="792">
        <f t="shared" si="1"/>
        <v>0</v>
      </c>
      <c r="R22" s="792">
        <f t="shared" si="1"/>
        <v>203720.28008635266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469.73360475314593</v>
      </c>
      <c r="D24" s="674">
        <f>+landbouw!C8</f>
        <v>0</v>
      </c>
      <c r="E24" s="674">
        <f>+landbouw!D8</f>
        <v>707.97728197279878</v>
      </c>
      <c r="F24" s="674">
        <f>+landbouw!E8</f>
        <v>4.4252052886139985</v>
      </c>
      <c r="G24" s="674">
        <f>+landbouw!F8</f>
        <v>1532.8966432020859</v>
      </c>
      <c r="H24" s="674">
        <f>+landbouw!G8</f>
        <v>0</v>
      </c>
      <c r="I24" s="674">
        <f>+landbouw!H8</f>
        <v>0</v>
      </c>
      <c r="J24" s="674">
        <f>+landbouw!I8</f>
        <v>0</v>
      </c>
      <c r="K24" s="674">
        <f>+landbouw!J8</f>
        <v>58.108331691778787</v>
      </c>
      <c r="L24" s="674">
        <f>+landbouw!K8</f>
        <v>0</v>
      </c>
      <c r="M24" s="674">
        <f>+landbouw!L8</f>
        <v>0</v>
      </c>
      <c r="N24" s="674">
        <f>+landbouw!M8</f>
        <v>0</v>
      </c>
      <c r="O24" s="674">
        <f>+landbouw!N8</f>
        <v>0</v>
      </c>
      <c r="P24" s="674">
        <f>+landbouw!O8</f>
        <v>0</v>
      </c>
      <c r="Q24" s="675">
        <f>+landbouw!P8</f>
        <v>0</v>
      </c>
      <c r="R24" s="677">
        <f>SUM(C24:Q24)</f>
        <v>2773.1410669084235</v>
      </c>
      <c r="S24" s="68"/>
    </row>
    <row r="25" spans="1:19" s="443" customFormat="1" ht="15" thickBot="1">
      <c r="A25" s="811" t="s">
        <v>873</v>
      </c>
      <c r="B25" s="977"/>
      <c r="C25" s="978">
        <f>IF(Onbekend_ele_kWh="---",0,Onbekend_ele_kWh)/1000+IF(REST_rest_ele_kWh="---",0,REST_rest_ele_kWh)/1000</f>
        <v>1606.6597641384201</v>
      </c>
      <c r="D25" s="978"/>
      <c r="E25" s="978">
        <f>IF(onbekend_gas_kWh="---",0,onbekend_gas_kWh)/1000+IF(REST_rest_gas_kWh="---",0,REST_rest_gas_kWh)/1000</f>
        <v>2000.1732365174601</v>
      </c>
      <c r="F25" s="978"/>
      <c r="G25" s="978"/>
      <c r="H25" s="978"/>
      <c r="I25" s="978"/>
      <c r="J25" s="978"/>
      <c r="K25" s="978"/>
      <c r="L25" s="978"/>
      <c r="M25" s="978"/>
      <c r="N25" s="978"/>
      <c r="O25" s="978"/>
      <c r="P25" s="978"/>
      <c r="Q25" s="979"/>
      <c r="R25" s="677">
        <f>SUM(C25:Q25)</f>
        <v>3606.8330006558799</v>
      </c>
      <c r="S25" s="68"/>
    </row>
    <row r="26" spans="1:19" s="443" customFormat="1" ht="15.75" thickBot="1">
      <c r="A26" s="680" t="s">
        <v>874</v>
      </c>
      <c r="B26" s="797"/>
      <c r="C26" s="792">
        <f>SUM(C24:C25)</f>
        <v>2076.3933688915658</v>
      </c>
      <c r="D26" s="792">
        <f t="shared" ref="D26:R26" si="2">SUM(D24:D25)</f>
        <v>0</v>
      </c>
      <c r="E26" s="792">
        <f t="shared" si="2"/>
        <v>2708.1505184902589</v>
      </c>
      <c r="F26" s="792">
        <f t="shared" si="2"/>
        <v>4.4252052886139985</v>
      </c>
      <c r="G26" s="792">
        <f t="shared" si="2"/>
        <v>1532.8966432020859</v>
      </c>
      <c r="H26" s="792">
        <f t="shared" si="2"/>
        <v>0</v>
      </c>
      <c r="I26" s="792">
        <f t="shared" si="2"/>
        <v>0</v>
      </c>
      <c r="J26" s="792">
        <f t="shared" si="2"/>
        <v>0</v>
      </c>
      <c r="K26" s="792">
        <f t="shared" si="2"/>
        <v>58.108331691778787</v>
      </c>
      <c r="L26" s="792">
        <f t="shared" si="2"/>
        <v>0</v>
      </c>
      <c r="M26" s="792">
        <f t="shared" si="2"/>
        <v>0</v>
      </c>
      <c r="N26" s="792">
        <f t="shared" si="2"/>
        <v>0</v>
      </c>
      <c r="O26" s="792">
        <f t="shared" si="2"/>
        <v>0</v>
      </c>
      <c r="P26" s="792">
        <f t="shared" si="2"/>
        <v>0</v>
      </c>
      <c r="Q26" s="792">
        <f t="shared" si="2"/>
        <v>0</v>
      </c>
      <c r="R26" s="792">
        <f t="shared" si="2"/>
        <v>6379.9740675643034</v>
      </c>
      <c r="S26" s="68"/>
    </row>
    <row r="27" spans="1:19" s="443" customFormat="1" ht="17.25" thickTop="1" thickBot="1">
      <c r="A27" s="681" t="s">
        <v>109</v>
      </c>
      <c r="B27" s="784"/>
      <c r="C27" s="682">
        <f ca="1">C22+C16+C26</f>
        <v>66373.38776722239</v>
      </c>
      <c r="D27" s="682">
        <f t="shared" ref="D27:R27" ca="1" si="3">D22+D16+D26</f>
        <v>0</v>
      </c>
      <c r="E27" s="682">
        <f t="shared" ca="1" si="3"/>
        <v>66382.040635727855</v>
      </c>
      <c r="F27" s="682">
        <f t="shared" si="3"/>
        <v>4556.0786782132</v>
      </c>
      <c r="G27" s="682">
        <f t="shared" ca="1" si="3"/>
        <v>113021.40540066708</v>
      </c>
      <c r="H27" s="682">
        <f t="shared" si="3"/>
        <v>163613.62096384726</v>
      </c>
      <c r="I27" s="682">
        <f t="shared" si="3"/>
        <v>30582.467561679627</v>
      </c>
      <c r="J27" s="682">
        <f t="shared" si="3"/>
        <v>0</v>
      </c>
      <c r="K27" s="682">
        <f t="shared" si="3"/>
        <v>2012.77851432789</v>
      </c>
      <c r="L27" s="682">
        <f t="shared" si="3"/>
        <v>0</v>
      </c>
      <c r="M27" s="682">
        <f t="shared" ca="1" si="3"/>
        <v>0</v>
      </c>
      <c r="N27" s="682">
        <f t="shared" si="3"/>
        <v>8680.6206936373965</v>
      </c>
      <c r="O27" s="682">
        <f t="shared" ca="1" si="3"/>
        <v>16170.892220050375</v>
      </c>
      <c r="P27" s="682">
        <f t="shared" si="3"/>
        <v>145.39000000000001</v>
      </c>
      <c r="Q27" s="682">
        <f t="shared" si="3"/>
        <v>610.13333333333333</v>
      </c>
      <c r="R27" s="682">
        <f t="shared" ca="1" si="3"/>
        <v>472148.81576870644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3669.4252434849764</v>
      </c>
      <c r="D40" s="674">
        <f ca="1">tertiair!C20</f>
        <v>0</v>
      </c>
      <c r="E40" s="674">
        <f ca="1">tertiair!D20</f>
        <v>2825.0551292663581</v>
      </c>
      <c r="F40" s="674">
        <f>tertiair!E20</f>
        <v>43.779767372807022</v>
      </c>
      <c r="G40" s="674">
        <f ca="1">tertiair!F20</f>
        <v>888.0828464189857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7426.3429865431272</v>
      </c>
    </row>
    <row r="41" spans="1:18">
      <c r="A41" s="802" t="s">
        <v>214</v>
      </c>
      <c r="B41" s="809"/>
      <c r="C41" s="674">
        <f ca="1">huishoudens!B12</f>
        <v>8924.8197258243599</v>
      </c>
      <c r="D41" s="674">
        <f ca="1">huishoudens!C12</f>
        <v>0</v>
      </c>
      <c r="E41" s="674">
        <f>huishoudens!D12</f>
        <v>9775.633137383842</v>
      </c>
      <c r="F41" s="674">
        <f>huishoudens!E12</f>
        <v>799.03975322797044</v>
      </c>
      <c r="G41" s="674">
        <f>huishoudens!F12</f>
        <v>28652.984117351978</v>
      </c>
      <c r="H41" s="674">
        <f>huishoudens!G12</f>
        <v>0</v>
      </c>
      <c r="I41" s="674">
        <f>huishoudens!H12</f>
        <v>0</v>
      </c>
      <c r="J41" s="674">
        <f>huishoudens!I12</f>
        <v>0</v>
      </c>
      <c r="K41" s="674">
        <f>huishoudens!J12</f>
        <v>689.30351359523434</v>
      </c>
      <c r="L41" s="674">
        <f>huishoudens!K12</f>
        <v>0</v>
      </c>
      <c r="M41" s="674">
        <f>huishoudens!L12</f>
        <v>0</v>
      </c>
      <c r="N41" s="674">
        <f>huishoudens!M12</f>
        <v>0</v>
      </c>
      <c r="O41" s="674">
        <f>huishoudens!N12</f>
        <v>0</v>
      </c>
      <c r="P41" s="674">
        <f>huishoudens!O12</f>
        <v>0</v>
      </c>
      <c r="Q41" s="749">
        <f>huishoudens!P12</f>
        <v>0</v>
      </c>
      <c r="R41" s="830">
        <f t="shared" ca="1" si="4"/>
        <v>48841.780247383387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563.27929763939085</v>
      </c>
      <c r="D43" s="674">
        <f ca="1">industrie!C22</f>
        <v>0</v>
      </c>
      <c r="E43" s="674">
        <f>industrie!D22</f>
        <v>258.84251948525997</v>
      </c>
      <c r="F43" s="674">
        <f>industrie!E22</f>
        <v>5.0766085968983177</v>
      </c>
      <c r="G43" s="674">
        <f>industrie!F22</f>
        <v>226.3648744721913</v>
      </c>
      <c r="H43" s="674">
        <f>industrie!G22</f>
        <v>0</v>
      </c>
      <c r="I43" s="674">
        <f>industrie!H22</f>
        <v>0</v>
      </c>
      <c r="J43" s="674">
        <f>industrie!I22</f>
        <v>0</v>
      </c>
      <c r="K43" s="674">
        <f>industrie!J22</f>
        <v>2.6497310579488862</v>
      </c>
      <c r="L43" s="674">
        <f>industrie!K22</f>
        <v>0</v>
      </c>
      <c r="M43" s="674">
        <f>industrie!L22</f>
        <v>0</v>
      </c>
      <c r="N43" s="674">
        <f>industrie!M22</f>
        <v>0</v>
      </c>
      <c r="O43" s="674">
        <f>industrie!N22</f>
        <v>0</v>
      </c>
      <c r="P43" s="674">
        <f>industrie!O22</f>
        <v>0</v>
      </c>
      <c r="Q43" s="749">
        <f>industrie!P22</f>
        <v>0</v>
      </c>
      <c r="R43" s="829">
        <f t="shared" ca="1" si="4"/>
        <v>1056.2130312516892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13157.524266948727</v>
      </c>
      <c r="D46" s="707">
        <f t="shared" ref="D46:Q46" ca="1" si="5">SUM(D39:D45)</f>
        <v>0</v>
      </c>
      <c r="E46" s="707">
        <f t="shared" ca="1" si="5"/>
        <v>12859.530786135461</v>
      </c>
      <c r="F46" s="707">
        <f t="shared" si="5"/>
        <v>847.89612919767569</v>
      </c>
      <c r="G46" s="707">
        <f t="shared" ca="1" si="5"/>
        <v>29767.431838243156</v>
      </c>
      <c r="H46" s="707">
        <f t="shared" si="5"/>
        <v>0</v>
      </c>
      <c r="I46" s="707">
        <f t="shared" si="5"/>
        <v>0</v>
      </c>
      <c r="J46" s="707">
        <f t="shared" si="5"/>
        <v>0</v>
      </c>
      <c r="K46" s="707">
        <f t="shared" si="5"/>
        <v>691.95324465318322</v>
      </c>
      <c r="L46" s="707">
        <f t="shared" si="5"/>
        <v>0</v>
      </c>
      <c r="M46" s="707">
        <f t="shared" ca="1" si="5"/>
        <v>0</v>
      </c>
      <c r="N46" s="707">
        <f t="shared" si="5"/>
        <v>0</v>
      </c>
      <c r="O46" s="707">
        <f t="shared" ca="1" si="5"/>
        <v>0</v>
      </c>
      <c r="P46" s="707">
        <f t="shared" si="5"/>
        <v>0</v>
      </c>
      <c r="Q46" s="707">
        <f t="shared" si="5"/>
        <v>0</v>
      </c>
      <c r="R46" s="707">
        <f ca="1">SUM(R39:R45)</f>
        <v>57324.336265178201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1.1100178811362722</v>
      </c>
      <c r="D49" s="674">
        <f ca="1">transport!C58</f>
        <v>0</v>
      </c>
      <c r="E49" s="674">
        <f>transport!D58</f>
        <v>0</v>
      </c>
      <c r="F49" s="674">
        <f>transport!E58</f>
        <v>0</v>
      </c>
      <c r="G49" s="674">
        <f>transport!F58</f>
        <v>0</v>
      </c>
      <c r="H49" s="674">
        <f>transport!G58</f>
        <v>288.80152951112922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289.9115473922655</v>
      </c>
    </row>
    <row r="50" spans="1:18">
      <c r="A50" s="805" t="s">
        <v>296</v>
      </c>
      <c r="B50" s="815"/>
      <c r="C50" s="984">
        <f ca="1">transport!B18</f>
        <v>1.8161212353901892</v>
      </c>
      <c r="D50" s="984">
        <f>transport!C18</f>
        <v>0</v>
      </c>
      <c r="E50" s="984">
        <f>transport!D18</f>
        <v>2.5950175465361802</v>
      </c>
      <c r="F50" s="984">
        <f>transport!E18</f>
        <v>185.3292091562052</v>
      </c>
      <c r="G50" s="984">
        <f>transport!F18</f>
        <v>0</v>
      </c>
      <c r="H50" s="984">
        <f>transport!G18</f>
        <v>43396.035267836094</v>
      </c>
      <c r="I50" s="984">
        <f>transport!H18</f>
        <v>7615.0344228582271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51200.810038632451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2.9261391165264614</v>
      </c>
      <c r="D52" s="707">
        <f t="shared" ref="D52:Q52" ca="1" si="6">SUM(D48:D51)</f>
        <v>0</v>
      </c>
      <c r="E52" s="707">
        <f t="shared" si="6"/>
        <v>2.5950175465361802</v>
      </c>
      <c r="F52" s="707">
        <f t="shared" si="6"/>
        <v>185.3292091562052</v>
      </c>
      <c r="G52" s="707">
        <f t="shared" si="6"/>
        <v>0</v>
      </c>
      <c r="H52" s="707">
        <f t="shared" si="6"/>
        <v>43684.836797347227</v>
      </c>
      <c r="I52" s="707">
        <f t="shared" si="6"/>
        <v>7615.0344228582271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51490.721586024716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96.146108651954648</v>
      </c>
      <c r="D54" s="984">
        <f ca="1">+landbouw!C12</f>
        <v>0</v>
      </c>
      <c r="E54" s="984">
        <f>+landbouw!D12</f>
        <v>143.01141095850537</v>
      </c>
      <c r="F54" s="984">
        <f>+landbouw!E12</f>
        <v>1.0045216005153776</v>
      </c>
      <c r="G54" s="984">
        <f>+landbouw!F12</f>
        <v>409.28340373495695</v>
      </c>
      <c r="H54" s="984">
        <f>+landbouw!G12</f>
        <v>0</v>
      </c>
      <c r="I54" s="984">
        <f>+landbouw!H12</f>
        <v>0</v>
      </c>
      <c r="J54" s="984">
        <f>+landbouw!I12</f>
        <v>0</v>
      </c>
      <c r="K54" s="984">
        <f>+landbouw!J12</f>
        <v>20.570349418889691</v>
      </c>
      <c r="L54" s="984">
        <f>+landbouw!K12</f>
        <v>0</v>
      </c>
      <c r="M54" s="984">
        <f>+landbouw!L12</f>
        <v>0</v>
      </c>
      <c r="N54" s="984">
        <f>+landbouw!M12</f>
        <v>0</v>
      </c>
      <c r="O54" s="984">
        <f>+landbouw!N12</f>
        <v>0</v>
      </c>
      <c r="P54" s="984">
        <f>+landbouw!O12</f>
        <v>0</v>
      </c>
      <c r="Q54" s="985">
        <f>+landbouw!P12</f>
        <v>0</v>
      </c>
      <c r="R54" s="706">
        <f ca="1">SUM(C54:Q54)</f>
        <v>670.015794364822</v>
      </c>
    </row>
    <row r="55" spans="1:18" ht="15" thickBot="1">
      <c r="A55" s="805" t="s">
        <v>873</v>
      </c>
      <c r="B55" s="815"/>
      <c r="C55" s="984">
        <f ca="1">C25*'EF ele_warmte'!B12</f>
        <v>328.8546586543568</v>
      </c>
      <c r="D55" s="984"/>
      <c r="E55" s="984">
        <f>E25*EF_CO2_aardgas</f>
        <v>404.03499377652696</v>
      </c>
      <c r="F55" s="984"/>
      <c r="G55" s="984"/>
      <c r="H55" s="984"/>
      <c r="I55" s="984"/>
      <c r="J55" s="984"/>
      <c r="K55" s="984"/>
      <c r="L55" s="984"/>
      <c r="M55" s="984"/>
      <c r="N55" s="984"/>
      <c r="O55" s="984"/>
      <c r="P55" s="984"/>
      <c r="Q55" s="985"/>
      <c r="R55" s="706">
        <f ca="1">SUM(C55:Q55)</f>
        <v>732.88965243088376</v>
      </c>
    </row>
    <row r="56" spans="1:18" ht="15.75" thickBot="1">
      <c r="A56" s="803" t="s">
        <v>874</v>
      </c>
      <c r="B56" s="816"/>
      <c r="C56" s="707">
        <f ca="1">SUM(C54:C55)</f>
        <v>425.00076730631145</v>
      </c>
      <c r="D56" s="707">
        <f t="shared" ref="D56:Q56" ca="1" si="7">SUM(D54:D55)</f>
        <v>0</v>
      </c>
      <c r="E56" s="707">
        <f t="shared" si="7"/>
        <v>547.0464047350323</v>
      </c>
      <c r="F56" s="707">
        <f t="shared" si="7"/>
        <v>1.0045216005153776</v>
      </c>
      <c r="G56" s="707">
        <f t="shared" si="7"/>
        <v>409.28340373495695</v>
      </c>
      <c r="H56" s="707">
        <f t="shared" si="7"/>
        <v>0</v>
      </c>
      <c r="I56" s="707">
        <f t="shared" si="7"/>
        <v>0</v>
      </c>
      <c r="J56" s="707">
        <f t="shared" si="7"/>
        <v>0</v>
      </c>
      <c r="K56" s="707">
        <f t="shared" si="7"/>
        <v>20.570349418889691</v>
      </c>
      <c r="L56" s="707">
        <f t="shared" si="7"/>
        <v>0</v>
      </c>
      <c r="M56" s="707">
        <f t="shared" si="7"/>
        <v>0</v>
      </c>
      <c r="N56" s="707">
        <f t="shared" si="7"/>
        <v>0</v>
      </c>
      <c r="O56" s="707">
        <f t="shared" si="7"/>
        <v>0</v>
      </c>
      <c r="P56" s="707">
        <f t="shared" si="7"/>
        <v>0</v>
      </c>
      <c r="Q56" s="708">
        <f t="shared" si="7"/>
        <v>0</v>
      </c>
      <c r="R56" s="709">
        <f ca="1">SUM(R54:R55)</f>
        <v>1402.9054467957058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13585.451173371566</v>
      </c>
      <c r="D61" s="715">
        <f t="shared" ref="D61:Q61" ca="1" si="8">D46+D52+D56</f>
        <v>0</v>
      </c>
      <c r="E61" s="715">
        <f t="shared" ca="1" si="8"/>
        <v>13409.172208417031</v>
      </c>
      <c r="F61" s="715">
        <f t="shared" si="8"/>
        <v>1034.2298599543963</v>
      </c>
      <c r="G61" s="715">
        <f t="shared" ca="1" si="8"/>
        <v>30176.715241978112</v>
      </c>
      <c r="H61" s="715">
        <f t="shared" si="8"/>
        <v>43684.836797347227</v>
      </c>
      <c r="I61" s="715">
        <f t="shared" si="8"/>
        <v>7615.0344228582271</v>
      </c>
      <c r="J61" s="715">
        <f t="shared" si="8"/>
        <v>0</v>
      </c>
      <c r="K61" s="715">
        <f t="shared" si="8"/>
        <v>712.52359407207291</v>
      </c>
      <c r="L61" s="715">
        <f t="shared" si="8"/>
        <v>0</v>
      </c>
      <c r="M61" s="715">
        <f t="shared" ca="1" si="8"/>
        <v>0</v>
      </c>
      <c r="N61" s="715">
        <f t="shared" si="8"/>
        <v>0</v>
      </c>
      <c r="O61" s="715">
        <f t="shared" ca="1" si="8"/>
        <v>0</v>
      </c>
      <c r="P61" s="715">
        <f t="shared" si="8"/>
        <v>0</v>
      </c>
      <c r="Q61" s="715">
        <f t="shared" si="8"/>
        <v>0</v>
      </c>
      <c r="R61" s="715">
        <f ca="1">R46+R52+R56</f>
        <v>110217.96329799862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0.20468220216537689</v>
      </c>
      <c r="D63" s="759">
        <f t="shared" ca="1" si="9"/>
        <v>0</v>
      </c>
      <c r="E63" s="986">
        <f t="shared" ca="1" si="9"/>
        <v>0.20200000000000007</v>
      </c>
      <c r="F63" s="759">
        <f t="shared" si="9"/>
        <v>0.22699999999999998</v>
      </c>
      <c r="G63" s="759">
        <f t="shared" ca="1" si="9"/>
        <v>0.26700000000000002</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4900.7580234596498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4900.7580234596498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43603.301270979013</v>
      </c>
      <c r="C4" s="447">
        <f>huishoudens!C8</f>
        <v>0</v>
      </c>
      <c r="D4" s="447">
        <f>huishoudens!D8</f>
        <v>48394.22345239525</v>
      </c>
      <c r="E4" s="447">
        <f>huishoudens!E8</f>
        <v>3519.998912898548</v>
      </c>
      <c r="F4" s="447">
        <f>huishoudens!F8</f>
        <v>107314.54725599992</v>
      </c>
      <c r="G4" s="447">
        <f>huishoudens!G8</f>
        <v>0</v>
      </c>
      <c r="H4" s="447">
        <f>huishoudens!H8</f>
        <v>0</v>
      </c>
      <c r="I4" s="447">
        <f>huishoudens!I8</f>
        <v>0</v>
      </c>
      <c r="J4" s="447">
        <f>huishoudens!J8</f>
        <v>1947.1850666532046</v>
      </c>
      <c r="K4" s="447">
        <f>huishoudens!K8</f>
        <v>0</v>
      </c>
      <c r="L4" s="447">
        <f>huishoudens!L8</f>
        <v>0</v>
      </c>
      <c r="M4" s="447">
        <f>huishoudens!M8</f>
        <v>0</v>
      </c>
      <c r="N4" s="447">
        <f>huishoudens!N8</f>
        <v>15152.750372606019</v>
      </c>
      <c r="O4" s="447">
        <f>huishoudens!O8</f>
        <v>145.39000000000001</v>
      </c>
      <c r="P4" s="448">
        <f>huishoudens!P8</f>
        <v>572</v>
      </c>
      <c r="Q4" s="449">
        <f>SUM(B4:P4)</f>
        <v>220649.39633153196</v>
      </c>
    </row>
    <row r="5" spans="1:17">
      <c r="A5" s="446" t="s">
        <v>149</v>
      </c>
      <c r="B5" s="447">
        <f ca="1">tertiair!B16</f>
        <v>16522.758029147335</v>
      </c>
      <c r="C5" s="447">
        <f ca="1">tertiair!C16</f>
        <v>0</v>
      </c>
      <c r="D5" s="447">
        <f ca="1">tertiair!D16</f>
        <v>13985.421432011673</v>
      </c>
      <c r="E5" s="447">
        <f>tertiair!E16</f>
        <v>192.86241133395163</v>
      </c>
      <c r="F5" s="447">
        <f ca="1">tertiair!F16</f>
        <v>3326.1529828426428</v>
      </c>
      <c r="G5" s="447">
        <f>tertiair!G16</f>
        <v>0</v>
      </c>
      <c r="H5" s="447">
        <f>tertiair!H16</f>
        <v>0</v>
      </c>
      <c r="I5" s="447">
        <f>tertiair!I16</f>
        <v>0</v>
      </c>
      <c r="J5" s="447">
        <f>tertiair!J16</f>
        <v>0</v>
      </c>
      <c r="K5" s="447">
        <f>tertiair!K16</f>
        <v>0</v>
      </c>
      <c r="L5" s="447">
        <f ca="1">tertiair!L16</f>
        <v>0</v>
      </c>
      <c r="M5" s="447">
        <f>tertiair!M16</f>
        <v>0</v>
      </c>
      <c r="N5" s="447">
        <f ca="1">tertiair!N16</f>
        <v>923.80168551870679</v>
      </c>
      <c r="O5" s="447">
        <f>tertiair!O16</f>
        <v>0</v>
      </c>
      <c r="P5" s="448">
        <f>tertiair!P16</f>
        <v>38.133333333333333</v>
      </c>
      <c r="Q5" s="446">
        <f t="shared" ref="Q5:Q14" ca="1" si="0">SUM(B5:P5)</f>
        <v>34989.129874187645</v>
      </c>
    </row>
    <row r="6" spans="1:17">
      <c r="A6" s="446" t="s">
        <v>187</v>
      </c>
      <c r="B6" s="447">
        <f>'openbare verlichting'!B8</f>
        <v>1404.6690000000001</v>
      </c>
      <c r="C6" s="447"/>
      <c r="D6" s="447"/>
      <c r="E6" s="447"/>
      <c r="F6" s="447"/>
      <c r="G6" s="447"/>
      <c r="H6" s="447"/>
      <c r="I6" s="447"/>
      <c r="J6" s="447"/>
      <c r="K6" s="447"/>
      <c r="L6" s="447"/>
      <c r="M6" s="447"/>
      <c r="N6" s="447"/>
      <c r="O6" s="447"/>
      <c r="P6" s="448"/>
      <c r="Q6" s="446">
        <f t="shared" si="0"/>
        <v>1404.6690000000001</v>
      </c>
    </row>
    <row r="7" spans="1:17">
      <c r="A7" s="446" t="s">
        <v>105</v>
      </c>
      <c r="B7" s="447">
        <f>landbouw!B8</f>
        <v>469.73360475314593</v>
      </c>
      <c r="C7" s="447">
        <f>landbouw!C8</f>
        <v>0</v>
      </c>
      <c r="D7" s="447">
        <f>landbouw!D8</f>
        <v>707.97728197279878</v>
      </c>
      <c r="E7" s="447">
        <f>landbouw!E8</f>
        <v>4.4252052886139985</v>
      </c>
      <c r="F7" s="447">
        <f>landbouw!F8</f>
        <v>1532.8966432020859</v>
      </c>
      <c r="G7" s="447">
        <f>landbouw!G8</f>
        <v>0</v>
      </c>
      <c r="H7" s="447">
        <f>landbouw!H8</f>
        <v>0</v>
      </c>
      <c r="I7" s="447">
        <f>landbouw!I8</f>
        <v>0</v>
      </c>
      <c r="J7" s="447">
        <f>landbouw!J8</f>
        <v>58.108331691778787</v>
      </c>
      <c r="K7" s="447">
        <f>landbouw!K8</f>
        <v>0</v>
      </c>
      <c r="L7" s="447">
        <f>landbouw!L8</f>
        <v>0</v>
      </c>
      <c r="M7" s="447">
        <f>landbouw!M8</f>
        <v>0</v>
      </c>
      <c r="N7" s="447">
        <f>landbouw!N8</f>
        <v>0</v>
      </c>
      <c r="O7" s="447">
        <f>landbouw!O8</f>
        <v>0</v>
      </c>
      <c r="P7" s="448">
        <f>landbouw!P8</f>
        <v>0</v>
      </c>
      <c r="Q7" s="446">
        <f t="shared" si="0"/>
        <v>2773.1410669084235</v>
      </c>
    </row>
    <row r="8" spans="1:17">
      <c r="A8" s="446" t="s">
        <v>665</v>
      </c>
      <c r="B8" s="447">
        <f>industrie!B18</f>
        <v>2751.9700867019142</v>
      </c>
      <c r="C8" s="447">
        <f>industrie!C18</f>
        <v>0</v>
      </c>
      <c r="D8" s="447">
        <f>industrie!D18</f>
        <v>1281.3986113131682</v>
      </c>
      <c r="E8" s="447">
        <f>industrie!E18</f>
        <v>22.363914523781133</v>
      </c>
      <c r="F8" s="447">
        <f>industrie!F18</f>
        <v>847.80851862243924</v>
      </c>
      <c r="G8" s="447">
        <f>industrie!G18</f>
        <v>0</v>
      </c>
      <c r="H8" s="447">
        <f>industrie!H18</f>
        <v>0</v>
      </c>
      <c r="I8" s="447">
        <f>industrie!I18</f>
        <v>0</v>
      </c>
      <c r="J8" s="447">
        <f>industrie!J18</f>
        <v>7.4851159829064589</v>
      </c>
      <c r="K8" s="447">
        <f>industrie!K18</f>
        <v>0</v>
      </c>
      <c r="L8" s="447">
        <f>industrie!L18</f>
        <v>0</v>
      </c>
      <c r="M8" s="447">
        <f>industrie!M18</f>
        <v>0</v>
      </c>
      <c r="N8" s="447">
        <f>industrie!N18</f>
        <v>94.340161925650094</v>
      </c>
      <c r="O8" s="447">
        <f>industrie!O18</f>
        <v>0</v>
      </c>
      <c r="P8" s="448">
        <f>industrie!P18</f>
        <v>0</v>
      </c>
      <c r="Q8" s="446">
        <f t="shared" si="0"/>
        <v>5005.3664090698594</v>
      </c>
    </row>
    <row r="9" spans="1:17" s="452" customFormat="1">
      <c r="A9" s="450" t="s">
        <v>562</v>
      </c>
      <c r="B9" s="451">
        <f>transport!B14</f>
        <v>8.8728830165840193</v>
      </c>
      <c r="C9" s="451">
        <f>transport!C14</f>
        <v>0</v>
      </c>
      <c r="D9" s="451">
        <f>transport!D14</f>
        <v>12.846621517505842</v>
      </c>
      <c r="E9" s="451">
        <f>transport!E14</f>
        <v>816.42823416830481</v>
      </c>
      <c r="F9" s="451">
        <f>transport!F14</f>
        <v>0</v>
      </c>
      <c r="G9" s="451">
        <f>transport!G14</f>
        <v>162531.96729526625</v>
      </c>
      <c r="H9" s="451">
        <f>transport!H14</f>
        <v>30582.467561679627</v>
      </c>
      <c r="I9" s="451">
        <f>transport!I14</f>
        <v>0</v>
      </c>
      <c r="J9" s="451">
        <f>transport!J14</f>
        <v>0</v>
      </c>
      <c r="K9" s="451">
        <f>transport!K14</f>
        <v>0</v>
      </c>
      <c r="L9" s="451">
        <f>transport!L14</f>
        <v>0</v>
      </c>
      <c r="M9" s="451">
        <f>transport!M14</f>
        <v>8632.8127535119402</v>
      </c>
      <c r="N9" s="451">
        <f>transport!N14</f>
        <v>0</v>
      </c>
      <c r="O9" s="451">
        <f>transport!O14</f>
        <v>0</v>
      </c>
      <c r="P9" s="451">
        <f>transport!P14</f>
        <v>0</v>
      </c>
      <c r="Q9" s="450">
        <f>SUM(B9:P9)</f>
        <v>202585.39534916022</v>
      </c>
    </row>
    <row r="10" spans="1:17">
      <c r="A10" s="446" t="s">
        <v>552</v>
      </c>
      <c r="B10" s="447">
        <f>transport!B54</f>
        <v>5.4231284859804871</v>
      </c>
      <c r="C10" s="447">
        <f>transport!C54</f>
        <v>0</v>
      </c>
      <c r="D10" s="447">
        <f>transport!D54</f>
        <v>0</v>
      </c>
      <c r="E10" s="447">
        <f>transport!E54</f>
        <v>0</v>
      </c>
      <c r="F10" s="447">
        <f>transport!F54</f>
        <v>0</v>
      </c>
      <c r="G10" s="447">
        <f>transport!G54</f>
        <v>1081.6536685810083</v>
      </c>
      <c r="H10" s="447">
        <f>transport!H54</f>
        <v>0</v>
      </c>
      <c r="I10" s="447">
        <f>transport!I54</f>
        <v>0</v>
      </c>
      <c r="J10" s="447">
        <f>transport!J54</f>
        <v>0</v>
      </c>
      <c r="K10" s="447">
        <f>transport!K54</f>
        <v>0</v>
      </c>
      <c r="L10" s="447">
        <f>transport!L54</f>
        <v>0</v>
      </c>
      <c r="M10" s="447">
        <f>transport!M54</f>
        <v>47.807940125456177</v>
      </c>
      <c r="N10" s="447">
        <f>transport!N54</f>
        <v>0</v>
      </c>
      <c r="O10" s="447">
        <f>transport!O54</f>
        <v>0</v>
      </c>
      <c r="P10" s="448">
        <f>transport!P54</f>
        <v>0</v>
      </c>
      <c r="Q10" s="446">
        <f t="shared" si="0"/>
        <v>1134.8847371924448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1606.6597641384201</v>
      </c>
      <c r="C14" s="454"/>
      <c r="D14" s="454">
        <f>'SEAP template'!E25</f>
        <v>2000.1732365174601</v>
      </c>
      <c r="E14" s="454"/>
      <c r="F14" s="454"/>
      <c r="G14" s="454"/>
      <c r="H14" s="454"/>
      <c r="I14" s="454"/>
      <c r="J14" s="454"/>
      <c r="K14" s="454"/>
      <c r="L14" s="454"/>
      <c r="M14" s="454"/>
      <c r="N14" s="454"/>
      <c r="O14" s="454"/>
      <c r="P14" s="455"/>
      <c r="Q14" s="446">
        <f t="shared" si="0"/>
        <v>3606.8330006558799</v>
      </c>
    </row>
    <row r="15" spans="1:17" s="459" customFormat="1">
      <c r="A15" s="456" t="s">
        <v>556</v>
      </c>
      <c r="B15" s="457">
        <f ca="1">SUM(B4:B14)</f>
        <v>66373.38776722239</v>
      </c>
      <c r="C15" s="457">
        <f t="shared" ref="C15:Q15" ca="1" si="1">SUM(C4:C14)</f>
        <v>0</v>
      </c>
      <c r="D15" s="457">
        <f t="shared" ca="1" si="1"/>
        <v>66382.040635727855</v>
      </c>
      <c r="E15" s="457">
        <f t="shared" si="1"/>
        <v>4556.0786782132</v>
      </c>
      <c r="F15" s="457">
        <f t="shared" ca="1" si="1"/>
        <v>113021.40540066708</v>
      </c>
      <c r="G15" s="457">
        <f t="shared" si="1"/>
        <v>163613.62096384726</v>
      </c>
      <c r="H15" s="457">
        <f t="shared" si="1"/>
        <v>30582.467561679627</v>
      </c>
      <c r="I15" s="457">
        <f t="shared" si="1"/>
        <v>0</v>
      </c>
      <c r="J15" s="457">
        <f t="shared" si="1"/>
        <v>2012.77851432789</v>
      </c>
      <c r="K15" s="457">
        <f t="shared" si="1"/>
        <v>0</v>
      </c>
      <c r="L15" s="457">
        <f t="shared" ca="1" si="1"/>
        <v>0</v>
      </c>
      <c r="M15" s="457">
        <f t="shared" si="1"/>
        <v>8680.6206936373965</v>
      </c>
      <c r="N15" s="457">
        <f t="shared" ca="1" si="1"/>
        <v>16170.892220050375</v>
      </c>
      <c r="O15" s="457">
        <f t="shared" si="1"/>
        <v>145.39000000000001</v>
      </c>
      <c r="P15" s="457">
        <f t="shared" si="1"/>
        <v>610.13333333333333</v>
      </c>
      <c r="Q15" s="457">
        <f t="shared" ca="1" si="1"/>
        <v>472148.81576870638</v>
      </c>
    </row>
    <row r="17" spans="1:17">
      <c r="A17" s="460" t="s">
        <v>557</v>
      </c>
      <c r="B17" s="764">
        <f ca="1">huishoudens!B10</f>
        <v>0.20468220216537686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8924.8197258243599</v>
      </c>
      <c r="C22" s="447">
        <f t="shared" ref="C22:C32" ca="1" si="3">C4*$C$17</f>
        <v>0</v>
      </c>
      <c r="D22" s="447">
        <f t="shared" ref="D22:D32" si="4">D4*$D$17</f>
        <v>9775.633137383842</v>
      </c>
      <c r="E22" s="447">
        <f t="shared" ref="E22:E32" si="5">E4*$E$17</f>
        <v>799.03975322797044</v>
      </c>
      <c r="F22" s="447">
        <f t="shared" ref="F22:F32" si="6">F4*$F$17</f>
        <v>28652.984117351978</v>
      </c>
      <c r="G22" s="447">
        <f t="shared" ref="G22:G32" si="7">G4*$G$17</f>
        <v>0</v>
      </c>
      <c r="H22" s="447">
        <f t="shared" ref="H22:H32" si="8">H4*$H$17</f>
        <v>0</v>
      </c>
      <c r="I22" s="447">
        <f t="shared" ref="I22:I32" si="9">I4*$I$17</f>
        <v>0</v>
      </c>
      <c r="J22" s="447">
        <f t="shared" ref="J22:J32" si="10">J4*$J$17</f>
        <v>689.30351359523434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48841.780247383387</v>
      </c>
    </row>
    <row r="23" spans="1:17">
      <c r="A23" s="446" t="s">
        <v>149</v>
      </c>
      <c r="B23" s="447">
        <f t="shared" ca="1" si="2"/>
        <v>3381.9144992515385</v>
      </c>
      <c r="C23" s="447">
        <f t="shared" ca="1" si="3"/>
        <v>0</v>
      </c>
      <c r="D23" s="447">
        <f t="shared" ca="1" si="4"/>
        <v>2825.0551292663581</v>
      </c>
      <c r="E23" s="447">
        <f t="shared" si="5"/>
        <v>43.779767372807022</v>
      </c>
      <c r="F23" s="447">
        <f t="shared" ca="1" si="6"/>
        <v>888.0828464189857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7138.8322423096888</v>
      </c>
    </row>
    <row r="24" spans="1:17">
      <c r="A24" s="446" t="s">
        <v>187</v>
      </c>
      <c r="B24" s="447">
        <f t="shared" ca="1" si="2"/>
        <v>287.51074423343778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287.51074423343778</v>
      </c>
    </row>
    <row r="25" spans="1:17">
      <c r="A25" s="446" t="s">
        <v>105</v>
      </c>
      <c r="B25" s="447">
        <f t="shared" ca="1" si="2"/>
        <v>96.146108651954648</v>
      </c>
      <c r="C25" s="447">
        <f t="shared" ca="1" si="3"/>
        <v>0</v>
      </c>
      <c r="D25" s="447">
        <f t="shared" si="4"/>
        <v>143.01141095850537</v>
      </c>
      <c r="E25" s="447">
        <f t="shared" si="5"/>
        <v>1.0045216005153776</v>
      </c>
      <c r="F25" s="447">
        <f t="shared" si="6"/>
        <v>409.28340373495695</v>
      </c>
      <c r="G25" s="447">
        <f t="shared" si="7"/>
        <v>0</v>
      </c>
      <c r="H25" s="447">
        <f t="shared" si="8"/>
        <v>0</v>
      </c>
      <c r="I25" s="447">
        <f t="shared" si="9"/>
        <v>0</v>
      </c>
      <c r="J25" s="447">
        <f t="shared" si="10"/>
        <v>20.570349418889691</v>
      </c>
      <c r="K25" s="447">
        <f t="shared" si="11"/>
        <v>0</v>
      </c>
      <c r="L25" s="447">
        <f t="shared" si="12"/>
        <v>0</v>
      </c>
      <c r="M25" s="447">
        <f t="shared" si="13"/>
        <v>0</v>
      </c>
      <c r="N25" s="447">
        <f t="shared" si="14"/>
        <v>0</v>
      </c>
      <c r="O25" s="447">
        <f t="shared" si="15"/>
        <v>0</v>
      </c>
      <c r="P25" s="448">
        <f t="shared" si="16"/>
        <v>0</v>
      </c>
      <c r="Q25" s="446">
        <f t="shared" ca="1" si="17"/>
        <v>670.015794364822</v>
      </c>
    </row>
    <row r="26" spans="1:17">
      <c r="A26" s="446" t="s">
        <v>665</v>
      </c>
      <c r="B26" s="447">
        <f t="shared" ca="1" si="2"/>
        <v>563.27929763939085</v>
      </c>
      <c r="C26" s="447">
        <f t="shared" ca="1" si="3"/>
        <v>0</v>
      </c>
      <c r="D26" s="447">
        <f t="shared" si="4"/>
        <v>258.84251948525997</v>
      </c>
      <c r="E26" s="447">
        <f t="shared" si="5"/>
        <v>5.0766085968983177</v>
      </c>
      <c r="F26" s="447">
        <f t="shared" si="6"/>
        <v>226.3648744721913</v>
      </c>
      <c r="G26" s="447">
        <f t="shared" si="7"/>
        <v>0</v>
      </c>
      <c r="H26" s="447">
        <f t="shared" si="8"/>
        <v>0</v>
      </c>
      <c r="I26" s="447">
        <f t="shared" si="9"/>
        <v>0</v>
      </c>
      <c r="J26" s="447">
        <f t="shared" si="10"/>
        <v>2.6497310579488862</v>
      </c>
      <c r="K26" s="447">
        <f t="shared" si="11"/>
        <v>0</v>
      </c>
      <c r="L26" s="447">
        <f t="shared" si="12"/>
        <v>0</v>
      </c>
      <c r="M26" s="447">
        <f t="shared" si="13"/>
        <v>0</v>
      </c>
      <c r="N26" s="447">
        <f t="shared" si="14"/>
        <v>0</v>
      </c>
      <c r="O26" s="447">
        <f t="shared" si="15"/>
        <v>0</v>
      </c>
      <c r="P26" s="448">
        <f t="shared" si="16"/>
        <v>0</v>
      </c>
      <c r="Q26" s="446">
        <f t="shared" ca="1" si="17"/>
        <v>1056.2130312516892</v>
      </c>
    </row>
    <row r="27" spans="1:17" s="452" customFormat="1">
      <c r="A27" s="450" t="s">
        <v>562</v>
      </c>
      <c r="B27" s="758">
        <f t="shared" ca="1" si="2"/>
        <v>1.8161212353901892</v>
      </c>
      <c r="C27" s="451">
        <f t="shared" ca="1" si="3"/>
        <v>0</v>
      </c>
      <c r="D27" s="451">
        <f t="shared" si="4"/>
        <v>2.5950175465361802</v>
      </c>
      <c r="E27" s="451">
        <f t="shared" si="5"/>
        <v>185.3292091562052</v>
      </c>
      <c r="F27" s="451">
        <f t="shared" si="6"/>
        <v>0</v>
      </c>
      <c r="G27" s="451">
        <f t="shared" si="7"/>
        <v>43396.035267836094</v>
      </c>
      <c r="H27" s="451">
        <f t="shared" si="8"/>
        <v>7615.0344228582271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51200.810038632451</v>
      </c>
    </row>
    <row r="28" spans="1:17">
      <c r="A28" s="446" t="s">
        <v>552</v>
      </c>
      <c r="B28" s="447">
        <f t="shared" ca="1" si="2"/>
        <v>1.1100178811362722</v>
      </c>
      <c r="C28" s="447">
        <f t="shared" ca="1" si="3"/>
        <v>0</v>
      </c>
      <c r="D28" s="447">
        <f t="shared" si="4"/>
        <v>0</v>
      </c>
      <c r="E28" s="447">
        <f t="shared" si="5"/>
        <v>0</v>
      </c>
      <c r="F28" s="447">
        <f t="shared" si="6"/>
        <v>0</v>
      </c>
      <c r="G28" s="447">
        <f t="shared" si="7"/>
        <v>288.80152951112922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289.9115473922655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328.8546586543568</v>
      </c>
      <c r="C32" s="447">
        <f t="shared" ca="1" si="3"/>
        <v>0</v>
      </c>
      <c r="D32" s="447">
        <f t="shared" si="4"/>
        <v>404.03499377652696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732.88965243088376</v>
      </c>
    </row>
    <row r="33" spans="1:17" s="459" customFormat="1">
      <c r="A33" s="456" t="s">
        <v>556</v>
      </c>
      <c r="B33" s="457">
        <f ca="1">SUM(B22:B32)</f>
        <v>13585.451173371563</v>
      </c>
      <c r="C33" s="457">
        <f t="shared" ref="C33:Q33" ca="1" si="18">SUM(C22:C32)</f>
        <v>0</v>
      </c>
      <c r="D33" s="457">
        <f t="shared" ca="1" si="18"/>
        <v>13409.172208417031</v>
      </c>
      <c r="E33" s="457">
        <f t="shared" si="18"/>
        <v>1034.2298599543963</v>
      </c>
      <c r="F33" s="457">
        <f t="shared" ca="1" si="18"/>
        <v>30176.715241978112</v>
      </c>
      <c r="G33" s="457">
        <f t="shared" si="18"/>
        <v>43684.836797347227</v>
      </c>
      <c r="H33" s="457">
        <f t="shared" si="18"/>
        <v>7615.0344228582271</v>
      </c>
      <c r="I33" s="457">
        <f t="shared" si="18"/>
        <v>0</v>
      </c>
      <c r="J33" s="457">
        <f t="shared" si="18"/>
        <v>712.52359407207291</v>
      </c>
      <c r="K33" s="457">
        <f t="shared" si="18"/>
        <v>0</v>
      </c>
      <c r="L33" s="457">
        <f t="shared" ca="1" si="18"/>
        <v>0</v>
      </c>
      <c r="M33" s="457">
        <f t="shared" si="18"/>
        <v>0</v>
      </c>
      <c r="N33" s="457">
        <f t="shared" ca="1" si="18"/>
        <v>0</v>
      </c>
      <c r="O33" s="457">
        <f t="shared" si="18"/>
        <v>0</v>
      </c>
      <c r="P33" s="457">
        <f t="shared" si="18"/>
        <v>0</v>
      </c>
      <c r="Q33" s="457">
        <f t="shared" ca="1" si="18"/>
        <v>110217.96329799863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4900.7580234596498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4900.7580234596498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0.20468220216537686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0.20468220216537686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0.20468220216537686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0.20468220216537686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9698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1715</v>
      </c>
      <c r="C14" s="327"/>
      <c r="D14" s="327"/>
      <c r="E14" s="327"/>
      <c r="F14" s="327"/>
    </row>
    <row r="15" spans="1:6">
      <c r="A15" s="1293" t="s">
        <v>177</v>
      </c>
      <c r="B15" s="1294">
        <v>562</v>
      </c>
      <c r="C15" s="327"/>
      <c r="D15" s="327"/>
      <c r="E15" s="327"/>
      <c r="F15" s="327"/>
    </row>
    <row r="16" spans="1:6">
      <c r="A16" s="1293" t="s">
        <v>6</v>
      </c>
      <c r="B16" s="1294">
        <v>371</v>
      </c>
      <c r="C16" s="327"/>
      <c r="D16" s="327"/>
      <c r="E16" s="327"/>
      <c r="F16" s="327"/>
    </row>
    <row r="17" spans="1:6">
      <c r="A17" s="1293" t="s">
        <v>7</v>
      </c>
      <c r="B17" s="1294">
        <v>219</v>
      </c>
      <c r="C17" s="327"/>
      <c r="D17" s="327"/>
      <c r="E17" s="327"/>
      <c r="F17" s="327"/>
    </row>
    <row r="18" spans="1:6">
      <c r="A18" s="1293" t="s">
        <v>8</v>
      </c>
      <c r="B18" s="1294">
        <v>387</v>
      </c>
      <c r="C18" s="327"/>
      <c r="D18" s="327"/>
      <c r="E18" s="327"/>
      <c r="F18" s="327"/>
    </row>
    <row r="19" spans="1:6">
      <c r="A19" s="1293" t="s">
        <v>9</v>
      </c>
      <c r="B19" s="1294">
        <v>363</v>
      </c>
      <c r="C19" s="327"/>
      <c r="D19" s="327"/>
      <c r="E19" s="327"/>
      <c r="F19" s="327"/>
    </row>
    <row r="20" spans="1:6">
      <c r="A20" s="1293" t="s">
        <v>10</v>
      </c>
      <c r="B20" s="1294">
        <v>330</v>
      </c>
      <c r="C20" s="327"/>
      <c r="D20" s="327"/>
      <c r="E20" s="327"/>
      <c r="F20" s="327"/>
    </row>
    <row r="21" spans="1:6">
      <c r="A21" s="1293" t="s">
        <v>11</v>
      </c>
      <c r="B21" s="1294">
        <v>0</v>
      </c>
      <c r="C21" s="327"/>
      <c r="D21" s="327"/>
      <c r="E21" s="327"/>
      <c r="F21" s="327"/>
    </row>
    <row r="22" spans="1:6">
      <c r="A22" s="1293" t="s">
        <v>12</v>
      </c>
      <c r="B22" s="1294">
        <v>975</v>
      </c>
      <c r="C22" s="327"/>
      <c r="D22" s="327"/>
      <c r="E22" s="327"/>
      <c r="F22" s="327"/>
    </row>
    <row r="23" spans="1:6">
      <c r="A23" s="1293" t="s">
        <v>13</v>
      </c>
      <c r="B23" s="1294">
        <v>6</v>
      </c>
      <c r="C23" s="327"/>
      <c r="D23" s="327"/>
      <c r="E23" s="327"/>
      <c r="F23" s="327"/>
    </row>
    <row r="24" spans="1:6">
      <c r="A24" s="1293" t="s">
        <v>14</v>
      </c>
      <c r="B24" s="1294">
        <v>0</v>
      </c>
      <c r="C24" s="327"/>
      <c r="D24" s="327"/>
      <c r="E24" s="327"/>
      <c r="F24" s="327"/>
    </row>
    <row r="25" spans="1:6">
      <c r="A25" s="1293" t="s">
        <v>15</v>
      </c>
      <c r="B25" s="1294">
        <v>2</v>
      </c>
      <c r="C25" s="327"/>
      <c r="D25" s="327"/>
      <c r="E25" s="327"/>
      <c r="F25" s="327"/>
    </row>
    <row r="26" spans="1:6">
      <c r="A26" s="1293" t="s">
        <v>16</v>
      </c>
      <c r="B26" s="1294">
        <v>224</v>
      </c>
      <c r="C26" s="327"/>
      <c r="D26" s="327"/>
      <c r="E26" s="327"/>
      <c r="F26" s="327"/>
    </row>
    <row r="27" spans="1:6">
      <c r="A27" s="1293" t="s">
        <v>17</v>
      </c>
      <c r="B27" s="1294">
        <v>2</v>
      </c>
      <c r="C27" s="327"/>
      <c r="D27" s="327"/>
      <c r="E27" s="327"/>
      <c r="F27" s="327"/>
    </row>
    <row r="28" spans="1:6">
      <c r="A28" s="1293" t="s">
        <v>18</v>
      </c>
      <c r="B28" s="1295">
        <v>0</v>
      </c>
      <c r="C28" s="327"/>
      <c r="D28" s="327"/>
      <c r="E28" s="327"/>
      <c r="F28" s="327"/>
    </row>
    <row r="29" spans="1:6">
      <c r="A29" s="1293" t="s">
        <v>955</v>
      </c>
      <c r="B29" s="1295">
        <v>75</v>
      </c>
      <c r="C29" s="327"/>
      <c r="D29" s="327"/>
      <c r="E29" s="327"/>
      <c r="F29" s="327"/>
    </row>
    <row r="30" spans="1:6">
      <c r="A30" s="1288" t="s">
        <v>956</v>
      </c>
      <c r="B30" s="1296">
        <v>30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10432.943606720401</v>
      </c>
    </row>
    <row r="39" spans="1:6">
      <c r="A39" s="1293" t="s">
        <v>29</v>
      </c>
      <c r="B39" s="1293" t="s">
        <v>30</v>
      </c>
      <c r="C39" s="1294">
        <v>3053</v>
      </c>
      <c r="D39" s="1294">
        <v>53652132.430593401</v>
      </c>
      <c r="E39" s="1294">
        <v>9695</v>
      </c>
      <c r="F39" s="1294">
        <v>39570515.714375101</v>
      </c>
    </row>
    <row r="40" spans="1:6">
      <c r="A40" s="1293" t="s">
        <v>29</v>
      </c>
      <c r="B40" s="1293" t="s">
        <v>28</v>
      </c>
      <c r="C40" s="1294">
        <v>0</v>
      </c>
      <c r="D40" s="1294">
        <v>0</v>
      </c>
      <c r="E40" s="1294">
        <v>0</v>
      </c>
      <c r="F40" s="1294">
        <v>0</v>
      </c>
    </row>
    <row r="41" spans="1:6">
      <c r="A41" s="1293" t="s">
        <v>31</v>
      </c>
      <c r="B41" s="1293" t="s">
        <v>32</v>
      </c>
      <c r="C41" s="1294">
        <v>6</v>
      </c>
      <c r="D41" s="1294">
        <v>195354.809549925</v>
      </c>
      <c r="E41" s="1294">
        <v>84</v>
      </c>
      <c r="F41" s="1294">
        <v>689520.20315893798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178904.04434280499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31</v>
      </c>
      <c r="D48" s="1294">
        <v>989034.28826389101</v>
      </c>
      <c r="E48" s="1294">
        <v>59</v>
      </c>
      <c r="F48" s="1294">
        <v>891415.90306025499</v>
      </c>
    </row>
    <row r="49" spans="1:6">
      <c r="A49" s="1293" t="s">
        <v>31</v>
      </c>
      <c r="B49" s="1293" t="s">
        <v>39</v>
      </c>
      <c r="C49" s="1294">
        <v>0</v>
      </c>
      <c r="D49" s="1294">
        <v>0</v>
      </c>
      <c r="E49" s="1294">
        <v>4</v>
      </c>
      <c r="F49" s="1294">
        <v>128856.48084401</v>
      </c>
    </row>
    <row r="50" spans="1:6">
      <c r="A50" s="1293" t="s">
        <v>31</v>
      </c>
      <c r="B50" s="1293" t="s">
        <v>40</v>
      </c>
      <c r="C50" s="1294">
        <v>8</v>
      </c>
      <c r="D50" s="1294">
        <v>236230.20519413101</v>
      </c>
      <c r="E50" s="1294">
        <v>19</v>
      </c>
      <c r="F50" s="1294">
        <v>863273.45529590605</v>
      </c>
    </row>
    <row r="51" spans="1:6">
      <c r="A51" s="1293" t="s">
        <v>41</v>
      </c>
      <c r="B51" s="1293" t="s">
        <v>42</v>
      </c>
      <c r="C51" s="1294">
        <v>0</v>
      </c>
      <c r="D51" s="1294">
        <v>0</v>
      </c>
      <c r="E51" s="1294">
        <v>22</v>
      </c>
      <c r="F51" s="1294">
        <v>288893.11807819997</v>
      </c>
    </row>
    <row r="52" spans="1:6">
      <c r="A52" s="1293" t="s">
        <v>41</v>
      </c>
      <c r="B52" s="1293" t="s">
        <v>28</v>
      </c>
      <c r="C52" s="1294">
        <v>4</v>
      </c>
      <c r="D52" s="1294">
        <v>784897.208395564</v>
      </c>
      <c r="E52" s="1294">
        <v>12</v>
      </c>
      <c r="F52" s="1294">
        <v>180840.48667494601</v>
      </c>
    </row>
    <row r="53" spans="1:6">
      <c r="A53" s="1293" t="s">
        <v>43</v>
      </c>
      <c r="B53" s="1293" t="s">
        <v>44</v>
      </c>
      <c r="C53" s="1294">
        <v>93</v>
      </c>
      <c r="D53" s="1294">
        <v>2000173.2365174601</v>
      </c>
      <c r="E53" s="1294">
        <v>277</v>
      </c>
      <c r="F53" s="1294">
        <v>1606659.7641384201</v>
      </c>
    </row>
    <row r="54" spans="1:6">
      <c r="A54" s="1293" t="s">
        <v>45</v>
      </c>
      <c r="B54" s="1293" t="s">
        <v>46</v>
      </c>
      <c r="C54" s="1294">
        <v>0</v>
      </c>
      <c r="D54" s="1294">
        <v>0</v>
      </c>
      <c r="E54" s="1294">
        <v>1</v>
      </c>
      <c r="F54" s="1294">
        <v>1404669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291815.46835948899</v>
      </c>
      <c r="E57" s="1294">
        <v>71</v>
      </c>
      <c r="F57" s="1294">
        <v>838440.24420531897</v>
      </c>
    </row>
    <row r="58" spans="1:6">
      <c r="A58" s="1293" t="s">
        <v>48</v>
      </c>
      <c r="B58" s="1293" t="s">
        <v>50</v>
      </c>
      <c r="C58" s="1294">
        <v>8</v>
      </c>
      <c r="D58" s="1294">
        <v>555684.02171222097</v>
      </c>
      <c r="E58" s="1294">
        <v>39</v>
      </c>
      <c r="F58" s="1294">
        <v>501131.85920414701</v>
      </c>
    </row>
    <row r="59" spans="1:6">
      <c r="A59" s="1293" t="s">
        <v>48</v>
      </c>
      <c r="B59" s="1293" t="s">
        <v>51</v>
      </c>
      <c r="C59" s="1294">
        <v>41</v>
      </c>
      <c r="D59" s="1294">
        <v>1841460.1895144801</v>
      </c>
      <c r="E59" s="1294">
        <v>150</v>
      </c>
      <c r="F59" s="1294">
        <v>4085560.40538225</v>
      </c>
    </row>
    <row r="60" spans="1:6">
      <c r="A60" s="1293" t="s">
        <v>48</v>
      </c>
      <c r="B60" s="1293" t="s">
        <v>52</v>
      </c>
      <c r="C60" s="1294">
        <v>54</v>
      </c>
      <c r="D60" s="1294">
        <v>2625742.1179907601</v>
      </c>
      <c r="E60" s="1294">
        <v>89</v>
      </c>
      <c r="F60" s="1294">
        <v>2016174.9728228</v>
      </c>
    </row>
    <row r="61" spans="1:6">
      <c r="A61" s="1293" t="s">
        <v>48</v>
      </c>
      <c r="B61" s="1293" t="s">
        <v>53</v>
      </c>
      <c r="C61" s="1294">
        <v>58</v>
      </c>
      <c r="D61" s="1294">
        <v>3965981.9891182198</v>
      </c>
      <c r="E61" s="1294">
        <v>251</v>
      </c>
      <c r="F61" s="1294">
        <v>2665566.8782336898</v>
      </c>
    </row>
    <row r="62" spans="1:6">
      <c r="A62" s="1293" t="s">
        <v>48</v>
      </c>
      <c r="B62" s="1293" t="s">
        <v>54</v>
      </c>
      <c r="C62" s="1294">
        <v>0</v>
      </c>
      <c r="D62" s="1294">
        <v>0</v>
      </c>
      <c r="E62" s="1294">
        <v>14</v>
      </c>
      <c r="F62" s="1294">
        <v>115876.11919353</v>
      </c>
    </row>
    <row r="63" spans="1:6">
      <c r="A63" s="1293" t="s">
        <v>48</v>
      </c>
      <c r="B63" s="1293" t="s">
        <v>28</v>
      </c>
      <c r="C63" s="1294">
        <v>153</v>
      </c>
      <c r="D63" s="1294">
        <v>6224218.0226304103</v>
      </c>
      <c r="E63" s="1294">
        <v>229</v>
      </c>
      <c r="F63" s="1294">
        <v>6300007.5501055997</v>
      </c>
    </row>
    <row r="64" spans="1:6">
      <c r="A64" s="1293" t="s">
        <v>55</v>
      </c>
      <c r="B64" s="1293" t="s">
        <v>56</v>
      </c>
      <c r="C64" s="1294">
        <v>0</v>
      </c>
      <c r="D64" s="1294">
        <v>0</v>
      </c>
      <c r="E64" s="1294">
        <v>0</v>
      </c>
      <c r="F64" s="1294">
        <v>0</v>
      </c>
    </row>
    <row r="65" spans="1:6">
      <c r="A65" s="1293" t="s">
        <v>55</v>
      </c>
      <c r="B65" s="1293" t="s">
        <v>28</v>
      </c>
      <c r="C65" s="1294">
        <v>0</v>
      </c>
      <c r="D65" s="1294">
        <v>0</v>
      </c>
      <c r="E65" s="1294">
        <v>6</v>
      </c>
      <c r="F65" s="1294">
        <v>31832.379009839198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219637.19842150499</v>
      </c>
      <c r="E68" s="1296">
        <v>11</v>
      </c>
      <c r="F68" s="1296">
        <v>82239.929640514907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112860215</v>
      </c>
      <c r="E73" s="445"/>
      <c r="F73" s="327"/>
    </row>
    <row r="74" spans="1:6">
      <c r="A74" s="1293" t="s">
        <v>63</v>
      </c>
      <c r="B74" s="1293" t="s">
        <v>749</v>
      </c>
      <c r="C74" s="1306" t="s">
        <v>743</v>
      </c>
      <c r="D74" s="1294">
        <v>8837777.770956628</v>
      </c>
      <c r="E74" s="445"/>
      <c r="F74" s="327"/>
    </row>
    <row r="75" spans="1:6">
      <c r="A75" s="1293" t="s">
        <v>64</v>
      </c>
      <c r="B75" s="1293" t="s">
        <v>748</v>
      </c>
      <c r="C75" s="1306" t="s">
        <v>744</v>
      </c>
      <c r="D75" s="1294">
        <v>93106085</v>
      </c>
      <c r="E75" s="445"/>
      <c r="F75" s="327"/>
    </row>
    <row r="76" spans="1:6">
      <c r="A76" s="1293" t="s">
        <v>64</v>
      </c>
      <c r="B76" s="1293" t="s">
        <v>749</v>
      </c>
      <c r="C76" s="1306" t="s">
        <v>745</v>
      </c>
      <c r="D76" s="1294">
        <v>3640985.7709566276</v>
      </c>
      <c r="E76" s="445"/>
      <c r="F76" s="327"/>
    </row>
    <row r="77" spans="1:6">
      <c r="A77" s="1293" t="s">
        <v>65</v>
      </c>
      <c r="B77" s="1293" t="s">
        <v>748</v>
      </c>
      <c r="C77" s="1306" t="s">
        <v>746</v>
      </c>
      <c r="D77" s="1294">
        <v>11339142</v>
      </c>
      <c r="E77" s="445"/>
      <c r="F77" s="327"/>
    </row>
    <row r="78" spans="1:6">
      <c r="A78" s="1288" t="s">
        <v>65</v>
      </c>
      <c r="B78" s="1288" t="s">
        <v>749</v>
      </c>
      <c r="C78" s="1288" t="s">
        <v>747</v>
      </c>
      <c r="D78" s="1296">
        <v>1306632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298776.45808674488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4032.7855566039116</v>
      </c>
      <c r="C91" s="327"/>
      <c r="D91" s="327"/>
      <c r="E91" s="327"/>
      <c r="F91" s="327"/>
    </row>
    <row r="92" spans="1:6">
      <c r="A92" s="1288" t="s">
        <v>68</v>
      </c>
      <c r="B92" s="1289">
        <v>867.97246685573828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1234</v>
      </c>
      <c r="C97" s="327"/>
      <c r="D97" s="327"/>
      <c r="E97" s="327"/>
      <c r="F97" s="327"/>
    </row>
    <row r="98" spans="1:6">
      <c r="A98" s="1293" t="s">
        <v>71</v>
      </c>
      <c r="B98" s="1294">
        <v>1</v>
      </c>
      <c r="C98" s="327"/>
      <c r="D98" s="327"/>
      <c r="E98" s="327"/>
      <c r="F98" s="327"/>
    </row>
    <row r="99" spans="1:6">
      <c r="A99" s="1293" t="s">
        <v>72</v>
      </c>
      <c r="B99" s="1294">
        <v>130</v>
      </c>
      <c r="C99" s="327"/>
      <c r="D99" s="327"/>
      <c r="E99" s="327"/>
      <c r="F99" s="327"/>
    </row>
    <row r="100" spans="1:6">
      <c r="A100" s="1293" t="s">
        <v>73</v>
      </c>
      <c r="B100" s="1294">
        <v>475</v>
      </c>
      <c r="C100" s="327"/>
      <c r="D100" s="327"/>
      <c r="E100" s="327"/>
      <c r="F100" s="327"/>
    </row>
    <row r="101" spans="1:6">
      <c r="A101" s="1293" t="s">
        <v>74</v>
      </c>
      <c r="B101" s="1294">
        <v>64</v>
      </c>
      <c r="C101" s="327"/>
      <c r="D101" s="327"/>
      <c r="E101" s="327"/>
      <c r="F101" s="327"/>
    </row>
    <row r="102" spans="1:6">
      <c r="A102" s="1293" t="s">
        <v>75</v>
      </c>
      <c r="B102" s="1294">
        <v>106</v>
      </c>
      <c r="C102" s="327"/>
      <c r="D102" s="327"/>
      <c r="E102" s="327"/>
      <c r="F102" s="327"/>
    </row>
    <row r="103" spans="1:6">
      <c r="A103" s="1293" t="s">
        <v>76</v>
      </c>
      <c r="B103" s="1294">
        <v>209</v>
      </c>
      <c r="C103" s="327"/>
      <c r="D103" s="327"/>
      <c r="E103" s="327"/>
      <c r="F103" s="327"/>
    </row>
    <row r="104" spans="1:6">
      <c r="A104" s="1293" t="s">
        <v>77</v>
      </c>
      <c r="B104" s="1294">
        <v>6605</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17</v>
      </c>
      <c r="C123" s="1294">
        <v>9</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84</v>
      </c>
      <c r="C129" s="327"/>
      <c r="D129" s="327"/>
      <c r="E129" s="327"/>
      <c r="F129" s="327"/>
    </row>
    <row r="130" spans="1:6">
      <c r="A130" s="1293" t="s">
        <v>284</v>
      </c>
      <c r="B130" s="1294">
        <v>0</v>
      </c>
      <c r="C130" s="327"/>
      <c r="D130" s="327"/>
      <c r="E130" s="327"/>
      <c r="F130" s="327"/>
    </row>
    <row r="131" spans="1:6">
      <c r="A131" s="1293" t="s">
        <v>285</v>
      </c>
      <c r="B131" s="1294">
        <v>2</v>
      </c>
      <c r="C131" s="327"/>
      <c r="D131" s="327"/>
      <c r="E131" s="327"/>
      <c r="F131" s="327"/>
    </row>
    <row r="132" spans="1:6">
      <c r="A132" s="1288" t="s">
        <v>286</v>
      </c>
      <c r="B132" s="1289">
        <v>12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66373.38776722239</v>
      </c>
      <c r="C3" s="44" t="s">
        <v>163</v>
      </c>
      <c r="D3" s="44"/>
      <c r="E3" s="157"/>
      <c r="F3" s="44"/>
      <c r="G3" s="44"/>
      <c r="H3" s="44"/>
      <c r="I3" s="44"/>
      <c r="J3" s="44"/>
      <c r="K3" s="97"/>
    </row>
    <row r="4" spans="1:11">
      <c r="A4" s="352" t="s">
        <v>164</v>
      </c>
      <c r="B4" s="50">
        <f>IF(ISERROR('SEAP template'!B78+'SEAP template'!C78),0,'SEAP template'!B78+'SEAP template'!C78)</f>
        <v>4900.7580234596498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0.20468220216537686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1404.6690000000001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1404.6690000000001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0.20468220216537686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287.51074423343778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39570.515714375098</v>
      </c>
      <c r="C5" s="18">
        <f>IF(ISERROR('Eigen informatie GS &amp; warmtenet'!B57),0,'Eigen informatie GS &amp; warmtenet'!B57)</f>
        <v>0</v>
      </c>
      <c r="D5" s="31">
        <f>(SUM(HH_hh_gas_kWh,HH_rest_gas_kWh)/1000)*0.902</f>
        <v>48394.22345239525</v>
      </c>
      <c r="E5" s="18">
        <f>B32*B41</f>
        <v>3519.998912898548</v>
      </c>
      <c r="F5" s="18">
        <f>B36*B45</f>
        <v>107314.54725599992</v>
      </c>
      <c r="G5" s="19"/>
      <c r="H5" s="18"/>
      <c r="I5" s="18"/>
      <c r="J5" s="18">
        <f>B35*B44+C35*C44</f>
        <v>1947.1850666532046</v>
      </c>
      <c r="K5" s="18"/>
      <c r="L5" s="18"/>
      <c r="M5" s="18"/>
      <c r="N5" s="18">
        <f>B34*B43+C34*C43</f>
        <v>15152.750372606019</v>
      </c>
      <c r="O5" s="18">
        <f>B52*B53*B54</f>
        <v>145.39000000000001</v>
      </c>
      <c r="P5" s="18">
        <f>B60*B61*B62/1000-B60*B61*B62/1000/B63</f>
        <v>572</v>
      </c>
    </row>
    <row r="6" spans="1:16">
      <c r="A6" s="17" t="s">
        <v>622</v>
      </c>
      <c r="B6" s="766">
        <f>kWh_PV_kleiner_dan_10kW</f>
        <v>4032.7855566039116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43603.301270979013</v>
      </c>
      <c r="C8" s="22">
        <f>C5</f>
        <v>0</v>
      </c>
      <c r="D8" s="22">
        <f>D5</f>
        <v>48394.22345239525</v>
      </c>
      <c r="E8" s="22">
        <f>E5</f>
        <v>3519.998912898548</v>
      </c>
      <c r="F8" s="22">
        <f>F5</f>
        <v>107314.54725599992</v>
      </c>
      <c r="G8" s="22"/>
      <c r="H8" s="22"/>
      <c r="I8" s="22"/>
      <c r="J8" s="22">
        <f>J5</f>
        <v>1947.1850666532046</v>
      </c>
      <c r="K8" s="22"/>
      <c r="L8" s="22">
        <f>L5</f>
        <v>0</v>
      </c>
      <c r="M8" s="22">
        <f>M5</f>
        <v>0</v>
      </c>
      <c r="N8" s="22">
        <f>N5</f>
        <v>15152.750372606019</v>
      </c>
      <c r="O8" s="22">
        <f>O5</f>
        <v>145.39000000000001</v>
      </c>
      <c r="P8" s="22">
        <f>P5</f>
        <v>572</v>
      </c>
    </row>
    <row r="9" spans="1:16">
      <c r="B9" s="20"/>
      <c r="C9" s="20"/>
      <c r="D9" s="258"/>
      <c r="E9" s="20"/>
      <c r="F9" s="20"/>
      <c r="G9" s="20"/>
      <c r="H9" s="20"/>
      <c r="I9" s="20"/>
      <c r="J9" s="20"/>
      <c r="K9" s="20"/>
      <c r="L9" s="20"/>
      <c r="M9" s="20"/>
      <c r="N9" s="20"/>
      <c r="O9" s="20"/>
      <c r="P9" s="20"/>
    </row>
    <row r="10" spans="1:16">
      <c r="A10" s="25" t="s">
        <v>207</v>
      </c>
      <c r="B10" s="26">
        <f ca="1">'EF ele_warmte'!B12</f>
        <v>0.20468220216537686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8924.8197258243599</v>
      </c>
      <c r="C12" s="24">
        <f ca="1">C10*C8</f>
        <v>0</v>
      </c>
      <c r="D12" s="24">
        <f>D8*D10</f>
        <v>9775.633137383842</v>
      </c>
      <c r="E12" s="24">
        <f>E10*E8</f>
        <v>799.03975322797044</v>
      </c>
      <c r="F12" s="24">
        <f>F10*F8</f>
        <v>28652.984117351978</v>
      </c>
      <c r="G12" s="24"/>
      <c r="H12" s="24"/>
      <c r="I12" s="24"/>
      <c r="J12" s="24">
        <f>J10*J8</f>
        <v>689.30351359523434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9698</v>
      </c>
      <c r="C26" s="37"/>
      <c r="D26" s="228"/>
    </row>
    <row r="27" spans="1:5" s="16" customFormat="1">
      <c r="A27" s="230" t="s">
        <v>648</v>
      </c>
      <c r="B27" s="38">
        <f>SUM(HH_hh_gas_aantal,HH_rest_gas_aantal)</f>
        <v>3053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2900.35</v>
      </c>
      <c r="C31" s="35" t="s">
        <v>104</v>
      </c>
      <c r="D31" s="174"/>
    </row>
    <row r="32" spans="1:5">
      <c r="A32" s="171" t="s">
        <v>72</v>
      </c>
      <c r="B32" s="34">
        <f>IF((B21*($B$26-($B$27-0.05*$B$27)-$B$60))&lt;0,0,B21*($B$26-($B$27-0.05*$B$27)-$B$60))</f>
        <v>166.31723592102077</v>
      </c>
      <c r="C32" s="35" t="s">
        <v>104</v>
      </c>
      <c r="D32" s="174"/>
    </row>
    <row r="33" spans="1:6">
      <c r="A33" s="171" t="s">
        <v>73</v>
      </c>
      <c r="B33" s="34">
        <f>IF((B22*($B$26-($B$27-0.05*$B$27)-$B$60))&lt;0,0,B22*($B$26-($B$27-0.05*$B$27)-$B$60))</f>
        <v>1119.5100611733155</v>
      </c>
      <c r="C33" s="35" t="s">
        <v>104</v>
      </c>
      <c r="D33" s="174"/>
    </row>
    <row r="34" spans="1:6">
      <c r="A34" s="171" t="s">
        <v>74</v>
      </c>
      <c r="B34" s="34">
        <f>IF((B24*($B$26-($B$27-0.05*$B$27)-$B$60))&lt;0,0,B24*($B$26-($B$27-0.05*$B$27)-$B$60))</f>
        <v>283.93134864749686</v>
      </c>
      <c r="C34" s="34">
        <f>B26*C24</f>
        <v>1983.2635737346627</v>
      </c>
      <c r="D34" s="233"/>
    </row>
    <row r="35" spans="1:6">
      <c r="A35" s="171" t="s">
        <v>76</v>
      </c>
      <c r="B35" s="34">
        <f>IF((B19*($B$26-($B$27-0.05*$B$27)-$B$60))&lt;0,0,B19*($B$26-($B$27-0.05*$B$27)-$B$60))</f>
        <v>105.5566901642775</v>
      </c>
      <c r="C35" s="34">
        <f>B35/2</f>
        <v>52.778345082138749</v>
      </c>
      <c r="D35" s="233"/>
    </row>
    <row r="36" spans="1:6">
      <c r="A36" s="171" t="s">
        <v>77</v>
      </c>
      <c r="B36" s="34">
        <f>IF((B18*($B$26-($B$27-0.05*$B$27)-$B$60))&lt;0,0,B18*($B$26-($B$27-0.05*$B$27)-$B$60))</f>
        <v>5092.3346640938871</v>
      </c>
      <c r="C36" s="35" t="s">
        <v>104</v>
      </c>
      <c r="D36" s="174"/>
    </row>
    <row r="37" spans="1:6">
      <c r="A37" s="171" t="s">
        <v>78</v>
      </c>
      <c r="B37" s="34">
        <f>B60</f>
        <v>30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93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16522.758029147335</v>
      </c>
      <c r="C5" s="18">
        <f>IF(ISERROR('Eigen informatie GS &amp; warmtenet'!B58),0,'Eigen informatie GS &amp; warmtenet'!B58)</f>
        <v>0</v>
      </c>
      <c r="D5" s="31">
        <f>SUM(D6:D12)</f>
        <v>13985.421432011673</v>
      </c>
      <c r="E5" s="18">
        <f>SUM(E6:E12)</f>
        <v>192.86241133395163</v>
      </c>
      <c r="F5" s="18">
        <f>SUM(F6:F12)</f>
        <v>3326.1529828426428</v>
      </c>
      <c r="G5" s="19"/>
      <c r="H5" s="18"/>
      <c r="I5" s="18"/>
      <c r="J5" s="18">
        <f>SUM(J6:J12)</f>
        <v>0</v>
      </c>
      <c r="K5" s="18"/>
      <c r="L5" s="18"/>
      <c r="M5" s="18"/>
      <c r="N5" s="18">
        <f>SUM(N6:N12)</f>
        <v>923.80168551870679</v>
      </c>
      <c r="O5" s="18">
        <f>B38*B39*B40</f>
        <v>0</v>
      </c>
      <c r="P5" s="18">
        <f>B46*B47*B48/1000-B46*B47*B48/1000/B49</f>
        <v>38.133333333333333</v>
      </c>
      <c r="R5" s="33"/>
    </row>
    <row r="6" spans="1:18">
      <c r="A6" s="33" t="s">
        <v>53</v>
      </c>
      <c r="B6" s="38">
        <f>B26</f>
        <v>2665.5668782336897</v>
      </c>
      <c r="C6" s="34"/>
      <c r="D6" s="38">
        <f>IF(ISERROR(TER_kantoor_gas_kWh/1000),0,TER_kantoor_gas_kWh/1000)*0.902</f>
        <v>3577.315754184634</v>
      </c>
      <c r="E6" s="34">
        <f>$C$26*'E Balans VL '!I12/100/3.6*1000000</f>
        <v>4.374735493211543</v>
      </c>
      <c r="F6" s="34">
        <f>$C$26*('E Balans VL '!L12+'E Balans VL '!N12)/100/3.6*1000000</f>
        <v>314.20761756094606</v>
      </c>
      <c r="G6" s="35"/>
      <c r="H6" s="34"/>
      <c r="I6" s="34"/>
      <c r="J6" s="34">
        <f>$C$26*('E Balans VL '!D12+'E Balans VL '!E12)/100/3.6*1000000</f>
        <v>0</v>
      </c>
      <c r="K6" s="34"/>
      <c r="L6" s="34"/>
      <c r="M6" s="34"/>
      <c r="N6" s="34">
        <f>$C$26*'E Balans VL '!Y12/100/3.6*1000000</f>
        <v>0.53856516525457798</v>
      </c>
      <c r="O6" s="34"/>
      <c r="P6" s="34"/>
      <c r="R6" s="33"/>
    </row>
    <row r="7" spans="1:18">
      <c r="A7" s="33" t="s">
        <v>52</v>
      </c>
      <c r="B7" s="38">
        <f t="shared" ref="B7:B12" si="0">B27</f>
        <v>2016.1749728228001</v>
      </c>
      <c r="C7" s="34"/>
      <c r="D7" s="38">
        <f>IF(ISERROR(TER_horeca_gas_kWh/1000),0,TER_horeca_gas_kWh/1000)*0.902</f>
        <v>2368.4193904276658</v>
      </c>
      <c r="E7" s="34">
        <f>$C$27*'E Balans VL '!I9/100/3.6*1000000</f>
        <v>104.62489173519943</v>
      </c>
      <c r="F7" s="34">
        <f>$C$27*('E Balans VL '!L9+'E Balans VL '!N9)/100/3.6*1000000</f>
        <v>460.09259174197388</v>
      </c>
      <c r="G7" s="35"/>
      <c r="H7" s="34"/>
      <c r="I7" s="34"/>
      <c r="J7" s="34">
        <f>$C$27*('E Balans VL '!D9+'E Balans VL '!E9)/100/3.6*1000000</f>
        <v>0</v>
      </c>
      <c r="K7" s="34"/>
      <c r="L7" s="34"/>
      <c r="M7" s="34"/>
      <c r="N7" s="34">
        <f>$C$27*'E Balans VL '!Y9/100/3.6*1000000</f>
        <v>0.21290715317759676</v>
      </c>
      <c r="O7" s="34"/>
      <c r="P7" s="34"/>
      <c r="R7" s="33"/>
    </row>
    <row r="8" spans="1:18">
      <c r="A8" s="6" t="s">
        <v>51</v>
      </c>
      <c r="B8" s="38">
        <f t="shared" si="0"/>
        <v>4085.5604053822499</v>
      </c>
      <c r="C8" s="34"/>
      <c r="D8" s="38">
        <f>IF(ISERROR(TER_handel_gas_kWh/1000),0,TER_handel_gas_kWh/1000)*0.902</f>
        <v>1660.997090942061</v>
      </c>
      <c r="E8" s="34">
        <f>$C$28*'E Balans VL '!I13/100/3.6*1000000</f>
        <v>22.001244831629581</v>
      </c>
      <c r="F8" s="34">
        <f>$C$28*('E Balans VL '!L13+'E Balans VL '!N13)/100/3.6*1000000</f>
        <v>833.1671785775103</v>
      </c>
      <c r="G8" s="35"/>
      <c r="H8" s="34"/>
      <c r="I8" s="34"/>
      <c r="J8" s="34">
        <f>$C$28*('E Balans VL '!D13+'E Balans VL '!E13)/100/3.6*1000000</f>
        <v>0</v>
      </c>
      <c r="K8" s="34"/>
      <c r="L8" s="34"/>
      <c r="M8" s="34"/>
      <c r="N8" s="34">
        <f>$C$28*'E Balans VL '!Y13/100/3.6*1000000</f>
        <v>20.315334373330128</v>
      </c>
      <c r="O8" s="34"/>
      <c r="P8" s="34"/>
      <c r="R8" s="33"/>
    </row>
    <row r="9" spans="1:18">
      <c r="A9" s="33" t="s">
        <v>50</v>
      </c>
      <c r="B9" s="38">
        <f t="shared" si="0"/>
        <v>501.13185920414702</v>
      </c>
      <c r="C9" s="34"/>
      <c r="D9" s="38">
        <f>IF(ISERROR(TER_gezond_gas_kWh/1000),0,TER_gezond_gas_kWh/1000)*0.902</f>
        <v>501.22698758442334</v>
      </c>
      <c r="E9" s="34">
        <f>$C$29*'E Balans VL '!I10/100/3.6*1000000</f>
        <v>0.49662737131922724</v>
      </c>
      <c r="F9" s="34">
        <f>$C$29*('E Balans VL '!L10+'E Balans VL '!N10)/100/3.6*1000000</f>
        <v>173.87831057215419</v>
      </c>
      <c r="G9" s="35"/>
      <c r="H9" s="34"/>
      <c r="I9" s="34"/>
      <c r="J9" s="34">
        <f>$C$29*('E Balans VL '!D10+'E Balans VL '!E10)/100/3.6*1000000</f>
        <v>0</v>
      </c>
      <c r="K9" s="34"/>
      <c r="L9" s="34"/>
      <c r="M9" s="34"/>
      <c r="N9" s="34">
        <f>$C$29*'E Balans VL '!Y10/100/3.6*1000000</f>
        <v>4.3182098179173067</v>
      </c>
      <c r="O9" s="34"/>
      <c r="P9" s="34"/>
      <c r="R9" s="33"/>
    </row>
    <row r="10" spans="1:18">
      <c r="A10" s="33" t="s">
        <v>49</v>
      </c>
      <c r="B10" s="38">
        <f t="shared" si="0"/>
        <v>838.440244205319</v>
      </c>
      <c r="C10" s="34"/>
      <c r="D10" s="38">
        <f>IF(ISERROR(TER_ander_gas_kWh/1000),0,TER_ander_gas_kWh/1000)*0.902</f>
        <v>263.21755246025907</v>
      </c>
      <c r="E10" s="34">
        <f>$C$30*'E Balans VL '!I14/100/3.6*1000000</f>
        <v>6.8592791589457978</v>
      </c>
      <c r="F10" s="34">
        <f>$C$30*('E Balans VL '!L14+'E Balans VL '!N14)/100/3.6*1000000</f>
        <v>245.12579308956978</v>
      </c>
      <c r="G10" s="35"/>
      <c r="H10" s="34"/>
      <c r="I10" s="34"/>
      <c r="J10" s="34">
        <f>$C$30*('E Balans VL '!D14+'E Balans VL '!E14)/100/3.6*1000000</f>
        <v>0</v>
      </c>
      <c r="K10" s="34"/>
      <c r="L10" s="34"/>
      <c r="M10" s="34"/>
      <c r="N10" s="34">
        <f>$C$30*'E Balans VL '!Y14/100/3.6*1000000</f>
        <v>483.67000825097273</v>
      </c>
      <c r="O10" s="34"/>
      <c r="P10" s="34"/>
      <c r="R10" s="33"/>
    </row>
    <row r="11" spans="1:18">
      <c r="A11" s="33" t="s">
        <v>54</v>
      </c>
      <c r="B11" s="38">
        <f t="shared" si="0"/>
        <v>115.87611919353</v>
      </c>
      <c r="C11" s="34"/>
      <c r="D11" s="38">
        <f>IF(ISERROR(TER_onderwijs_gas_kWh/1000),0,TER_onderwijs_gas_kWh/1000)*0.902</f>
        <v>0</v>
      </c>
      <c r="E11" s="34">
        <f>$C$31*'E Balans VL '!I11/100/3.6*1000000</f>
        <v>7.1421150572004641E-2</v>
      </c>
      <c r="F11" s="34">
        <f>$C$31*('E Balans VL '!L11+'E Balans VL '!N11)/100/3.6*1000000</f>
        <v>44.799584255650515</v>
      </c>
      <c r="G11" s="35"/>
      <c r="H11" s="34"/>
      <c r="I11" s="34"/>
      <c r="J11" s="34">
        <f>$C$31*('E Balans VL '!D11+'E Balans VL '!E11)/100/3.6*1000000</f>
        <v>0</v>
      </c>
      <c r="K11" s="34"/>
      <c r="L11" s="34"/>
      <c r="M11" s="34"/>
      <c r="N11" s="34">
        <f>$C$31*'E Balans VL '!Y11/100/3.6*1000000</f>
        <v>0.37692018401440297</v>
      </c>
      <c r="O11" s="34"/>
      <c r="P11" s="34"/>
      <c r="R11" s="33"/>
    </row>
    <row r="12" spans="1:18">
      <c r="A12" s="33" t="s">
        <v>249</v>
      </c>
      <c r="B12" s="38">
        <f t="shared" si="0"/>
        <v>6300.0075501055999</v>
      </c>
      <c r="C12" s="34"/>
      <c r="D12" s="38">
        <f>IF(ISERROR(TER_rest_gas_kWh/1000),0,TER_rest_gas_kWh/1000)*0.902</f>
        <v>5614.2446564126303</v>
      </c>
      <c r="E12" s="34">
        <f>$C$32*'E Balans VL '!I8/100/3.6*1000000</f>
        <v>54.434211593074039</v>
      </c>
      <c r="F12" s="34">
        <f>$C$32*('E Balans VL '!L8+'E Balans VL '!N8)/100/3.6*1000000</f>
        <v>1254.8819070448385</v>
      </c>
      <c r="G12" s="35"/>
      <c r="H12" s="34"/>
      <c r="I12" s="34"/>
      <c r="J12" s="34">
        <f>$C$32*('E Balans VL '!D8+'E Balans VL '!E8)/100/3.6*1000000</f>
        <v>0</v>
      </c>
      <c r="K12" s="34"/>
      <c r="L12" s="34"/>
      <c r="M12" s="34"/>
      <c r="N12" s="34">
        <f>$C$32*'E Balans VL '!Y8/100/3.6*1000000</f>
        <v>414.36974057404007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16522.758029147335</v>
      </c>
      <c r="C16" s="22">
        <f t="shared" ca="1" si="1"/>
        <v>0</v>
      </c>
      <c r="D16" s="22">
        <f t="shared" ca="1" si="1"/>
        <v>13985.421432011673</v>
      </c>
      <c r="E16" s="22">
        <f t="shared" si="1"/>
        <v>192.86241133395163</v>
      </c>
      <c r="F16" s="22">
        <f t="shared" ca="1" si="1"/>
        <v>3326.1529828426428</v>
      </c>
      <c r="G16" s="22">
        <f t="shared" si="1"/>
        <v>0</v>
      </c>
      <c r="H16" s="22">
        <f t="shared" si="1"/>
        <v>0</v>
      </c>
      <c r="I16" s="22">
        <f t="shared" si="1"/>
        <v>0</v>
      </c>
      <c r="J16" s="22">
        <f t="shared" si="1"/>
        <v>0</v>
      </c>
      <c r="K16" s="22">
        <f t="shared" si="1"/>
        <v>0</v>
      </c>
      <c r="L16" s="22">
        <f t="shared" ca="1" si="1"/>
        <v>0</v>
      </c>
      <c r="M16" s="22">
        <f t="shared" si="1"/>
        <v>0</v>
      </c>
      <c r="N16" s="22">
        <f t="shared" ca="1" si="1"/>
        <v>923.80168551870679</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0.20468220216537686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3381.9144992515385</v>
      </c>
      <c r="C20" s="24">
        <f t="shared" ref="C20:P20" ca="1" si="2">C16*C18</f>
        <v>0</v>
      </c>
      <c r="D20" s="24">
        <f t="shared" ca="1" si="2"/>
        <v>2825.0551292663581</v>
      </c>
      <c r="E20" s="24">
        <f t="shared" si="2"/>
        <v>43.779767372807022</v>
      </c>
      <c r="F20" s="24">
        <f t="shared" ca="1" si="2"/>
        <v>888.0828464189857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2665.5668782336897</v>
      </c>
      <c r="C26" s="40">
        <f>IF(ISERROR(B26*3.6/1000000/'E Balans VL '!Z12*100),0,B26*3.6/1000000/'E Balans VL '!Z12*100)</f>
        <v>5.6641384601708471E-2</v>
      </c>
      <c r="D26" s="236" t="s">
        <v>685</v>
      </c>
      <c r="F26" s="6"/>
    </row>
    <row r="27" spans="1:18">
      <c r="A27" s="231" t="s">
        <v>52</v>
      </c>
      <c r="B27" s="34">
        <f>IF(ISERROR(TER_horeca_ele_kWh/1000),0,TER_horeca_ele_kWh/1000)</f>
        <v>2016.1749728228001</v>
      </c>
      <c r="C27" s="40">
        <f>IF(ISERROR(B27*3.6/1000000/'E Balans VL '!Z9*100),0,B27*3.6/1000000/'E Balans VL '!Z9*100)</f>
        <v>0.1586885613746063</v>
      </c>
      <c r="D27" s="236" t="s">
        <v>685</v>
      </c>
      <c r="F27" s="6"/>
    </row>
    <row r="28" spans="1:18">
      <c r="A28" s="171" t="s">
        <v>51</v>
      </c>
      <c r="B28" s="34">
        <f>IF(ISERROR(TER_handel_ele_kWh/1000),0,TER_handel_ele_kWh/1000)</f>
        <v>4085.5604053822499</v>
      </c>
      <c r="C28" s="40">
        <f>IF(ISERROR(B28*3.6/1000000/'E Balans VL '!Z13*100),0,B28*3.6/1000000/'E Balans VL '!Z13*100)</f>
        <v>0.11443873346036319</v>
      </c>
      <c r="D28" s="236" t="s">
        <v>685</v>
      </c>
      <c r="F28" s="6"/>
    </row>
    <row r="29" spans="1:18">
      <c r="A29" s="231" t="s">
        <v>50</v>
      </c>
      <c r="B29" s="34">
        <f>IF(ISERROR(TER_gezond_ele_kWh/1000),0,TER_gezond_ele_kWh/1000)</f>
        <v>501.13185920414702</v>
      </c>
      <c r="C29" s="40">
        <f>IF(ISERROR(B29*3.6/1000000/'E Balans VL '!Z10*100),0,B29*3.6/1000000/'E Balans VL '!Z10*100)</f>
        <v>6.410991840933003E-2</v>
      </c>
      <c r="D29" s="236" t="s">
        <v>685</v>
      </c>
      <c r="F29" s="6"/>
    </row>
    <row r="30" spans="1:18">
      <c r="A30" s="231" t="s">
        <v>49</v>
      </c>
      <c r="B30" s="34">
        <f>IF(ISERROR(TER_ander_ele_kWh/1000),0,TER_ander_ele_kWh/1000)</f>
        <v>838.440244205319</v>
      </c>
      <c r="C30" s="40">
        <f>IF(ISERROR(B30*3.6/1000000/'E Balans VL '!Z14*100),0,B30*3.6/1000000/'E Balans VL '!Z14*100)</f>
        <v>6.2708265445645534E-2</v>
      </c>
      <c r="D30" s="236" t="s">
        <v>685</v>
      </c>
      <c r="F30" s="6"/>
    </row>
    <row r="31" spans="1:18">
      <c r="A31" s="231" t="s">
        <v>54</v>
      </c>
      <c r="B31" s="34">
        <f>IF(ISERROR(TER_onderwijs_ele_kWh/1000),0,TER_onderwijs_ele_kWh/1000)</f>
        <v>115.87611919353</v>
      </c>
      <c r="C31" s="40">
        <f>IF(ISERROR(B31*3.6/1000000/'E Balans VL '!Z11*100),0,B31*3.6/1000000/'E Balans VL '!Z11*100)</f>
        <v>2.4467392665654206E-2</v>
      </c>
      <c r="D31" s="236" t="s">
        <v>685</v>
      </c>
    </row>
    <row r="32" spans="1:18">
      <c r="A32" s="231" t="s">
        <v>249</v>
      </c>
      <c r="B32" s="34">
        <f>IF(ISERROR(TER_rest_ele_kWh/1000),0,TER_rest_ele_kWh/1000)</f>
        <v>6300.0075501055999</v>
      </c>
      <c r="C32" s="40">
        <f>IF(ISERROR(B32*3.6/1000000/'E Balans VL '!Z8*100),0,B32*3.6/1000000/'E Balans VL '!Z8*100)</f>
        <v>5.1899034209526906E-2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2751.9700867019142</v>
      </c>
      <c r="C5" s="18">
        <f>IF(ISERROR('Eigen informatie GS &amp; warmtenet'!B59),0,'Eigen informatie GS &amp; warmtenet'!B59)</f>
        <v>0</v>
      </c>
      <c r="D5" s="31">
        <f>SUM(D6:D15)</f>
        <v>1281.3986113131682</v>
      </c>
      <c r="E5" s="18">
        <f>SUM(E6:E15)</f>
        <v>22.363914523781133</v>
      </c>
      <c r="F5" s="18">
        <f>SUM(F6:F15)</f>
        <v>847.80851862243924</v>
      </c>
      <c r="G5" s="19"/>
      <c r="H5" s="18"/>
      <c r="I5" s="18"/>
      <c r="J5" s="18">
        <f>SUM(J6:J15)</f>
        <v>7.4851159829064589</v>
      </c>
      <c r="K5" s="18"/>
      <c r="L5" s="18"/>
      <c r="M5" s="18"/>
      <c r="N5" s="18">
        <f>SUM(N6:N15)</f>
        <v>94.340161925650094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178.90404434280498</v>
      </c>
      <c r="C8" s="34"/>
      <c r="D8" s="38">
        <f>IF( ISERROR(IND_metaal_Gas_kWH/1000),0,IND_metaal_Gas_kWH/1000)*0.902</f>
        <v>0</v>
      </c>
      <c r="E8" s="34">
        <f>C30*'E Balans VL '!I18/100/3.6*1000000</f>
        <v>1.6292468911108762</v>
      </c>
      <c r="F8" s="34">
        <f>C30*'E Balans VL '!L18/100/3.6*1000000+C30*'E Balans VL '!N18/100/3.6*1000000</f>
        <v>23.596084828168191</v>
      </c>
      <c r="G8" s="35"/>
      <c r="H8" s="34"/>
      <c r="I8" s="34"/>
      <c r="J8" s="41">
        <f>C30*'E Balans VL '!D18/100/3.6*1000000+C30*'E Balans VL '!E18/100/3.6*1000000</f>
        <v>2.9337665679032683</v>
      </c>
      <c r="K8" s="34"/>
      <c r="L8" s="34"/>
      <c r="M8" s="34"/>
      <c r="N8" s="34">
        <f>C30*'E Balans VL '!Y18/100/3.6*1000000</f>
        <v>0.6148221309569124</v>
      </c>
      <c r="O8" s="34"/>
      <c r="P8" s="34"/>
      <c r="R8" s="33"/>
    </row>
    <row r="9" spans="1:18">
      <c r="A9" s="6" t="s">
        <v>32</v>
      </c>
      <c r="B9" s="38">
        <f t="shared" si="0"/>
        <v>689.52020315893799</v>
      </c>
      <c r="C9" s="34"/>
      <c r="D9" s="38">
        <f>IF( ISERROR(IND_andere_gas_kWh/1000),0,IND_andere_gas_kWh/1000)*0.902</f>
        <v>176.21003821403235</v>
      </c>
      <c r="E9" s="34">
        <f>C31*'E Balans VL '!I19/100/3.6*1000000</f>
        <v>3.9855298145302553</v>
      </c>
      <c r="F9" s="34">
        <f>C31*'E Balans VL '!L19/100/3.6*1000000+C31*'E Balans VL '!N19/100/3.6*1000000</f>
        <v>548.54650001219375</v>
      </c>
      <c r="G9" s="35"/>
      <c r="H9" s="34"/>
      <c r="I9" s="34"/>
      <c r="J9" s="41">
        <f>C31*'E Balans VL '!D19/100/3.6*1000000+C31*'E Balans VL '!E19/100/3.6*1000000</f>
        <v>6.5220952245350058E-2</v>
      </c>
      <c r="K9" s="34"/>
      <c r="L9" s="34"/>
      <c r="M9" s="34"/>
      <c r="N9" s="34">
        <f>C31*'E Balans VL '!Y19/100/3.6*1000000</f>
        <v>52.241590110379377</v>
      </c>
      <c r="O9" s="34"/>
      <c r="P9" s="34"/>
      <c r="R9" s="33"/>
    </row>
    <row r="10" spans="1:18">
      <c r="A10" s="6" t="s">
        <v>40</v>
      </c>
      <c r="B10" s="38">
        <f t="shared" si="0"/>
        <v>863.27345529590605</v>
      </c>
      <c r="C10" s="34"/>
      <c r="D10" s="38">
        <f>IF( ISERROR(IND_voed_gas_kWh/1000),0,IND_voed_gas_kWh/1000)*0.902</f>
        <v>213.07964508510616</v>
      </c>
      <c r="E10" s="34">
        <f>C32*'E Balans VL '!I20/100/3.6*1000000</f>
        <v>8.4882365195437828</v>
      </c>
      <c r="F10" s="34">
        <f>C32*'E Balans VL '!L20/100/3.6*1000000+C32*'E Balans VL '!N20/100/3.6*1000000</f>
        <v>95.877785212035036</v>
      </c>
      <c r="G10" s="35"/>
      <c r="H10" s="34"/>
      <c r="I10" s="34"/>
      <c r="J10" s="41">
        <f>C32*'E Balans VL '!D20/100/3.6*1000000+C32*'E Balans VL '!E20/100/3.6*1000000</f>
        <v>3.40255258988819E-3</v>
      </c>
      <c r="K10" s="34"/>
      <c r="L10" s="34"/>
      <c r="M10" s="34"/>
      <c r="N10" s="34">
        <f>C32*'E Balans VL '!Y20/100/3.6*1000000</f>
        <v>12.783049239721082</v>
      </c>
      <c r="O10" s="34"/>
      <c r="P10" s="34"/>
      <c r="R10" s="33"/>
    </row>
    <row r="11" spans="1:18">
      <c r="A11" s="6" t="s">
        <v>39</v>
      </c>
      <c r="B11" s="38">
        <f t="shared" si="0"/>
        <v>128.85648084401001</v>
      </c>
      <c r="C11" s="34"/>
      <c r="D11" s="38">
        <f>IF( ISERROR(IND_textiel_gas_kWh/1000),0,IND_textiel_gas_kWh/1000)*0.902</f>
        <v>0</v>
      </c>
      <c r="E11" s="34">
        <f>C33*'E Balans VL '!I21/100/3.6*1000000</f>
        <v>0.25091348956029547</v>
      </c>
      <c r="F11" s="34">
        <f>C33*'E Balans VL '!L21/100/3.6*1000000+C33*'E Balans VL '!N21/100/3.6*1000000</f>
        <v>4.2501095812389451</v>
      </c>
      <c r="G11" s="35"/>
      <c r="H11" s="34"/>
      <c r="I11" s="34"/>
      <c r="J11" s="41">
        <f>C33*'E Balans VL '!D21/100/3.6*1000000+C33*'E Balans VL '!E21/100/3.6*1000000</f>
        <v>0</v>
      </c>
      <c r="K11" s="34"/>
      <c r="L11" s="34"/>
      <c r="M11" s="34"/>
      <c r="N11" s="34">
        <f>C33*'E Balans VL '!Y21/100/3.6*1000000</f>
        <v>1.3365806217424507</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891.415903060255</v>
      </c>
      <c r="C15" s="34"/>
      <c r="D15" s="38">
        <f>IF( ISERROR(IND_rest_gas_kWh/1000),0,IND_rest_gas_kWh/1000)*0.902</f>
        <v>892.10892801402963</v>
      </c>
      <c r="E15" s="34">
        <f>C37*'E Balans VL '!I15/100/3.6*1000000</f>
        <v>8.0099878090359251</v>
      </c>
      <c r="F15" s="34">
        <f>C37*'E Balans VL '!L15/100/3.6*1000000+C37*'E Balans VL '!N15/100/3.6*1000000</f>
        <v>175.53803898880332</v>
      </c>
      <c r="G15" s="35"/>
      <c r="H15" s="34"/>
      <c r="I15" s="34"/>
      <c r="J15" s="41">
        <f>C37*'E Balans VL '!D15/100/3.6*1000000+C37*'E Balans VL '!E15/100/3.6*1000000</f>
        <v>4.482725910167952</v>
      </c>
      <c r="K15" s="34"/>
      <c r="L15" s="34"/>
      <c r="M15" s="34"/>
      <c r="N15" s="34">
        <f>C37*'E Balans VL '!Y15/100/3.6*1000000</f>
        <v>27.364119822850267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2751.9700867019142</v>
      </c>
      <c r="C18" s="22">
        <f>C5+C16</f>
        <v>0</v>
      </c>
      <c r="D18" s="22">
        <f>MAX((D5+D16),0)</f>
        <v>1281.3986113131682</v>
      </c>
      <c r="E18" s="22">
        <f>MAX((E5+E16),0)</f>
        <v>22.363914523781133</v>
      </c>
      <c r="F18" s="22">
        <f>MAX((F5+F16),0)</f>
        <v>847.80851862243924</v>
      </c>
      <c r="G18" s="22"/>
      <c r="H18" s="22"/>
      <c r="I18" s="22"/>
      <c r="J18" s="22">
        <f>MAX((J5+J16),0)</f>
        <v>7.4851159829064589</v>
      </c>
      <c r="K18" s="22"/>
      <c r="L18" s="22">
        <f>MAX((L5+L16),0)</f>
        <v>0</v>
      </c>
      <c r="M18" s="22"/>
      <c r="N18" s="22">
        <f>MAX((N5+N16),0)</f>
        <v>94.340161925650094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0.20468220216537686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563.27929763939085</v>
      </c>
      <c r="C22" s="24">
        <f ca="1">C18*C20</f>
        <v>0</v>
      </c>
      <c r="D22" s="24">
        <f>D18*D20</f>
        <v>258.84251948525997</v>
      </c>
      <c r="E22" s="24">
        <f>E18*E20</f>
        <v>5.0766085968983177</v>
      </c>
      <c r="F22" s="24">
        <f>F18*F20</f>
        <v>226.3648744721913</v>
      </c>
      <c r="G22" s="24"/>
      <c r="H22" s="24"/>
      <c r="I22" s="24"/>
      <c r="J22" s="24">
        <f>J18*J20</f>
        <v>2.6497310579488862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178.90404434280498</v>
      </c>
      <c r="C30" s="40">
        <f>IF(ISERROR(B30*3.6/1000000/'E Balans VL '!Z18*100),0,B30*3.6/1000000/'E Balans VL '!Z18*100)</f>
        <v>9.9548137465966993E-3</v>
      </c>
      <c r="D30" s="236" t="s">
        <v>685</v>
      </c>
    </row>
    <row r="31" spans="1:18">
      <c r="A31" s="6" t="s">
        <v>32</v>
      </c>
      <c r="B31" s="38">
        <f>IF( ISERROR(IND_ander_ele_kWh/1000),0,IND_ander_ele_kWh/1000)</f>
        <v>689.52020315893799</v>
      </c>
      <c r="C31" s="40">
        <f>IF(ISERROR(B31*3.6/1000000/'E Balans VL '!Z19*100),0,B31*3.6/1000000/'E Balans VL '!Z19*100)</f>
        <v>3.2053983356076482E-2</v>
      </c>
      <c r="D31" s="236" t="s">
        <v>685</v>
      </c>
    </row>
    <row r="32" spans="1:18">
      <c r="A32" s="171" t="s">
        <v>40</v>
      </c>
      <c r="B32" s="38">
        <f>IF( ISERROR(IND_voed_ele_kWh/1000),0,IND_voed_ele_kWh/1000)</f>
        <v>863.27345529590605</v>
      </c>
      <c r="C32" s="40">
        <f>IF(ISERROR(B32*3.6/1000000/'E Balans VL '!Z20*100),0,B32*3.6/1000000/'E Balans VL '!Z20*100)</f>
        <v>3.0514973190131245E-2</v>
      </c>
      <c r="D32" s="236" t="s">
        <v>685</v>
      </c>
    </row>
    <row r="33" spans="1:5">
      <c r="A33" s="171" t="s">
        <v>39</v>
      </c>
      <c r="B33" s="38">
        <f>IF( ISERROR(IND_textiel_ele_kWh/1000),0,IND_textiel_ele_kWh/1000)</f>
        <v>128.85648084401001</v>
      </c>
      <c r="C33" s="40">
        <f>IF(ISERROR(B33*3.6/1000000/'E Balans VL '!Z21*100),0,B33*3.6/1000000/'E Balans VL '!Z21*100)</f>
        <v>1.7404022998057014E-2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891.415903060255</v>
      </c>
      <c r="C37" s="40">
        <f>IF(ISERROR(B37*3.6/1000000/'E Balans VL '!Z15*100),0,B37*3.6/1000000/'E Balans VL '!Z15*100)</f>
        <v>6.7315068885167011E-3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469.73360475314593</v>
      </c>
      <c r="C5" s="18">
        <f>'Eigen informatie GS &amp; warmtenet'!B60</f>
        <v>0</v>
      </c>
      <c r="D5" s="31">
        <f>IF(ISERROR(SUM(LB_lb_gas_kWh,LB_rest_gas_kWh)/1000),0,SUM(LB_lb_gas_kWh,LB_rest_gas_kWh)/1000)*0.902</f>
        <v>707.97728197279878</v>
      </c>
      <c r="E5" s="18">
        <f>B17*'E Balans VL '!I25/3.6*1000000/100</f>
        <v>4.4252052886139985</v>
      </c>
      <c r="F5" s="18">
        <f>B17*('E Balans VL '!L25/3.6*1000000+'E Balans VL '!N25/3.6*1000000)/100</f>
        <v>1532.8966432020859</v>
      </c>
      <c r="G5" s="19"/>
      <c r="H5" s="18"/>
      <c r="I5" s="18"/>
      <c r="J5" s="18">
        <f>('E Balans VL '!D25+'E Balans VL '!E25)/3.6*1000000*landbouw!B17/100</f>
        <v>58.108331691778787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469.73360475314593</v>
      </c>
      <c r="C8" s="22">
        <f>C5+C6</f>
        <v>0</v>
      </c>
      <c r="D8" s="22">
        <f>MAX((D5+D6),0)</f>
        <v>707.97728197279878</v>
      </c>
      <c r="E8" s="22">
        <f>MAX((E5+E6),0)</f>
        <v>4.4252052886139985</v>
      </c>
      <c r="F8" s="22">
        <f>MAX((F5+F6),0)</f>
        <v>1532.8966432020859</v>
      </c>
      <c r="G8" s="22"/>
      <c r="H8" s="22"/>
      <c r="I8" s="22"/>
      <c r="J8" s="22">
        <f>MAX((J5+J6),0)</f>
        <v>58.108331691778787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0.20468220216537686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96.146108651954648</v>
      </c>
      <c r="C12" s="24">
        <f ca="1">C8*C10</f>
        <v>0</v>
      </c>
      <c r="D12" s="24">
        <f>D8*D10</f>
        <v>143.01141095850537</v>
      </c>
      <c r="E12" s="24">
        <f>E8*E10</f>
        <v>1.0045216005153776</v>
      </c>
      <c r="F12" s="24">
        <f>F8*F10</f>
        <v>409.28340373495695</v>
      </c>
      <c r="G12" s="24"/>
      <c r="H12" s="24"/>
      <c r="I12" s="24"/>
      <c r="J12" s="24">
        <f>J8*J10</f>
        <v>20.570349418889691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6.3594423980519371E-2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111.2235719382913</v>
      </c>
      <c r="C26" s="246">
        <f>B26*'GWP N2O_CH4'!B5</f>
        <v>2335.6950107041175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22.353657434625134</v>
      </c>
      <c r="C27" s="246">
        <f>B27*'GWP N2O_CH4'!B5</f>
        <v>469.4268061271278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2.0836240893169551</v>
      </c>
      <c r="C28" s="246">
        <f>B28*'GWP N2O_CH4'!B4</f>
        <v>645.9234676882561</v>
      </c>
      <c r="D28" s="51"/>
    </row>
    <row r="29" spans="1:4">
      <c r="A29" s="42" t="s">
        <v>266</v>
      </c>
      <c r="B29" s="246">
        <f>B34*'ha_N2O bodem landbouw'!B4</f>
        <v>9.4588507248509011</v>
      </c>
      <c r="C29" s="246">
        <f>B29*'GWP N2O_CH4'!B4</f>
        <v>2932.2437247037792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2.5535919285649411E-3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3.1942378859702467E-5</v>
      </c>
      <c r="C5" s="433" t="s">
        <v>204</v>
      </c>
      <c r="D5" s="418">
        <f>SUM(D6:D11)</f>
        <v>4.6247837463021029E-5</v>
      </c>
      <c r="E5" s="418">
        <f>SUM(E6:E11)</f>
        <v>2.9391416430058974E-3</v>
      </c>
      <c r="F5" s="431" t="s">
        <v>204</v>
      </c>
      <c r="G5" s="418">
        <f>SUM(G6:G11)</f>
        <v>0.5851150822629585</v>
      </c>
      <c r="H5" s="418">
        <f>SUM(H6:H11)</f>
        <v>0.11009688322204665</v>
      </c>
      <c r="I5" s="433" t="s">
        <v>204</v>
      </c>
      <c r="J5" s="433" t="s">
        <v>204</v>
      </c>
      <c r="K5" s="433" t="s">
        <v>204</v>
      </c>
      <c r="L5" s="433" t="s">
        <v>204</v>
      </c>
      <c r="M5" s="418">
        <f>SUM(M6:M11)</f>
        <v>3.1078125912642984E-2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1.584594835155117E-5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1.8455482458126437E-5</v>
      </c>
      <c r="E6" s="421">
        <f>vkm_GW_PW*SUMIFS(TableVerdeelsleutelVkm[LPG],TableVerdeelsleutelVkm[Voertuigtype],"Lichte voertuigen")*SUMIFS(TableECFTransport[EnergieConsumptieFactor (PJ per km)],TableECFTransport[Index],CONCATENATE($A6,"_LPG_LPG"))</f>
        <v>1.1973442767130762E-3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0.18680821839891534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4.5020751077989099E-2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1.0374361481874289E-2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5.1731687480549034E-7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8.5575627680905569E-2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2.296299033989382E-6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3.8078362683583314E-3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1.364883463870481E-5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2.5962431973366928E-5</v>
      </c>
      <c r="E8" s="421">
        <f>vkm_NGW_PW*SUMIFS(TableVerdeelsleutelVkm[LPG],TableVerdeelsleutelVkm[Voertuigtype],"Lichte voertuigen")*SUMIFS(TableECFTransport[EnergieConsumptieFactor (PJ per km)],TableECFTransport[Index],CONCATENATE($A8,"_LPG_LPG"))</f>
        <v>1.5958837132812223E-3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0.23439982742530299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6.0371954124444509E-2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1.3195156401908211E-2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2.1312409398122501E-7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4.5209637304481701E-2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1.1418808619161319E-6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2.0116781139744096E-3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1.6406715583220461E-6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1.8299230315276584E-6</v>
      </c>
      <c r="E10" s="421">
        <f>vkm_SW_PW*SUMIFS(TableVerdeelsleutelVkm[LPG],TableVerdeelsleutelVkm[Voertuigtype],"Lichte voertuigen")*SUMIFS(TableECFTransport[EnergieConsumptieFactor (PJ per km)],TableECFTransport[Index],CONCATENATE($A10,"_LPG_LPG"))</f>
        <v>1.4591365301159893E-4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2.1270409777596401E-2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4.7003904025501976E-3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1.1617452739114355E-3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7.6483342337729024E-8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1.1851361675756523E-2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3.4943716692439403E-7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5.2734837261630941E-4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8.8728830165840193</v>
      </c>
      <c r="C14" s="22"/>
      <c r="D14" s="22">
        <f t="shared" ref="D14:M14" si="0">((D5)*10^9/3600)+D12</f>
        <v>12.846621517505842</v>
      </c>
      <c r="E14" s="22">
        <f t="shared" si="0"/>
        <v>816.42823416830481</v>
      </c>
      <c r="F14" s="22"/>
      <c r="G14" s="22">
        <f t="shared" si="0"/>
        <v>162531.96729526625</v>
      </c>
      <c r="H14" s="22">
        <f t="shared" si="0"/>
        <v>30582.467561679627</v>
      </c>
      <c r="I14" s="22"/>
      <c r="J14" s="22"/>
      <c r="K14" s="22"/>
      <c r="L14" s="22"/>
      <c r="M14" s="22">
        <f t="shared" si="0"/>
        <v>8632.8127535119402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0.20468220216537686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1.8161212353901892</v>
      </c>
      <c r="C18" s="24"/>
      <c r="D18" s="24">
        <f t="shared" ref="D18:M18" si="1">D14*D16</f>
        <v>2.5950175465361802</v>
      </c>
      <c r="E18" s="24">
        <f t="shared" si="1"/>
        <v>185.3292091562052</v>
      </c>
      <c r="F18" s="24"/>
      <c r="G18" s="24">
        <f t="shared" si="1"/>
        <v>43396.035267836094</v>
      </c>
      <c r="H18" s="24">
        <f t="shared" si="1"/>
        <v>7615.0344228582271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1.9523262549529754E-5</v>
      </c>
      <c r="C50" s="316">
        <f t="shared" ref="C50:P50" si="2">SUM(C51:C52)</f>
        <v>0</v>
      </c>
      <c r="D50" s="316">
        <f t="shared" si="2"/>
        <v>0</v>
      </c>
      <c r="E50" s="316">
        <f t="shared" si="2"/>
        <v>0</v>
      </c>
      <c r="F50" s="316">
        <f t="shared" si="2"/>
        <v>0</v>
      </c>
      <c r="G50" s="316">
        <f t="shared" si="2"/>
        <v>3.8939532068916305E-3</v>
      </c>
      <c r="H50" s="316">
        <f t="shared" si="2"/>
        <v>0</v>
      </c>
      <c r="I50" s="316">
        <f t="shared" si="2"/>
        <v>0</v>
      </c>
      <c r="J50" s="316">
        <f t="shared" si="2"/>
        <v>0</v>
      </c>
      <c r="K50" s="316">
        <f t="shared" si="2"/>
        <v>0</v>
      </c>
      <c r="L50" s="316">
        <f t="shared" si="2"/>
        <v>0</v>
      </c>
      <c r="M50" s="316">
        <f t="shared" si="2"/>
        <v>1.7210858445164225E-4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1.9523262549529754E-5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3.8939532068916305E-3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1.7210858445164225E-4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5.4231284859804871</v>
      </c>
      <c r="C54" s="22">
        <f t="shared" ref="C54:P54" si="3">(C50)*10^9/3600</f>
        <v>0</v>
      </c>
      <c r="D54" s="22">
        <f t="shared" si="3"/>
        <v>0</v>
      </c>
      <c r="E54" s="22">
        <f t="shared" si="3"/>
        <v>0</v>
      </c>
      <c r="F54" s="22">
        <f t="shared" si="3"/>
        <v>0</v>
      </c>
      <c r="G54" s="22">
        <f t="shared" si="3"/>
        <v>1081.6536685810083</v>
      </c>
      <c r="H54" s="22">
        <f t="shared" si="3"/>
        <v>0</v>
      </c>
      <c r="I54" s="22">
        <f t="shared" si="3"/>
        <v>0</v>
      </c>
      <c r="J54" s="22">
        <f t="shared" si="3"/>
        <v>0</v>
      </c>
      <c r="K54" s="22">
        <f t="shared" si="3"/>
        <v>0</v>
      </c>
      <c r="L54" s="22">
        <f t="shared" si="3"/>
        <v>0</v>
      </c>
      <c r="M54" s="22">
        <f t="shared" si="3"/>
        <v>47.807940125456177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0.20468220216537686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1.1100178811362722</v>
      </c>
      <c r="C58" s="24">
        <f t="shared" ref="C58:P58" ca="1" si="4">C54*C56</f>
        <v>0</v>
      </c>
      <c r="D58" s="24">
        <f t="shared" si="4"/>
        <v>0</v>
      </c>
      <c r="E58" s="24">
        <f t="shared" si="4"/>
        <v>0</v>
      </c>
      <c r="F58" s="24">
        <f t="shared" si="4"/>
        <v>0</v>
      </c>
      <c r="G58" s="24">
        <f t="shared" si="4"/>
        <v>288.80152951112922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4900.7580234596498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4900.7580234596498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2021-11-11T13:33:15Z</dcterms:modified>
</cp:coreProperties>
</file>