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D813550-3C0A-4715-A291-C5EB53F2AA2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<sst xmlns="http://schemas.openxmlformats.org/spreadsheetml/2006/main" count="2553" uniqueCount="959">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</sst>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D8A3131-0D02-4A49-915B-C3572B1CEEE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24107</v>
      </c>
      <c r="B6" s="384"/>
      <c r="C6" s="385"/>
    </row>
    <row r="7" spans="1:7" s="382" customFormat="1" ht="15.75" customHeight="1">
      <c r="A7" s="386" t="str">
        <f>txtMunicipality</f>
        <v>TIENEN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54691.849799370808</v>
      </c>
      <c r="D10" s="674">
        <f ca="1">tertiair!C16</f>
        <v>0</v>
      </c>
      <c r="E10" s="674">
        <f ca="1">tertiair!D16</f>
        <v>77938.577406792407</v>
      </c>
      <c r="F10" s="674">
        <f>tertiair!E16</f>
        <v>399.46758266338298</v>
      </c>
      <c r="G10" s="674">
        <f ca="1">tertiair!F16</f>
        <v>11054.49810348418</v>
      </c>
      <c r="H10" s="674">
        <f>tertiair!G16</f>
        <v>0</v>
      </c>
      <c r="I10" s="674">
        <f>tertiair!H16</f>
        <v>0</v>
      </c>
      <c r="J10" s="674">
        <f>tertiair!I16</f>
        <v>0</v>
      </c>
      <c r="K10" s="674">
        <f>tertiair!J16</f>
        <v>0</v>
      </c>
      <c r="L10" s="674">
        <f>tertiair!K16</f>
        <v>0</v>
      </c>
      <c r="M10" s="674">
        <f ca="1">tertiair!L16</f>
        <v>0</v>
      </c>
      <c r="N10" s="674">
        <f>tertiair!M16</f>
        <v>0</v>
      </c>
      <c r="O10" s="674">
        <f ca="1">tertiair!N16</f>
        <v>2654.5081656301395</v>
      </c>
      <c r="P10" s="674">
        <f>tertiair!O16</f>
        <v>0</v>
      </c>
      <c r="Q10" s="675">
        <f>tertiair!P16</f>
        <v>133.46666666666667</v>
      </c>
      <c r="R10" s="677">
        <f ca="1">SUM(C10:Q10)</f>
        <v>146872.36772460758</v>
      </c>
      <c r="S10" s="68"/>
    </row>
    <row r="11" spans="1:19" s="443" customFormat="1">
      <c r="A11" s="789" t="s">
        <v>214</v>
      </c>
      <c r="B11" s="794"/>
      <c r="C11" s="674">
        <f>huishoudens!B8</f>
        <v>56221.881761532961</v>
      </c>
      <c r="D11" s="674">
        <f>huishoudens!C8</f>
        <v>0</v>
      </c>
      <c r="E11" s="674">
        <f>huishoudens!D8</f>
        <v>172827.97515479467</v>
      </c>
      <c r="F11" s="674">
        <f>huishoudens!E8</f>
        <v>2427.5101292590643</v>
      </c>
      <c r="G11" s="674">
        <f>huishoudens!F8</f>
        <v>74007.736060996496</v>
      </c>
      <c r="H11" s="674">
        <f>huishoudens!G8</f>
        <v>0</v>
      </c>
      <c r="I11" s="674">
        <f>huishoudens!H8</f>
        <v>0</v>
      </c>
      <c r="J11" s="674">
        <f>huishoudens!I8</f>
        <v>0</v>
      </c>
      <c r="K11" s="674">
        <f>huishoudens!J8</f>
        <v>1342.8445831394704</v>
      </c>
      <c r="L11" s="674">
        <f>huishoudens!K8</f>
        <v>0</v>
      </c>
      <c r="M11" s="674">
        <f>huishoudens!L8</f>
        <v>0</v>
      </c>
      <c r="N11" s="674">
        <f>huishoudens!M8</f>
        <v>0</v>
      </c>
      <c r="O11" s="674">
        <f>huishoudens!N8</f>
        <v>20484.333875220909</v>
      </c>
      <c r="P11" s="674">
        <f>huishoudens!O8</f>
        <v>96.926666666666677</v>
      </c>
      <c r="Q11" s="675">
        <f>huishoudens!P8</f>
        <v>247.86666666666667</v>
      </c>
      <c r="R11" s="677">
        <f>SUM(C11:Q11)</f>
        <v>327657.07489827689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120172.43168853548</v>
      </c>
      <c r="D13" s="674">
        <f>industrie!C18</f>
        <v>0</v>
      </c>
      <c r="E13" s="674">
        <f>industrie!D18</f>
        <v>32602.983768995698</v>
      </c>
      <c r="F13" s="674">
        <f>industrie!E18</f>
        <v>929.68040302783788</v>
      </c>
      <c r="G13" s="674">
        <f>industrie!F18</f>
        <v>28906.088723730954</v>
      </c>
      <c r="H13" s="674">
        <f>industrie!G18</f>
        <v>0</v>
      </c>
      <c r="I13" s="674">
        <f>industrie!H18</f>
        <v>0</v>
      </c>
      <c r="J13" s="674">
        <f>industrie!I18</f>
        <v>0</v>
      </c>
      <c r="K13" s="674">
        <f>industrie!J18</f>
        <v>7242.0554617994076</v>
      </c>
      <c r="L13" s="674">
        <f>industrie!K18</f>
        <v>0</v>
      </c>
      <c r="M13" s="674">
        <f>industrie!L18</f>
        <v>0</v>
      </c>
      <c r="N13" s="674">
        <f>industrie!M18</f>
        <v>0</v>
      </c>
      <c r="O13" s="674">
        <f>industrie!N18</f>
        <v>3243.2185196873593</v>
      </c>
      <c r="P13" s="674">
        <f>industrie!O18</f>
        <v>0</v>
      </c>
      <c r="Q13" s="675">
        <f>industrie!P18</f>
        <v>0</v>
      </c>
      <c r="R13" s="677">
        <f>SUM(C13:Q13)</f>
        <v>193096.45856577673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231086.16324943927</v>
      </c>
      <c r="D16" s="707">
        <f t="shared" ref="D16:R16" ca="1" si="0">SUM(D9:D15)</f>
        <v>0</v>
      </c>
      <c r="E16" s="707">
        <f t="shared" ca="1" si="0"/>
        <v>283369.53633058275</v>
      </c>
      <c r="F16" s="707">
        <f t="shared" si="0"/>
        <v>3756.6581149502854</v>
      </c>
      <c r="G16" s="707">
        <f t="shared" ca="1" si="0"/>
        <v>113968.32288821162</v>
      </c>
      <c r="H16" s="707">
        <f t="shared" si="0"/>
        <v>0</v>
      </c>
      <c r="I16" s="707">
        <f t="shared" si="0"/>
        <v>0</v>
      </c>
      <c r="J16" s="707">
        <f t="shared" si="0"/>
        <v>0</v>
      </c>
      <c r="K16" s="707">
        <f t="shared" si="0"/>
        <v>8584.9000449388786</v>
      </c>
      <c r="L16" s="707">
        <f t="shared" si="0"/>
        <v>0</v>
      </c>
      <c r="M16" s="707">
        <f t="shared" ca="1" si="0"/>
        <v>0</v>
      </c>
      <c r="N16" s="707">
        <f t="shared" si="0"/>
        <v>0</v>
      </c>
      <c r="O16" s="707">
        <f t="shared" ca="1" si="0"/>
        <v>26382.060560538408</v>
      </c>
      <c r="P16" s="707">
        <f t="shared" si="0"/>
        <v>96.926666666666677</v>
      </c>
      <c r="Q16" s="707">
        <f t="shared" si="0"/>
        <v>381.33333333333337</v>
      </c>
      <c r="R16" s="707">
        <f t="shared" ca="1" si="0"/>
        <v>667625.90118866123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17.77550262493326</v>
      </c>
      <c r="D19" s="674">
        <f>transport!C54</f>
        <v>0</v>
      </c>
      <c r="E19" s="674">
        <f>transport!D54</f>
        <v>0</v>
      </c>
      <c r="F19" s="674">
        <f>transport!E54</f>
        <v>0</v>
      </c>
      <c r="G19" s="674">
        <f>transport!F54</f>
        <v>0</v>
      </c>
      <c r="H19" s="674">
        <f>transport!G54</f>
        <v>3545.3590441079555</v>
      </c>
      <c r="I19" s="674">
        <f>transport!H54</f>
        <v>0</v>
      </c>
      <c r="J19" s="674">
        <f>transport!I54</f>
        <v>0</v>
      </c>
      <c r="K19" s="674">
        <f>transport!J54</f>
        <v>0</v>
      </c>
      <c r="L19" s="674">
        <f>transport!K54</f>
        <v>0</v>
      </c>
      <c r="M19" s="674">
        <f>transport!L54</f>
        <v>0</v>
      </c>
      <c r="N19" s="674">
        <f>transport!M54</f>
        <v>156.70109373022811</v>
      </c>
      <c r="O19" s="674">
        <f>transport!N54</f>
        <v>0</v>
      </c>
      <c r="P19" s="674">
        <f>transport!O54</f>
        <v>0</v>
      </c>
      <c r="Q19" s="675">
        <f>transport!P54</f>
        <v>0</v>
      </c>
      <c r="R19" s="677">
        <f>SUM(C19:Q19)</f>
        <v>3719.8356404631168</v>
      </c>
      <c r="S19" s="68"/>
    </row>
    <row r="20" spans="1:19" s="443" customFormat="1">
      <c r="A20" s="789" t="s">
        <v>296</v>
      </c>
      <c r="B20" s="794"/>
      <c r="C20" s="674">
        <f>transport!B14</f>
        <v>9.4008396599713855</v>
      </c>
      <c r="D20" s="674">
        <f>transport!C14</f>
        <v>0</v>
      </c>
      <c r="E20" s="674">
        <f>transport!D14</f>
        <v>11.804465348592245</v>
      </c>
      <c r="F20" s="674">
        <f>transport!E14</f>
        <v>786.63107758844637</v>
      </c>
      <c r="G20" s="674">
        <f>transport!F14</f>
        <v>0</v>
      </c>
      <c r="H20" s="674">
        <f>transport!G14</f>
        <v>179980.53649916485</v>
      </c>
      <c r="I20" s="674">
        <f>transport!H14</f>
        <v>28677.51401185233</v>
      </c>
      <c r="J20" s="674">
        <f>transport!I14</f>
        <v>0</v>
      </c>
      <c r="K20" s="674">
        <f>transport!J14</f>
        <v>0</v>
      </c>
      <c r="L20" s="674">
        <f>transport!K14</f>
        <v>0</v>
      </c>
      <c r="M20" s="674">
        <f>transport!L14</f>
        <v>0</v>
      </c>
      <c r="N20" s="674">
        <f>transport!M14</f>
        <v>9321.9368102457938</v>
      </c>
      <c r="O20" s="674">
        <f>transport!N14</f>
        <v>0</v>
      </c>
      <c r="P20" s="674">
        <f>transport!O14</f>
        <v>0</v>
      </c>
      <c r="Q20" s="675">
        <f>transport!P14</f>
        <v>0</v>
      </c>
      <c r="R20" s="677">
        <f>SUM(C20:Q20)</f>
        <v>218787.82370385999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27.176342284904646</v>
      </c>
      <c r="D22" s="792">
        <f t="shared" ref="D22:R22" si="1">SUM(D18:D21)</f>
        <v>0</v>
      </c>
      <c r="E22" s="792">
        <f t="shared" si="1"/>
        <v>11.804465348592245</v>
      </c>
      <c r="F22" s="792">
        <f t="shared" si="1"/>
        <v>786.63107758844637</v>
      </c>
      <c r="G22" s="792">
        <f t="shared" si="1"/>
        <v>0</v>
      </c>
      <c r="H22" s="792">
        <f t="shared" si="1"/>
        <v>183525.89554327281</v>
      </c>
      <c r="I22" s="792">
        <f t="shared" si="1"/>
        <v>28677.51401185233</v>
      </c>
      <c r="J22" s="792">
        <f t="shared" si="1"/>
        <v>0</v>
      </c>
      <c r="K22" s="792">
        <f t="shared" si="1"/>
        <v>0</v>
      </c>
      <c r="L22" s="792">
        <f t="shared" si="1"/>
        <v>0</v>
      </c>
      <c r="M22" s="792">
        <f t="shared" si="1"/>
        <v>0</v>
      </c>
      <c r="N22" s="792">
        <f t="shared" si="1"/>
        <v>9478.6379039760213</v>
      </c>
      <c r="O22" s="792">
        <f t="shared" si="1"/>
        <v>0</v>
      </c>
      <c r="P22" s="792">
        <f t="shared" si="1"/>
        <v>0</v>
      </c>
      <c r="Q22" s="792">
        <f t="shared" si="1"/>
        <v>0</v>
      </c>
      <c r="R22" s="792">
        <f t="shared" si="1"/>
        <v>222507.6593443231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12427.084818252655</v>
      </c>
      <c r="D24" s="674">
        <f>+landbouw!C8</f>
        <v>0</v>
      </c>
      <c r="E24" s="674">
        <f>+landbouw!D8</f>
        <v>12794.445745094876</v>
      </c>
      <c r="F24" s="674">
        <f>+landbouw!E8</f>
        <v>117.07146540790059</v>
      </c>
      <c r="G24" s="674">
        <f>+landbouw!F8</f>
        <v>40553.701949210008</v>
      </c>
      <c r="H24" s="674">
        <f>+landbouw!G8</f>
        <v>0</v>
      </c>
      <c r="I24" s="674">
        <f>+landbouw!H8</f>
        <v>0</v>
      </c>
      <c r="J24" s="674">
        <f>+landbouw!I8</f>
        <v>0</v>
      </c>
      <c r="K24" s="674">
        <f>+landbouw!J8</f>
        <v>1537.2908373467985</v>
      </c>
      <c r="L24" s="674">
        <f>+landbouw!K8</f>
        <v>0</v>
      </c>
      <c r="M24" s="674">
        <f>+landbouw!L8</f>
        <v>0</v>
      </c>
      <c r="N24" s="674">
        <f>+landbouw!M8</f>
        <v>0</v>
      </c>
      <c r="O24" s="674">
        <f>+landbouw!N8</f>
        <v>0</v>
      </c>
      <c r="P24" s="674">
        <f>+landbouw!O8</f>
        <v>0</v>
      </c>
      <c r="Q24" s="675">
        <f>+landbouw!P8</f>
        <v>0</v>
      </c>
      <c r="R24" s="677">
        <f>SUM(C24:Q24)</f>
        <v>67429.59481531223</v>
      </c>
      <c r="S24" s="68"/>
    </row>
    <row r="25" spans="1:19" s="443" customFormat="1" ht="15" thickBot="1">
      <c r="A25" s="811" t="s">
        <v>873</v>
      </c>
      <c r="B25" s="977"/>
      <c r="C25" s="978">
        <f>IF(Onbekend_ele_kWh="---",0,Onbekend_ele_kWh)/1000+IF(REST_rest_ele_kWh="---",0,REST_rest_ele_kWh)/1000</f>
        <v>2367.56864957372</v>
      </c>
      <c r="D25" s="978"/>
      <c r="E25" s="978">
        <f>IF(onbekend_gas_kWh="---",0,onbekend_gas_kWh)/1000+IF(REST_rest_gas_kWh="---",0,REST_rest_gas_kWh)/1000</f>
        <v>7568.6796876603994</v>
      </c>
      <c r="F25" s="978"/>
      <c r="G25" s="978"/>
      <c r="H25" s="978"/>
      <c r="I25" s="978"/>
      <c r="J25" s="978"/>
      <c r="K25" s="978"/>
      <c r="L25" s="978"/>
      <c r="M25" s="978"/>
      <c r="N25" s="978"/>
      <c r="O25" s="978"/>
      <c r="P25" s="978"/>
      <c r="Q25" s="979"/>
      <c r="R25" s="677">
        <f>SUM(C25:Q25)</f>
        <v>9936.2483372341194</v>
      </c>
      <c r="S25" s="68"/>
    </row>
    <row r="26" spans="1:19" s="443" customFormat="1" ht="15.75" thickBot="1">
      <c r="A26" s="680" t="s">
        <v>874</v>
      </c>
      <c r="B26" s="797"/>
      <c r="C26" s="792">
        <f>SUM(C24:C25)</f>
        <v>14794.653467826374</v>
      </c>
      <c r="D26" s="792">
        <f t="shared" ref="D26:R26" si="2">SUM(D24:D25)</f>
        <v>0</v>
      </c>
      <c r="E26" s="792">
        <f t="shared" si="2"/>
        <v>20363.125432755274</v>
      </c>
      <c r="F26" s="792">
        <f t="shared" si="2"/>
        <v>117.07146540790059</v>
      </c>
      <c r="G26" s="792">
        <f t="shared" si="2"/>
        <v>40553.701949210008</v>
      </c>
      <c r="H26" s="792">
        <f t="shared" si="2"/>
        <v>0</v>
      </c>
      <c r="I26" s="792">
        <f t="shared" si="2"/>
        <v>0</v>
      </c>
      <c r="J26" s="792">
        <f t="shared" si="2"/>
        <v>0</v>
      </c>
      <c r="K26" s="792">
        <f t="shared" si="2"/>
        <v>1537.2908373467985</v>
      </c>
      <c r="L26" s="792">
        <f t="shared" si="2"/>
        <v>0</v>
      </c>
      <c r="M26" s="792">
        <f t="shared" si="2"/>
        <v>0</v>
      </c>
      <c r="N26" s="792">
        <f t="shared" si="2"/>
        <v>0</v>
      </c>
      <c r="O26" s="792">
        <f t="shared" si="2"/>
        <v>0</v>
      </c>
      <c r="P26" s="792">
        <f t="shared" si="2"/>
        <v>0</v>
      </c>
      <c r="Q26" s="792">
        <f t="shared" si="2"/>
        <v>0</v>
      </c>
      <c r="R26" s="792">
        <f t="shared" si="2"/>
        <v>77365.843152546353</v>
      </c>
      <c r="S26" s="68"/>
    </row>
    <row r="27" spans="1:19" s="443" customFormat="1" ht="17.25" thickTop="1" thickBot="1">
      <c r="A27" s="681" t="s">
        <v>109</v>
      </c>
      <c r="B27" s="784"/>
      <c r="C27" s="682">
        <f ca="1">C22+C16+C26</f>
        <v>245907.99305955056</v>
      </c>
      <c r="D27" s="682">
        <f t="shared" ref="D27:R27" ca="1" si="3">D22+D16+D26</f>
        <v>0</v>
      </c>
      <c r="E27" s="682">
        <f t="shared" ca="1" si="3"/>
        <v>303744.46622868662</v>
      </c>
      <c r="F27" s="682">
        <f t="shared" si="3"/>
        <v>4660.3606579466323</v>
      </c>
      <c r="G27" s="682">
        <f t="shared" ca="1" si="3"/>
        <v>154522.02483742163</v>
      </c>
      <c r="H27" s="682">
        <f t="shared" si="3"/>
        <v>183525.89554327281</v>
      </c>
      <c r="I27" s="682">
        <f t="shared" si="3"/>
        <v>28677.51401185233</v>
      </c>
      <c r="J27" s="682">
        <f t="shared" si="3"/>
        <v>0</v>
      </c>
      <c r="K27" s="682">
        <f t="shared" si="3"/>
        <v>10122.190882285677</v>
      </c>
      <c r="L27" s="682">
        <f t="shared" si="3"/>
        <v>0</v>
      </c>
      <c r="M27" s="682">
        <f t="shared" ca="1" si="3"/>
        <v>0</v>
      </c>
      <c r="N27" s="682">
        <f t="shared" si="3"/>
        <v>9478.6379039760213</v>
      </c>
      <c r="O27" s="682">
        <f t="shared" ca="1" si="3"/>
        <v>26382.060560538408</v>
      </c>
      <c r="P27" s="682">
        <f t="shared" si="3"/>
        <v>96.926666666666677</v>
      </c>
      <c r="Q27" s="682">
        <f t="shared" si="3"/>
        <v>381.33333333333337</v>
      </c>
      <c r="R27" s="682">
        <f t="shared" ca="1" si="3"/>
        <v>967499.40368553065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11693.473978179347</v>
      </c>
      <c r="D40" s="674">
        <f ca="1">tertiair!C20</f>
        <v>0</v>
      </c>
      <c r="E40" s="674">
        <f ca="1">tertiair!D20</f>
        <v>15743.592636172067</v>
      </c>
      <c r="F40" s="674">
        <f>tertiair!E20</f>
        <v>90.67914126458794</v>
      </c>
      <c r="G40" s="674">
        <f ca="1">tertiair!F20</f>
        <v>2951.5509936302765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30479.296749246278</v>
      </c>
    </row>
    <row r="41" spans="1:18">
      <c r="A41" s="802" t="s">
        <v>214</v>
      </c>
      <c r="B41" s="809"/>
      <c r="C41" s="674">
        <f ca="1">huishoudens!B12</f>
        <v>12020.604784706422</v>
      </c>
      <c r="D41" s="674">
        <f ca="1">huishoudens!C12</f>
        <v>0</v>
      </c>
      <c r="E41" s="674">
        <f>huishoudens!D12</f>
        <v>34911.250981268524</v>
      </c>
      <c r="F41" s="674">
        <f>huishoudens!E12</f>
        <v>551.04479934180767</v>
      </c>
      <c r="G41" s="674">
        <f>huishoudens!F12</f>
        <v>19760.065528286064</v>
      </c>
      <c r="H41" s="674">
        <f>huishoudens!G12</f>
        <v>0</v>
      </c>
      <c r="I41" s="674">
        <f>huishoudens!H12</f>
        <v>0</v>
      </c>
      <c r="J41" s="674">
        <f>huishoudens!I12</f>
        <v>0</v>
      </c>
      <c r="K41" s="674">
        <f>huishoudens!J12</f>
        <v>475.36698243137249</v>
      </c>
      <c r="L41" s="674">
        <f>huishoudens!K12</f>
        <v>0</v>
      </c>
      <c r="M41" s="674">
        <f>huishoudens!L12</f>
        <v>0</v>
      </c>
      <c r="N41" s="674">
        <f>huishoudens!M12</f>
        <v>0</v>
      </c>
      <c r="O41" s="674">
        <f>huishoudens!N12</f>
        <v>0</v>
      </c>
      <c r="P41" s="674">
        <f>huishoudens!O12</f>
        <v>0</v>
      </c>
      <c r="Q41" s="749">
        <f>huishoudens!P12</f>
        <v>0</v>
      </c>
      <c r="R41" s="830">
        <f t="shared" ca="1" si="4"/>
        <v>67718.333076034192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25693.6492000055</v>
      </c>
      <c r="D43" s="674">
        <f ca="1">industrie!C22</f>
        <v>0</v>
      </c>
      <c r="E43" s="674">
        <f>industrie!D22</f>
        <v>6585.8027213371315</v>
      </c>
      <c r="F43" s="674">
        <f>industrie!E22</f>
        <v>211.0374514873192</v>
      </c>
      <c r="G43" s="674">
        <f>industrie!F22</f>
        <v>7717.9256892361655</v>
      </c>
      <c r="H43" s="674">
        <f>industrie!G22</f>
        <v>0</v>
      </c>
      <c r="I43" s="674">
        <f>industrie!H22</f>
        <v>0</v>
      </c>
      <c r="J43" s="674">
        <f>industrie!I22</f>
        <v>0</v>
      </c>
      <c r="K43" s="674">
        <f>industrie!J22</f>
        <v>2563.68763347699</v>
      </c>
      <c r="L43" s="674">
        <f>industrie!K22</f>
        <v>0</v>
      </c>
      <c r="M43" s="674">
        <f>industrie!L22</f>
        <v>0</v>
      </c>
      <c r="N43" s="674">
        <f>industrie!M22</f>
        <v>0</v>
      </c>
      <c r="O43" s="674">
        <f>industrie!N22</f>
        <v>0</v>
      </c>
      <c r="P43" s="674">
        <f>industrie!O22</f>
        <v>0</v>
      </c>
      <c r="Q43" s="749">
        <f>industrie!P22</f>
        <v>0</v>
      </c>
      <c r="R43" s="829">
        <f t="shared" ca="1" si="4"/>
        <v>42772.102695543108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49407.727962891266</v>
      </c>
      <c r="D46" s="707">
        <f t="shared" ref="D46:Q46" ca="1" si="5">SUM(D39:D45)</f>
        <v>0</v>
      </c>
      <c r="E46" s="707">
        <f t="shared" ca="1" si="5"/>
        <v>57240.646338777726</v>
      </c>
      <c r="F46" s="707">
        <f t="shared" si="5"/>
        <v>852.7613920937149</v>
      </c>
      <c r="G46" s="707">
        <f t="shared" ca="1" si="5"/>
        <v>30429.542211152508</v>
      </c>
      <c r="H46" s="707">
        <f t="shared" si="5"/>
        <v>0</v>
      </c>
      <c r="I46" s="707">
        <f t="shared" si="5"/>
        <v>0</v>
      </c>
      <c r="J46" s="707">
        <f t="shared" si="5"/>
        <v>0</v>
      </c>
      <c r="K46" s="707">
        <f t="shared" si="5"/>
        <v>3039.0546159083624</v>
      </c>
      <c r="L46" s="707">
        <f t="shared" si="5"/>
        <v>0</v>
      </c>
      <c r="M46" s="707">
        <f t="shared" ca="1" si="5"/>
        <v>0</v>
      </c>
      <c r="N46" s="707">
        <f t="shared" si="5"/>
        <v>0</v>
      </c>
      <c r="O46" s="707">
        <f t="shared" ca="1" si="5"/>
        <v>0</v>
      </c>
      <c r="P46" s="707">
        <f t="shared" si="5"/>
        <v>0</v>
      </c>
      <c r="Q46" s="707">
        <f t="shared" si="5"/>
        <v>0</v>
      </c>
      <c r="R46" s="707">
        <f ca="1">SUM(R39:R45)</f>
        <v>140969.73252082357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3.8005183250559393</v>
      </c>
      <c r="D49" s="674">
        <f ca="1">transport!C58</f>
        <v>0</v>
      </c>
      <c r="E49" s="674">
        <f>transport!D58</f>
        <v>0</v>
      </c>
      <c r="F49" s="674">
        <f>transport!E58</f>
        <v>0</v>
      </c>
      <c r="G49" s="674">
        <f>transport!F58</f>
        <v>0</v>
      </c>
      <c r="H49" s="674">
        <f>transport!G58</f>
        <v>946.6108647768242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950.41138310188012</v>
      </c>
    </row>
    <row r="50" spans="1:18">
      <c r="A50" s="805" t="s">
        <v>296</v>
      </c>
      <c r="B50" s="815"/>
      <c r="C50" s="984">
        <f ca="1">transport!B18</f>
        <v>2.0099607956243681</v>
      </c>
      <c r="D50" s="984">
        <f>transport!C18</f>
        <v>0</v>
      </c>
      <c r="E50" s="984">
        <f>transport!D18</f>
        <v>2.3845020004156336</v>
      </c>
      <c r="F50" s="984">
        <f>transport!E18</f>
        <v>178.56525461257732</v>
      </c>
      <c r="G50" s="984">
        <f>transport!F18</f>
        <v>0</v>
      </c>
      <c r="H50" s="984">
        <f>transport!G18</f>
        <v>48054.80324527702</v>
      </c>
      <c r="I50" s="984">
        <f>transport!H18</f>
        <v>7140.7009889512301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55378.463951636862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5.8104791206803075</v>
      </c>
      <c r="D52" s="707">
        <f t="shared" ref="D52:Q52" ca="1" si="6">SUM(D48:D51)</f>
        <v>0</v>
      </c>
      <c r="E52" s="707">
        <f t="shared" si="6"/>
        <v>2.3845020004156336</v>
      </c>
      <c r="F52" s="707">
        <f t="shared" si="6"/>
        <v>178.56525461257732</v>
      </c>
      <c r="G52" s="707">
        <f t="shared" si="6"/>
        <v>0</v>
      </c>
      <c r="H52" s="707">
        <f t="shared" si="6"/>
        <v>49001.414110053847</v>
      </c>
      <c r="I52" s="707">
        <f t="shared" si="6"/>
        <v>7140.7009889512301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56328.875334738739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2656.9917360618656</v>
      </c>
      <c r="D54" s="984">
        <f ca="1">+landbouw!C12</f>
        <v>0</v>
      </c>
      <c r="E54" s="984">
        <f>+landbouw!D12</f>
        <v>2584.4780405091651</v>
      </c>
      <c r="F54" s="984">
        <f>+landbouw!E12</f>
        <v>26.575222647593435</v>
      </c>
      <c r="G54" s="984">
        <f>+landbouw!F12</f>
        <v>10827.838420439073</v>
      </c>
      <c r="H54" s="984">
        <f>+landbouw!G12</f>
        <v>0</v>
      </c>
      <c r="I54" s="984">
        <f>+landbouw!H12</f>
        <v>0</v>
      </c>
      <c r="J54" s="984">
        <f>+landbouw!I12</f>
        <v>0</v>
      </c>
      <c r="K54" s="984">
        <f>+landbouw!J12</f>
        <v>544.2009564207666</v>
      </c>
      <c r="L54" s="984">
        <f>+landbouw!K12</f>
        <v>0</v>
      </c>
      <c r="M54" s="984">
        <f>+landbouw!L12</f>
        <v>0</v>
      </c>
      <c r="N54" s="984">
        <f>+landbouw!M12</f>
        <v>0</v>
      </c>
      <c r="O54" s="984">
        <f>+landbouw!N12</f>
        <v>0</v>
      </c>
      <c r="P54" s="984">
        <f>+landbouw!O12</f>
        <v>0</v>
      </c>
      <c r="Q54" s="985">
        <f>+landbouw!P12</f>
        <v>0</v>
      </c>
      <c r="R54" s="706">
        <f ca="1">SUM(C54:Q54)</f>
        <v>16640.084376078463</v>
      </c>
    </row>
    <row r="55" spans="1:18" ht="15" thickBot="1">
      <c r="A55" s="805" t="s">
        <v>873</v>
      </c>
      <c r="B55" s="815"/>
      <c r="C55" s="984">
        <f ca="1">C25*'EF ele_warmte'!B12</f>
        <v>506.20160950676075</v>
      </c>
      <c r="D55" s="984"/>
      <c r="E55" s="984">
        <f>E25*EF_CO2_aardgas</f>
        <v>1528.8732969074008</v>
      </c>
      <c r="F55" s="984"/>
      <c r="G55" s="984"/>
      <c r="H55" s="984"/>
      <c r="I55" s="984"/>
      <c r="J55" s="984"/>
      <c r="K55" s="984"/>
      <c r="L55" s="984"/>
      <c r="M55" s="984"/>
      <c r="N55" s="984"/>
      <c r="O55" s="984"/>
      <c r="P55" s="984"/>
      <c r="Q55" s="985"/>
      <c r="R55" s="706">
        <f ca="1">SUM(C55:Q55)</f>
        <v>2035.0749064141614</v>
      </c>
    </row>
    <row r="56" spans="1:18" ht="15.75" thickBot="1">
      <c r="A56" s="803" t="s">
        <v>874</v>
      </c>
      <c r="B56" s="816"/>
      <c r="C56" s="707">
        <f ca="1">SUM(C54:C55)</f>
        <v>3163.1933455686262</v>
      </c>
      <c r="D56" s="707">
        <f t="shared" ref="D56:Q56" ca="1" si="7">SUM(D54:D55)</f>
        <v>0</v>
      </c>
      <c r="E56" s="707">
        <f t="shared" si="7"/>
        <v>4113.3513374165659</v>
      </c>
      <c r="F56" s="707">
        <f t="shared" si="7"/>
        <v>26.575222647593435</v>
      </c>
      <c r="G56" s="707">
        <f t="shared" si="7"/>
        <v>10827.838420439073</v>
      </c>
      <c r="H56" s="707">
        <f t="shared" si="7"/>
        <v>0</v>
      </c>
      <c r="I56" s="707">
        <f t="shared" si="7"/>
        <v>0</v>
      </c>
      <c r="J56" s="707">
        <f t="shared" si="7"/>
        <v>0</v>
      </c>
      <c r="K56" s="707">
        <f t="shared" si="7"/>
        <v>544.2009564207666</v>
      </c>
      <c r="L56" s="707">
        <f t="shared" si="7"/>
        <v>0</v>
      </c>
      <c r="M56" s="707">
        <f t="shared" si="7"/>
        <v>0</v>
      </c>
      <c r="N56" s="707">
        <f t="shared" si="7"/>
        <v>0</v>
      </c>
      <c r="O56" s="707">
        <f t="shared" si="7"/>
        <v>0</v>
      </c>
      <c r="P56" s="707">
        <f t="shared" si="7"/>
        <v>0</v>
      </c>
      <c r="Q56" s="708">
        <f t="shared" si="7"/>
        <v>0</v>
      </c>
      <c r="R56" s="709">
        <f ca="1">SUM(R54:R55)</f>
        <v>18675.159282492623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52576.731787580567</v>
      </c>
      <c r="D61" s="715">
        <f t="shared" ref="D61:Q61" ca="1" si="8">D46+D52+D56</f>
        <v>0</v>
      </c>
      <c r="E61" s="715">
        <f t="shared" ca="1" si="8"/>
        <v>61356.382178194704</v>
      </c>
      <c r="F61" s="715">
        <f t="shared" si="8"/>
        <v>1057.9018693538856</v>
      </c>
      <c r="G61" s="715">
        <f t="shared" ca="1" si="8"/>
        <v>41257.380631591579</v>
      </c>
      <c r="H61" s="715">
        <f t="shared" si="8"/>
        <v>49001.414110053847</v>
      </c>
      <c r="I61" s="715">
        <f t="shared" si="8"/>
        <v>7140.7009889512301</v>
      </c>
      <c r="J61" s="715">
        <f t="shared" si="8"/>
        <v>0</v>
      </c>
      <c r="K61" s="715">
        <f t="shared" si="8"/>
        <v>3583.2555723291289</v>
      </c>
      <c r="L61" s="715">
        <f t="shared" si="8"/>
        <v>0</v>
      </c>
      <c r="M61" s="715">
        <f t="shared" ca="1" si="8"/>
        <v>0</v>
      </c>
      <c r="N61" s="715">
        <f t="shared" si="8"/>
        <v>0</v>
      </c>
      <c r="O61" s="715">
        <f t="shared" ca="1" si="8"/>
        <v>0</v>
      </c>
      <c r="P61" s="715">
        <f t="shared" si="8"/>
        <v>0</v>
      </c>
      <c r="Q61" s="715">
        <f t="shared" si="8"/>
        <v>0</v>
      </c>
      <c r="R61" s="715">
        <f ca="1">R46+R52+R56</f>
        <v>215973.76713805491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0.21380651817547172</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8004.2293148420149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8004.2293148420149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56221.881761532961</v>
      </c>
      <c r="C4" s="447">
        <f>huishoudens!C8</f>
        <v>0</v>
      </c>
      <c r="D4" s="447">
        <f>huishoudens!D8</f>
        <v>172827.97515479467</v>
      </c>
      <c r="E4" s="447">
        <f>huishoudens!E8</f>
        <v>2427.5101292590643</v>
      </c>
      <c r="F4" s="447">
        <f>huishoudens!F8</f>
        <v>74007.736060996496</v>
      </c>
      <c r="G4" s="447">
        <f>huishoudens!G8</f>
        <v>0</v>
      </c>
      <c r="H4" s="447">
        <f>huishoudens!H8</f>
        <v>0</v>
      </c>
      <c r="I4" s="447">
        <f>huishoudens!I8</f>
        <v>0</v>
      </c>
      <c r="J4" s="447">
        <f>huishoudens!J8</f>
        <v>1342.8445831394704</v>
      </c>
      <c r="K4" s="447">
        <f>huishoudens!K8</f>
        <v>0</v>
      </c>
      <c r="L4" s="447">
        <f>huishoudens!L8</f>
        <v>0</v>
      </c>
      <c r="M4" s="447">
        <f>huishoudens!M8</f>
        <v>0</v>
      </c>
      <c r="N4" s="447">
        <f>huishoudens!N8</f>
        <v>20484.333875220909</v>
      </c>
      <c r="O4" s="447">
        <f>huishoudens!O8</f>
        <v>96.926666666666677</v>
      </c>
      <c r="P4" s="448">
        <f>huishoudens!P8</f>
        <v>247.86666666666667</v>
      </c>
      <c r="Q4" s="449">
        <f>SUM(B4:P4)</f>
        <v>327657.07489827689</v>
      </c>
    </row>
    <row r="5" spans="1:17">
      <c r="A5" s="446" t="s">
        <v>149</v>
      </c>
      <c r="B5" s="447">
        <f ca="1">tertiair!B16</f>
        <v>52099.494799370805</v>
      </c>
      <c r="C5" s="447">
        <f ca="1">tertiair!C16</f>
        <v>0</v>
      </c>
      <c r="D5" s="447">
        <f ca="1">tertiair!D16</f>
        <v>77938.577406792407</v>
      </c>
      <c r="E5" s="447">
        <f>tertiair!E16</f>
        <v>399.46758266338298</v>
      </c>
      <c r="F5" s="447">
        <f ca="1">tertiair!F16</f>
        <v>11054.49810348418</v>
      </c>
      <c r="G5" s="447">
        <f>tertiair!G16</f>
        <v>0</v>
      </c>
      <c r="H5" s="447">
        <f>tertiair!H16</f>
        <v>0</v>
      </c>
      <c r="I5" s="447">
        <f>tertiair!I16</f>
        <v>0</v>
      </c>
      <c r="J5" s="447">
        <f>tertiair!J16</f>
        <v>0</v>
      </c>
      <c r="K5" s="447">
        <f>tertiair!K16</f>
        <v>0</v>
      </c>
      <c r="L5" s="447">
        <f ca="1">tertiair!L16</f>
        <v>0</v>
      </c>
      <c r="M5" s="447">
        <f>tertiair!M16</f>
        <v>0</v>
      </c>
      <c r="N5" s="447">
        <f ca="1">tertiair!N16</f>
        <v>2654.5081656301395</v>
      </c>
      <c r="O5" s="447">
        <f>tertiair!O16</f>
        <v>0</v>
      </c>
      <c r="P5" s="448">
        <f>tertiair!P16</f>
        <v>133.46666666666667</v>
      </c>
      <c r="Q5" s="446">
        <f t="shared" ref="Q5:Q14" ca="1" si="0">SUM(B5:P5)</f>
        <v>144280.0127246076</v>
      </c>
    </row>
    <row r="6" spans="1:17">
      <c r="A6" s="446" t="s">
        <v>187</v>
      </c>
      <c r="B6" s="447">
        <f>'openbare verlichting'!B8</f>
        <v>2592.355</v>
      </c>
      <c r="C6" s="447"/>
      <c r="D6" s="447"/>
      <c r="E6" s="447"/>
      <c r="F6" s="447"/>
      <c r="G6" s="447"/>
      <c r="H6" s="447"/>
      <c r="I6" s="447"/>
      <c r="J6" s="447"/>
      <c r="K6" s="447"/>
      <c r="L6" s="447"/>
      <c r="M6" s="447"/>
      <c r="N6" s="447"/>
      <c r="O6" s="447"/>
      <c r="P6" s="448"/>
      <c r="Q6" s="446">
        <f t="shared" si="0"/>
        <v>2592.355</v>
      </c>
    </row>
    <row r="7" spans="1:17">
      <c r="A7" s="446" t="s">
        <v>105</v>
      </c>
      <c r="B7" s="447">
        <f>landbouw!B8</f>
        <v>12427.084818252655</v>
      </c>
      <c r="C7" s="447">
        <f>landbouw!C8</f>
        <v>0</v>
      </c>
      <c r="D7" s="447">
        <f>landbouw!D8</f>
        <v>12794.445745094876</v>
      </c>
      <c r="E7" s="447">
        <f>landbouw!E8</f>
        <v>117.07146540790059</v>
      </c>
      <c r="F7" s="447">
        <f>landbouw!F8</f>
        <v>40553.701949210008</v>
      </c>
      <c r="G7" s="447">
        <f>landbouw!G8</f>
        <v>0</v>
      </c>
      <c r="H7" s="447">
        <f>landbouw!H8</f>
        <v>0</v>
      </c>
      <c r="I7" s="447">
        <f>landbouw!I8</f>
        <v>0</v>
      </c>
      <c r="J7" s="447">
        <f>landbouw!J8</f>
        <v>1537.2908373467985</v>
      </c>
      <c r="K7" s="447">
        <f>landbouw!K8</f>
        <v>0</v>
      </c>
      <c r="L7" s="447">
        <f>landbouw!L8</f>
        <v>0</v>
      </c>
      <c r="M7" s="447">
        <f>landbouw!M8</f>
        <v>0</v>
      </c>
      <c r="N7" s="447">
        <f>landbouw!N8</f>
        <v>0</v>
      </c>
      <c r="O7" s="447">
        <f>landbouw!O8</f>
        <v>0</v>
      </c>
      <c r="P7" s="448">
        <f>landbouw!P8</f>
        <v>0</v>
      </c>
      <c r="Q7" s="446">
        <f t="shared" si="0"/>
        <v>67429.59481531223</v>
      </c>
    </row>
    <row r="8" spans="1:17">
      <c r="A8" s="446" t="s">
        <v>665</v>
      </c>
      <c r="B8" s="447">
        <f>industrie!B18</f>
        <v>120172.43168853548</v>
      </c>
      <c r="C8" s="447">
        <f>industrie!C18</f>
        <v>0</v>
      </c>
      <c r="D8" s="447">
        <f>industrie!D18</f>
        <v>32602.983768995698</v>
      </c>
      <c r="E8" s="447">
        <f>industrie!E18</f>
        <v>929.68040302783788</v>
      </c>
      <c r="F8" s="447">
        <f>industrie!F18</f>
        <v>28906.088723730954</v>
      </c>
      <c r="G8" s="447">
        <f>industrie!G18</f>
        <v>0</v>
      </c>
      <c r="H8" s="447">
        <f>industrie!H18</f>
        <v>0</v>
      </c>
      <c r="I8" s="447">
        <f>industrie!I18</f>
        <v>0</v>
      </c>
      <c r="J8" s="447">
        <f>industrie!J18</f>
        <v>7242.0554617994076</v>
      </c>
      <c r="K8" s="447">
        <f>industrie!K18</f>
        <v>0</v>
      </c>
      <c r="L8" s="447">
        <f>industrie!L18</f>
        <v>0</v>
      </c>
      <c r="M8" s="447">
        <f>industrie!M18</f>
        <v>0</v>
      </c>
      <c r="N8" s="447">
        <f>industrie!N18</f>
        <v>3243.2185196873593</v>
      </c>
      <c r="O8" s="447">
        <f>industrie!O18</f>
        <v>0</v>
      </c>
      <c r="P8" s="448">
        <f>industrie!P18</f>
        <v>0</v>
      </c>
      <c r="Q8" s="446">
        <f t="shared" si="0"/>
        <v>193096.45856577673</v>
      </c>
    </row>
    <row r="9" spans="1:17" s="452" customFormat="1">
      <c r="A9" s="450" t="s">
        <v>562</v>
      </c>
      <c r="B9" s="451">
        <f>transport!B14</f>
        <v>9.4008396599713855</v>
      </c>
      <c r="C9" s="451">
        <f>transport!C14</f>
        <v>0</v>
      </c>
      <c r="D9" s="451">
        <f>transport!D14</f>
        <v>11.804465348592245</v>
      </c>
      <c r="E9" s="451">
        <f>transport!E14</f>
        <v>786.63107758844637</v>
      </c>
      <c r="F9" s="451">
        <f>transport!F14</f>
        <v>0</v>
      </c>
      <c r="G9" s="451">
        <f>transport!G14</f>
        <v>179980.53649916485</v>
      </c>
      <c r="H9" s="451">
        <f>transport!H14</f>
        <v>28677.51401185233</v>
      </c>
      <c r="I9" s="451">
        <f>transport!I14</f>
        <v>0</v>
      </c>
      <c r="J9" s="451">
        <f>transport!J14</f>
        <v>0</v>
      </c>
      <c r="K9" s="451">
        <f>transport!K14</f>
        <v>0</v>
      </c>
      <c r="L9" s="451">
        <f>transport!L14</f>
        <v>0</v>
      </c>
      <c r="M9" s="451">
        <f>transport!M14</f>
        <v>9321.9368102457938</v>
      </c>
      <c r="N9" s="451">
        <f>transport!N14</f>
        <v>0</v>
      </c>
      <c r="O9" s="451">
        <f>transport!O14</f>
        <v>0</v>
      </c>
      <c r="P9" s="451">
        <f>transport!P14</f>
        <v>0</v>
      </c>
      <c r="Q9" s="450">
        <f>SUM(B9:P9)</f>
        <v>218787.82370385999</v>
      </c>
    </row>
    <row r="10" spans="1:17">
      <c r="A10" s="446" t="s">
        <v>552</v>
      </c>
      <c r="B10" s="447">
        <f>transport!B54</f>
        <v>17.77550262493326</v>
      </c>
      <c r="C10" s="447">
        <f>transport!C54</f>
        <v>0</v>
      </c>
      <c r="D10" s="447">
        <f>transport!D54</f>
        <v>0</v>
      </c>
      <c r="E10" s="447">
        <f>transport!E54</f>
        <v>0</v>
      </c>
      <c r="F10" s="447">
        <f>transport!F54</f>
        <v>0</v>
      </c>
      <c r="G10" s="447">
        <f>transport!G54</f>
        <v>3545.3590441079555</v>
      </c>
      <c r="H10" s="447">
        <f>transport!H54</f>
        <v>0</v>
      </c>
      <c r="I10" s="447">
        <f>transport!I54</f>
        <v>0</v>
      </c>
      <c r="J10" s="447">
        <f>transport!J54</f>
        <v>0</v>
      </c>
      <c r="K10" s="447">
        <f>transport!K54</f>
        <v>0</v>
      </c>
      <c r="L10" s="447">
        <f>transport!L54</f>
        <v>0</v>
      </c>
      <c r="M10" s="447">
        <f>transport!M54</f>
        <v>156.70109373022811</v>
      </c>
      <c r="N10" s="447">
        <f>transport!N54</f>
        <v>0</v>
      </c>
      <c r="O10" s="447">
        <f>transport!O54</f>
        <v>0</v>
      </c>
      <c r="P10" s="448">
        <f>transport!P54</f>
        <v>0</v>
      </c>
      <c r="Q10" s="446">
        <f t="shared" si="0"/>
        <v>3719.8356404631168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2367.56864957372</v>
      </c>
      <c r="C14" s="454"/>
      <c r="D14" s="454">
        <f>'SEAP template'!E25</f>
        <v>7568.6796876603994</v>
      </c>
      <c r="E14" s="454"/>
      <c r="F14" s="454"/>
      <c r="G14" s="454"/>
      <c r="H14" s="454"/>
      <c r="I14" s="454"/>
      <c r="J14" s="454"/>
      <c r="K14" s="454"/>
      <c r="L14" s="454"/>
      <c r="M14" s="454"/>
      <c r="N14" s="454"/>
      <c r="O14" s="454"/>
      <c r="P14" s="455"/>
      <c r="Q14" s="446">
        <f t="shared" si="0"/>
        <v>9936.2483372341194</v>
      </c>
    </row>
    <row r="15" spans="1:17" s="459" customFormat="1">
      <c r="A15" s="456" t="s">
        <v>556</v>
      </c>
      <c r="B15" s="457">
        <f ca="1">SUM(B4:B14)</f>
        <v>245907.9930595505</v>
      </c>
      <c r="C15" s="457">
        <f t="shared" ref="C15:Q15" ca="1" si="1">SUM(C4:C14)</f>
        <v>0</v>
      </c>
      <c r="D15" s="457">
        <f t="shared" ca="1" si="1"/>
        <v>303744.46622868662</v>
      </c>
      <c r="E15" s="457">
        <f t="shared" si="1"/>
        <v>4660.3606579466323</v>
      </c>
      <c r="F15" s="457">
        <f t="shared" ca="1" si="1"/>
        <v>154522.02483742163</v>
      </c>
      <c r="G15" s="457">
        <f t="shared" si="1"/>
        <v>183525.89554327281</v>
      </c>
      <c r="H15" s="457">
        <f t="shared" si="1"/>
        <v>28677.51401185233</v>
      </c>
      <c r="I15" s="457">
        <f t="shared" si="1"/>
        <v>0</v>
      </c>
      <c r="J15" s="457">
        <f t="shared" si="1"/>
        <v>10122.190882285677</v>
      </c>
      <c r="K15" s="457">
        <f t="shared" si="1"/>
        <v>0</v>
      </c>
      <c r="L15" s="457">
        <f t="shared" ca="1" si="1"/>
        <v>0</v>
      </c>
      <c r="M15" s="457">
        <f t="shared" si="1"/>
        <v>9478.6379039760213</v>
      </c>
      <c r="N15" s="457">
        <f t="shared" ca="1" si="1"/>
        <v>26382.060560538408</v>
      </c>
      <c r="O15" s="457">
        <f t="shared" si="1"/>
        <v>96.926666666666677</v>
      </c>
      <c r="P15" s="457">
        <f t="shared" si="1"/>
        <v>381.33333333333337</v>
      </c>
      <c r="Q15" s="457">
        <f t="shared" ca="1" si="1"/>
        <v>967499.40368553076</v>
      </c>
    </row>
    <row r="17" spans="1:17">
      <c r="A17" s="460" t="s">
        <v>557</v>
      </c>
      <c r="B17" s="764">
        <f ca="1">huishoudens!B10</f>
        <v>0.21380651817547178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12020.604784706422</v>
      </c>
      <c r="C22" s="447">
        <f t="shared" ref="C22:C32" ca="1" si="3">C4*$C$17</f>
        <v>0</v>
      </c>
      <c r="D22" s="447">
        <f t="shared" ref="D22:D32" si="4">D4*$D$17</f>
        <v>34911.250981268524</v>
      </c>
      <c r="E22" s="447">
        <f t="shared" ref="E22:E32" si="5">E4*$E$17</f>
        <v>551.04479934180767</v>
      </c>
      <c r="F22" s="447">
        <f t="shared" ref="F22:F32" si="6">F4*$F$17</f>
        <v>19760.065528286064</v>
      </c>
      <c r="G22" s="447">
        <f t="shared" ref="G22:G32" si="7">G4*$G$17</f>
        <v>0</v>
      </c>
      <c r="H22" s="447">
        <f t="shared" ref="H22:H32" si="8">H4*$H$17</f>
        <v>0</v>
      </c>
      <c r="I22" s="447">
        <f t="shared" ref="I22:I32" si="9">I4*$I$17</f>
        <v>0</v>
      </c>
      <c r="J22" s="447">
        <f t="shared" ref="J22:J32" si="10">J4*$J$17</f>
        <v>475.36698243137249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67718.333076034192</v>
      </c>
    </row>
    <row r="23" spans="1:17">
      <c r="A23" s="446" t="s">
        <v>149</v>
      </c>
      <c r="B23" s="447">
        <f t="shared" ca="1" si="2"/>
        <v>11139.211581754571</v>
      </c>
      <c r="C23" s="447">
        <f t="shared" ca="1" si="3"/>
        <v>0</v>
      </c>
      <c r="D23" s="447">
        <f t="shared" ca="1" si="4"/>
        <v>15743.592636172067</v>
      </c>
      <c r="E23" s="447">
        <f t="shared" si="5"/>
        <v>90.67914126458794</v>
      </c>
      <c r="F23" s="447">
        <f t="shared" ca="1" si="6"/>
        <v>2951.5509936302765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29925.034352821502</v>
      </c>
    </row>
    <row r="24" spans="1:17">
      <c r="A24" s="446" t="s">
        <v>187</v>
      </c>
      <c r="B24" s="447">
        <f t="shared" ca="1" si="2"/>
        <v>554.26239642477515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554.26239642477515</v>
      </c>
    </row>
    <row r="25" spans="1:17">
      <c r="A25" s="446" t="s">
        <v>105</v>
      </c>
      <c r="B25" s="447">
        <f t="shared" ca="1" si="2"/>
        <v>2656.9917360618656</v>
      </c>
      <c r="C25" s="447">
        <f t="shared" ca="1" si="3"/>
        <v>0</v>
      </c>
      <c r="D25" s="447">
        <f t="shared" si="4"/>
        <v>2584.4780405091651</v>
      </c>
      <c r="E25" s="447">
        <f t="shared" si="5"/>
        <v>26.575222647593435</v>
      </c>
      <c r="F25" s="447">
        <f t="shared" si="6"/>
        <v>10827.838420439073</v>
      </c>
      <c r="G25" s="447">
        <f t="shared" si="7"/>
        <v>0</v>
      </c>
      <c r="H25" s="447">
        <f t="shared" si="8"/>
        <v>0</v>
      </c>
      <c r="I25" s="447">
        <f t="shared" si="9"/>
        <v>0</v>
      </c>
      <c r="J25" s="447">
        <f t="shared" si="10"/>
        <v>544.2009564207666</v>
      </c>
      <c r="K25" s="447">
        <f t="shared" si="11"/>
        <v>0</v>
      </c>
      <c r="L25" s="447">
        <f t="shared" si="12"/>
        <v>0</v>
      </c>
      <c r="M25" s="447">
        <f t="shared" si="13"/>
        <v>0</v>
      </c>
      <c r="N25" s="447">
        <f t="shared" si="14"/>
        <v>0</v>
      </c>
      <c r="O25" s="447">
        <f t="shared" si="15"/>
        <v>0</v>
      </c>
      <c r="P25" s="448">
        <f t="shared" si="16"/>
        <v>0</v>
      </c>
      <c r="Q25" s="446">
        <f t="shared" ca="1" si="17"/>
        <v>16640.084376078463</v>
      </c>
    </row>
    <row r="26" spans="1:17">
      <c r="A26" s="446" t="s">
        <v>665</v>
      </c>
      <c r="B26" s="447">
        <f t="shared" ca="1" si="2"/>
        <v>25693.6492000055</v>
      </c>
      <c r="C26" s="447">
        <f t="shared" ca="1" si="3"/>
        <v>0</v>
      </c>
      <c r="D26" s="447">
        <f t="shared" si="4"/>
        <v>6585.8027213371315</v>
      </c>
      <c r="E26" s="447">
        <f t="shared" si="5"/>
        <v>211.0374514873192</v>
      </c>
      <c r="F26" s="447">
        <f t="shared" si="6"/>
        <v>7717.9256892361655</v>
      </c>
      <c r="G26" s="447">
        <f t="shared" si="7"/>
        <v>0</v>
      </c>
      <c r="H26" s="447">
        <f t="shared" si="8"/>
        <v>0</v>
      </c>
      <c r="I26" s="447">
        <f t="shared" si="9"/>
        <v>0</v>
      </c>
      <c r="J26" s="447">
        <f t="shared" si="10"/>
        <v>2563.68763347699</v>
      </c>
      <c r="K26" s="447">
        <f t="shared" si="11"/>
        <v>0</v>
      </c>
      <c r="L26" s="447">
        <f t="shared" si="12"/>
        <v>0</v>
      </c>
      <c r="M26" s="447">
        <f t="shared" si="13"/>
        <v>0</v>
      </c>
      <c r="N26" s="447">
        <f t="shared" si="14"/>
        <v>0</v>
      </c>
      <c r="O26" s="447">
        <f t="shared" si="15"/>
        <v>0</v>
      </c>
      <c r="P26" s="448">
        <f t="shared" si="16"/>
        <v>0</v>
      </c>
      <c r="Q26" s="446">
        <f t="shared" ca="1" si="17"/>
        <v>42772.102695543108</v>
      </c>
    </row>
    <row r="27" spans="1:17" s="452" customFormat="1">
      <c r="A27" s="450" t="s">
        <v>562</v>
      </c>
      <c r="B27" s="758">
        <f t="shared" ca="1" si="2"/>
        <v>2.0099607956243681</v>
      </c>
      <c r="C27" s="451">
        <f t="shared" ca="1" si="3"/>
        <v>0</v>
      </c>
      <c r="D27" s="451">
        <f t="shared" si="4"/>
        <v>2.3845020004156336</v>
      </c>
      <c r="E27" s="451">
        <f t="shared" si="5"/>
        <v>178.56525461257732</v>
      </c>
      <c r="F27" s="451">
        <f t="shared" si="6"/>
        <v>0</v>
      </c>
      <c r="G27" s="451">
        <f t="shared" si="7"/>
        <v>48054.80324527702</v>
      </c>
      <c r="H27" s="451">
        <f t="shared" si="8"/>
        <v>7140.7009889512301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55378.463951636862</v>
      </c>
    </row>
    <row r="28" spans="1:17">
      <c r="A28" s="446" t="s">
        <v>552</v>
      </c>
      <c r="B28" s="447">
        <f t="shared" ca="1" si="2"/>
        <v>3.8005183250559393</v>
      </c>
      <c r="C28" s="447">
        <f t="shared" ca="1" si="3"/>
        <v>0</v>
      </c>
      <c r="D28" s="447">
        <f t="shared" si="4"/>
        <v>0</v>
      </c>
      <c r="E28" s="447">
        <f t="shared" si="5"/>
        <v>0</v>
      </c>
      <c r="F28" s="447">
        <f t="shared" si="6"/>
        <v>0</v>
      </c>
      <c r="G28" s="447">
        <f t="shared" si="7"/>
        <v>946.6108647768242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950.41138310188012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506.20160950676075</v>
      </c>
      <c r="C32" s="447">
        <f t="shared" ca="1" si="3"/>
        <v>0</v>
      </c>
      <c r="D32" s="447">
        <f t="shared" si="4"/>
        <v>1528.8732969074008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2035.0749064141614</v>
      </c>
    </row>
    <row r="33" spans="1:17" s="459" customFormat="1">
      <c r="A33" s="456" t="s">
        <v>556</v>
      </c>
      <c r="B33" s="457">
        <f ca="1">SUM(B22:B32)</f>
        <v>52576.731787580575</v>
      </c>
      <c r="C33" s="457">
        <f t="shared" ref="C33:Q33" ca="1" si="18">SUM(C22:C32)</f>
        <v>0</v>
      </c>
      <c r="D33" s="457">
        <f t="shared" ca="1" si="18"/>
        <v>61356.382178194704</v>
      </c>
      <c r="E33" s="457">
        <f t="shared" si="18"/>
        <v>1057.9018693538858</v>
      </c>
      <c r="F33" s="457">
        <f t="shared" ca="1" si="18"/>
        <v>41257.380631591579</v>
      </c>
      <c r="G33" s="457">
        <f t="shared" si="18"/>
        <v>49001.414110053847</v>
      </c>
      <c r="H33" s="457">
        <f t="shared" si="18"/>
        <v>7140.7009889512301</v>
      </c>
      <c r="I33" s="457">
        <f t="shared" si="18"/>
        <v>0</v>
      </c>
      <c r="J33" s="457">
        <f t="shared" si="18"/>
        <v>3583.2555723291289</v>
      </c>
      <c r="K33" s="457">
        <f t="shared" si="18"/>
        <v>0</v>
      </c>
      <c r="L33" s="457">
        <f t="shared" ca="1" si="18"/>
        <v>0</v>
      </c>
      <c r="M33" s="457">
        <f t="shared" si="18"/>
        <v>0</v>
      </c>
      <c r="N33" s="457">
        <f t="shared" ca="1" si="18"/>
        <v>0</v>
      </c>
      <c r="O33" s="457">
        <f t="shared" si="18"/>
        <v>0</v>
      </c>
      <c r="P33" s="457">
        <f t="shared" si="18"/>
        <v>0</v>
      </c>
      <c r="Q33" s="457">
        <f t="shared" ca="1" si="18"/>
        <v>215973.76713805497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8004.2293148420149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8004.2293148420149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0.21380651817547178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0.21380651817547178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0.21380651817547178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0.21380651817547178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14659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4662</v>
      </c>
      <c r="C14" s="327"/>
      <c r="D14" s="327"/>
      <c r="E14" s="327"/>
      <c r="F14" s="327"/>
    </row>
    <row r="15" spans="1:6">
      <c r="A15" s="1293" t="s">
        <v>177</v>
      </c>
      <c r="B15" s="1294">
        <v>14</v>
      </c>
      <c r="C15" s="327"/>
      <c r="D15" s="327"/>
      <c r="E15" s="327"/>
      <c r="F15" s="327"/>
    </row>
    <row r="16" spans="1:6">
      <c r="A16" s="1293" t="s">
        <v>6</v>
      </c>
      <c r="B16" s="1294">
        <v>644</v>
      </c>
      <c r="C16" s="327"/>
      <c r="D16" s="327"/>
      <c r="E16" s="327"/>
      <c r="F16" s="327"/>
    </row>
    <row r="17" spans="1:6">
      <c r="A17" s="1293" t="s">
        <v>7</v>
      </c>
      <c r="B17" s="1294">
        <v>977</v>
      </c>
      <c r="C17" s="327"/>
      <c r="D17" s="327"/>
      <c r="E17" s="327"/>
      <c r="F17" s="327"/>
    </row>
    <row r="18" spans="1:6">
      <c r="A18" s="1293" t="s">
        <v>8</v>
      </c>
      <c r="B18" s="1294">
        <v>1372</v>
      </c>
      <c r="C18" s="327"/>
      <c r="D18" s="327"/>
      <c r="E18" s="327"/>
      <c r="F18" s="327"/>
    </row>
    <row r="19" spans="1:6">
      <c r="A19" s="1293" t="s">
        <v>9</v>
      </c>
      <c r="B19" s="1294">
        <v>1157</v>
      </c>
      <c r="C19" s="327"/>
      <c r="D19" s="327"/>
      <c r="E19" s="327"/>
      <c r="F19" s="327"/>
    </row>
    <row r="20" spans="1:6">
      <c r="A20" s="1293" t="s">
        <v>10</v>
      </c>
      <c r="B20" s="1294">
        <v>712</v>
      </c>
      <c r="C20" s="327"/>
      <c r="D20" s="327"/>
      <c r="E20" s="327"/>
      <c r="F20" s="327"/>
    </row>
    <row r="21" spans="1:6">
      <c r="A21" s="1293" t="s">
        <v>11</v>
      </c>
      <c r="B21" s="1294">
        <v>509</v>
      </c>
      <c r="C21" s="327"/>
      <c r="D21" s="327"/>
      <c r="E21" s="327"/>
      <c r="F21" s="327"/>
    </row>
    <row r="22" spans="1:6">
      <c r="A22" s="1293" t="s">
        <v>12</v>
      </c>
      <c r="B22" s="1294">
        <v>8597</v>
      </c>
      <c r="C22" s="327"/>
      <c r="D22" s="327"/>
      <c r="E22" s="327"/>
      <c r="F22" s="327"/>
    </row>
    <row r="23" spans="1:6">
      <c r="A23" s="1293" t="s">
        <v>13</v>
      </c>
      <c r="B23" s="1294">
        <v>24</v>
      </c>
      <c r="C23" s="327"/>
      <c r="D23" s="327"/>
      <c r="E23" s="327"/>
      <c r="F23" s="327"/>
    </row>
    <row r="24" spans="1:6">
      <c r="A24" s="1293" t="s">
        <v>14</v>
      </c>
      <c r="B24" s="1294">
        <v>7</v>
      </c>
      <c r="C24" s="327"/>
      <c r="D24" s="327"/>
      <c r="E24" s="327"/>
      <c r="F24" s="327"/>
    </row>
    <row r="25" spans="1:6">
      <c r="A25" s="1293" t="s">
        <v>15</v>
      </c>
      <c r="B25" s="1294">
        <v>210</v>
      </c>
      <c r="C25" s="327"/>
      <c r="D25" s="327"/>
      <c r="E25" s="327"/>
      <c r="F25" s="327"/>
    </row>
    <row r="26" spans="1:6">
      <c r="A26" s="1293" t="s">
        <v>16</v>
      </c>
      <c r="B26" s="1294">
        <v>385</v>
      </c>
      <c r="C26" s="327"/>
      <c r="D26" s="327"/>
      <c r="E26" s="327"/>
      <c r="F26" s="327"/>
    </row>
    <row r="27" spans="1:6">
      <c r="A27" s="1293" t="s">
        <v>17</v>
      </c>
      <c r="B27" s="1294">
        <v>7</v>
      </c>
      <c r="C27" s="327"/>
      <c r="D27" s="327"/>
      <c r="E27" s="327"/>
      <c r="F27" s="327"/>
    </row>
    <row r="28" spans="1:6">
      <c r="A28" s="1293" t="s">
        <v>18</v>
      </c>
      <c r="B28" s="1295">
        <v>23134</v>
      </c>
      <c r="C28" s="327"/>
      <c r="D28" s="327"/>
      <c r="E28" s="327"/>
      <c r="F28" s="327"/>
    </row>
    <row r="29" spans="1:6">
      <c r="A29" s="1293" t="s">
        <v>955</v>
      </c>
      <c r="B29" s="1295">
        <v>159</v>
      </c>
      <c r="C29" s="327"/>
      <c r="D29" s="327"/>
      <c r="E29" s="327"/>
      <c r="F29" s="327"/>
    </row>
    <row r="30" spans="1:6">
      <c r="A30" s="1288" t="s">
        <v>956</v>
      </c>
      <c r="B30" s="1296">
        <v>36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3</v>
      </c>
      <c r="F35" s="1294">
        <v>6740.8329208508003</v>
      </c>
    </row>
    <row r="36" spans="1:6">
      <c r="A36" s="1293" t="s">
        <v>24</v>
      </c>
      <c r="B36" s="1293" t="s">
        <v>26</v>
      </c>
      <c r="C36" s="1294">
        <v>0</v>
      </c>
      <c r="D36" s="1294">
        <v>0</v>
      </c>
      <c r="E36" s="1294">
        <v>14</v>
      </c>
      <c r="F36" s="1294">
        <v>74843.915101234394</v>
      </c>
    </row>
    <row r="37" spans="1:6">
      <c r="A37" s="1293" t="s">
        <v>24</v>
      </c>
      <c r="B37" s="1293" t="s">
        <v>27</v>
      </c>
      <c r="C37" s="1294">
        <v>0</v>
      </c>
      <c r="D37" s="1294">
        <v>0</v>
      </c>
      <c r="E37" s="1294">
        <v>0</v>
      </c>
      <c r="F37" s="1294">
        <v>0</v>
      </c>
    </row>
    <row r="38" spans="1:6">
      <c r="A38" s="1293" t="s">
        <v>24</v>
      </c>
      <c r="B38" s="1293" t="s">
        <v>28</v>
      </c>
      <c r="C38" s="1294">
        <v>2</v>
      </c>
      <c r="D38" s="1294">
        <v>198529.554564291</v>
      </c>
      <c r="E38" s="1294">
        <v>2</v>
      </c>
      <c r="F38" s="1294">
        <v>12371.721932226499</v>
      </c>
    </row>
    <row r="39" spans="1:6">
      <c r="A39" s="1293" t="s">
        <v>29</v>
      </c>
      <c r="B39" s="1293" t="s">
        <v>30</v>
      </c>
      <c r="C39" s="1294">
        <v>10504</v>
      </c>
      <c r="D39" s="1294">
        <v>191605293.96318701</v>
      </c>
      <c r="E39" s="1294">
        <v>14904</v>
      </c>
      <c r="F39" s="1294">
        <v>52557594.062342197</v>
      </c>
    </row>
    <row r="40" spans="1:6">
      <c r="A40" s="1293" t="s">
        <v>29</v>
      </c>
      <c r="B40" s="1293" t="s">
        <v>28</v>
      </c>
      <c r="C40" s="1294">
        <v>0</v>
      </c>
      <c r="D40" s="1294">
        <v>0</v>
      </c>
      <c r="E40" s="1294">
        <v>0</v>
      </c>
      <c r="F40" s="1294">
        <v>0</v>
      </c>
    </row>
    <row r="41" spans="1:6">
      <c r="A41" s="1293" t="s">
        <v>31</v>
      </c>
      <c r="B41" s="1293" t="s">
        <v>32</v>
      </c>
      <c r="C41" s="1294">
        <v>88</v>
      </c>
      <c r="D41" s="1294">
        <v>1862259.5934483199</v>
      </c>
      <c r="E41" s="1294">
        <v>186</v>
      </c>
      <c r="F41" s="1294">
        <v>9512356.7058844101</v>
      </c>
    </row>
    <row r="42" spans="1:6">
      <c r="A42" s="1293" t="s">
        <v>31</v>
      </c>
      <c r="B42" s="1293" t="s">
        <v>33</v>
      </c>
      <c r="C42" s="1294">
        <v>3</v>
      </c>
      <c r="D42" s="1294">
        <v>121943.53419839899</v>
      </c>
      <c r="E42" s="1294">
        <v>0</v>
      </c>
      <c r="F42" s="1294">
        <v>0</v>
      </c>
    </row>
    <row r="43" spans="1:6">
      <c r="A43" s="1293" t="s">
        <v>31</v>
      </c>
      <c r="B43" s="1293" t="s">
        <v>34</v>
      </c>
      <c r="C43" s="1294">
        <v>0</v>
      </c>
      <c r="D43" s="1294">
        <v>0</v>
      </c>
      <c r="E43" s="1294">
        <v>0</v>
      </c>
      <c r="F43" s="1294">
        <v>0</v>
      </c>
    </row>
    <row r="44" spans="1:6">
      <c r="A44" s="1293" t="s">
        <v>31</v>
      </c>
      <c r="B44" s="1293" t="s">
        <v>35</v>
      </c>
      <c r="C44" s="1294">
        <v>11</v>
      </c>
      <c r="D44" s="1294">
        <v>167609.507553534</v>
      </c>
      <c r="E44" s="1294">
        <v>36</v>
      </c>
      <c r="F44" s="1294">
        <v>7751797.1959603997</v>
      </c>
    </row>
    <row r="45" spans="1:6">
      <c r="A45" s="1293" t="s">
        <v>31</v>
      </c>
      <c r="B45" s="1293" t="s">
        <v>36</v>
      </c>
      <c r="C45" s="1294">
        <v>0</v>
      </c>
      <c r="D45" s="1294">
        <v>0</v>
      </c>
      <c r="E45" s="1294">
        <v>0</v>
      </c>
      <c r="F45" s="1294">
        <v>0</v>
      </c>
    </row>
    <row r="46" spans="1:6">
      <c r="A46" s="1293" t="s">
        <v>31</v>
      </c>
      <c r="B46" s="1293" t="s">
        <v>37</v>
      </c>
      <c r="C46" s="1294">
        <v>4</v>
      </c>
      <c r="D46" s="1294">
        <v>2566598.8433472398</v>
      </c>
      <c r="E46" s="1294">
        <v>6</v>
      </c>
      <c r="F46" s="1294">
        <v>19183188.520393699</v>
      </c>
    </row>
    <row r="47" spans="1:6">
      <c r="A47" s="1293" t="s">
        <v>31</v>
      </c>
      <c r="B47" s="1293" t="s">
        <v>38</v>
      </c>
      <c r="C47" s="1294">
        <v>0</v>
      </c>
      <c r="D47" s="1294">
        <v>0</v>
      </c>
      <c r="E47" s="1294">
        <v>3</v>
      </c>
      <c r="F47" s="1294">
        <v>15031.9055100978</v>
      </c>
    </row>
    <row r="48" spans="1:6">
      <c r="A48" s="1293" t="s">
        <v>31</v>
      </c>
      <c r="B48" s="1293" t="s">
        <v>28</v>
      </c>
      <c r="C48" s="1294">
        <v>38</v>
      </c>
      <c r="D48" s="1294">
        <v>32681206.545867801</v>
      </c>
      <c r="E48" s="1294">
        <v>38</v>
      </c>
      <c r="F48" s="1294">
        <v>73836978.707841694</v>
      </c>
    </row>
    <row r="49" spans="1:6">
      <c r="A49" s="1293" t="s">
        <v>31</v>
      </c>
      <c r="B49" s="1293" t="s">
        <v>39</v>
      </c>
      <c r="C49" s="1294">
        <v>0</v>
      </c>
      <c r="D49" s="1294">
        <v>0</v>
      </c>
      <c r="E49" s="1294">
        <v>0</v>
      </c>
      <c r="F49" s="1294">
        <v>0</v>
      </c>
    </row>
    <row r="50" spans="1:6">
      <c r="A50" s="1293" t="s">
        <v>31</v>
      </c>
      <c r="B50" s="1293" t="s">
        <v>40</v>
      </c>
      <c r="C50" s="1294">
        <v>17</v>
      </c>
      <c r="D50" s="1294">
        <v>1312195.6404349401</v>
      </c>
      <c r="E50" s="1294">
        <v>21</v>
      </c>
      <c r="F50" s="1294">
        <v>9873078.6529451702</v>
      </c>
    </row>
    <row r="51" spans="1:6">
      <c r="A51" s="1293" t="s">
        <v>41</v>
      </c>
      <c r="B51" s="1293" t="s">
        <v>42</v>
      </c>
      <c r="C51" s="1294">
        <v>17</v>
      </c>
      <c r="D51" s="1294">
        <v>13803605.016998701</v>
      </c>
      <c r="E51" s="1294">
        <v>119</v>
      </c>
      <c r="F51" s="1294">
        <v>12368916.5123262</v>
      </c>
    </row>
    <row r="52" spans="1:6">
      <c r="A52" s="1293" t="s">
        <v>41</v>
      </c>
      <c r="B52" s="1293" t="s">
        <v>28</v>
      </c>
      <c r="C52" s="1294">
        <v>11</v>
      </c>
      <c r="D52" s="1294">
        <v>380924.63388253603</v>
      </c>
      <c r="E52" s="1294">
        <v>5</v>
      </c>
      <c r="F52" s="1294">
        <v>58168.305926455898</v>
      </c>
    </row>
    <row r="53" spans="1:6">
      <c r="A53" s="1293" t="s">
        <v>43</v>
      </c>
      <c r="B53" s="1293" t="s">
        <v>44</v>
      </c>
      <c r="C53" s="1294">
        <v>263</v>
      </c>
      <c r="D53" s="1294">
        <v>7568679.6876603998</v>
      </c>
      <c r="E53" s="1294">
        <v>456</v>
      </c>
      <c r="F53" s="1294">
        <v>2367568.6495737201</v>
      </c>
    </row>
    <row r="54" spans="1:6">
      <c r="A54" s="1293" t="s">
        <v>45</v>
      </c>
      <c r="B54" s="1293" t="s">
        <v>46</v>
      </c>
      <c r="C54" s="1294">
        <v>0</v>
      </c>
      <c r="D54" s="1294">
        <v>0</v>
      </c>
      <c r="E54" s="1294">
        <v>2</v>
      </c>
      <c r="F54" s="1294">
        <v>2592355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63</v>
      </c>
      <c r="D57" s="1294">
        <v>2015779.20015638</v>
      </c>
      <c r="E57" s="1294">
        <v>118</v>
      </c>
      <c r="F57" s="1294">
        <v>3932615.6617595302</v>
      </c>
    </row>
    <row r="58" spans="1:6">
      <c r="A58" s="1293" t="s">
        <v>48</v>
      </c>
      <c r="B58" s="1293" t="s">
        <v>50</v>
      </c>
      <c r="C58" s="1294">
        <v>84</v>
      </c>
      <c r="D58" s="1294">
        <v>20271214.875610098</v>
      </c>
      <c r="E58" s="1294">
        <v>106</v>
      </c>
      <c r="F58" s="1294">
        <v>8232163.4522158103</v>
      </c>
    </row>
    <row r="59" spans="1:6">
      <c r="A59" s="1293" t="s">
        <v>48</v>
      </c>
      <c r="B59" s="1293" t="s">
        <v>51</v>
      </c>
      <c r="C59" s="1294">
        <v>297</v>
      </c>
      <c r="D59" s="1294">
        <v>16766410.1816203</v>
      </c>
      <c r="E59" s="1294">
        <v>470</v>
      </c>
      <c r="F59" s="1294">
        <v>16438657.788121199</v>
      </c>
    </row>
    <row r="60" spans="1:6">
      <c r="A60" s="1293" t="s">
        <v>48</v>
      </c>
      <c r="B60" s="1293" t="s">
        <v>52</v>
      </c>
      <c r="C60" s="1294">
        <v>159</v>
      </c>
      <c r="D60" s="1294">
        <v>8513084.0328286402</v>
      </c>
      <c r="E60" s="1294">
        <v>172</v>
      </c>
      <c r="F60" s="1294">
        <v>4150344.7297582901</v>
      </c>
    </row>
    <row r="61" spans="1:6">
      <c r="A61" s="1293" t="s">
        <v>48</v>
      </c>
      <c r="B61" s="1293" t="s">
        <v>53</v>
      </c>
      <c r="C61" s="1294">
        <v>277</v>
      </c>
      <c r="D61" s="1294">
        <v>27669124.760743301</v>
      </c>
      <c r="E61" s="1294">
        <v>676</v>
      </c>
      <c r="F61" s="1294">
        <v>15190211.948570199</v>
      </c>
    </row>
    <row r="62" spans="1:6">
      <c r="A62" s="1293" t="s">
        <v>48</v>
      </c>
      <c r="B62" s="1293" t="s">
        <v>54</v>
      </c>
      <c r="C62" s="1294">
        <v>18</v>
      </c>
      <c r="D62" s="1294">
        <v>4164825.4371231301</v>
      </c>
      <c r="E62" s="1294">
        <v>19</v>
      </c>
      <c r="F62" s="1294">
        <v>697350.11125548999</v>
      </c>
    </row>
    <row r="63" spans="1:6">
      <c r="A63" s="1293" t="s">
        <v>48</v>
      </c>
      <c r="B63" s="1293" t="s">
        <v>28</v>
      </c>
      <c r="C63" s="1294">
        <v>110</v>
      </c>
      <c r="D63" s="1294">
        <v>7005966.6192268198</v>
      </c>
      <c r="E63" s="1294">
        <v>99</v>
      </c>
      <c r="F63" s="1294">
        <v>3458151.1076902798</v>
      </c>
    </row>
    <row r="64" spans="1:6">
      <c r="A64" s="1293" t="s">
        <v>55</v>
      </c>
      <c r="B64" s="1293" t="s">
        <v>56</v>
      </c>
      <c r="C64" s="1294">
        <v>0</v>
      </c>
      <c r="D64" s="1294">
        <v>0</v>
      </c>
      <c r="E64" s="1294">
        <v>0</v>
      </c>
      <c r="F64" s="1294">
        <v>0</v>
      </c>
    </row>
    <row r="65" spans="1:6">
      <c r="A65" s="1293" t="s">
        <v>55</v>
      </c>
      <c r="B65" s="1293" t="s">
        <v>28</v>
      </c>
      <c r="C65" s="1294">
        <v>3</v>
      </c>
      <c r="D65" s="1294">
        <v>94758.176238908796</v>
      </c>
      <c r="E65" s="1294">
        <v>3</v>
      </c>
      <c r="F65" s="1294">
        <v>95700.569408928699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122820.494359344</v>
      </c>
      <c r="E68" s="1296">
        <v>15</v>
      </c>
      <c r="F68" s="1296">
        <v>1093910.9736979399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132593387</v>
      </c>
      <c r="E73" s="445"/>
      <c r="F73" s="327"/>
    </row>
    <row r="74" spans="1:6">
      <c r="A74" s="1293" t="s">
        <v>63</v>
      </c>
      <c r="B74" s="1293" t="s">
        <v>749</v>
      </c>
      <c r="C74" s="1306" t="s">
        <v>743</v>
      </c>
      <c r="D74" s="1294">
        <v>15061419.050718179</v>
      </c>
      <c r="E74" s="445"/>
      <c r="F74" s="327"/>
    </row>
    <row r="75" spans="1:6">
      <c r="A75" s="1293" t="s">
        <v>64</v>
      </c>
      <c r="B75" s="1293" t="s">
        <v>748</v>
      </c>
      <c r="C75" s="1306" t="s">
        <v>744</v>
      </c>
      <c r="D75" s="1294">
        <v>46025088</v>
      </c>
      <c r="E75" s="445"/>
      <c r="F75" s="327"/>
    </row>
    <row r="76" spans="1:6">
      <c r="A76" s="1293" t="s">
        <v>64</v>
      </c>
      <c r="B76" s="1293" t="s">
        <v>749</v>
      </c>
      <c r="C76" s="1306" t="s">
        <v>745</v>
      </c>
      <c r="D76" s="1294">
        <v>1581691.0507181799</v>
      </c>
      <c r="E76" s="445"/>
      <c r="F76" s="327"/>
    </row>
    <row r="77" spans="1:6">
      <c r="A77" s="1293" t="s">
        <v>65</v>
      </c>
      <c r="B77" s="1293" t="s">
        <v>748</v>
      </c>
      <c r="C77" s="1306" t="s">
        <v>746</v>
      </c>
      <c r="D77" s="1294">
        <v>49446477</v>
      </c>
      <c r="E77" s="445"/>
      <c r="F77" s="327"/>
    </row>
    <row r="78" spans="1:6">
      <c r="A78" s="1288" t="s">
        <v>65</v>
      </c>
      <c r="B78" s="1288" t="s">
        <v>749</v>
      </c>
      <c r="C78" s="1288" t="s">
        <v>747</v>
      </c>
      <c r="D78" s="1296">
        <v>5992862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979305.89856364031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3664.2876991907578</v>
      </c>
      <c r="C91" s="327"/>
      <c r="D91" s="327"/>
      <c r="E91" s="327"/>
      <c r="F91" s="327"/>
    </row>
    <row r="92" spans="1:6">
      <c r="A92" s="1288" t="s">
        <v>68</v>
      </c>
      <c r="B92" s="1289">
        <v>4339.9416156512571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7932</v>
      </c>
      <c r="C97" s="327"/>
      <c r="D97" s="327"/>
      <c r="E97" s="327"/>
      <c r="F97" s="327"/>
    </row>
    <row r="98" spans="1:6">
      <c r="A98" s="1293" t="s">
        <v>71</v>
      </c>
      <c r="B98" s="1294">
        <v>4</v>
      </c>
      <c r="C98" s="327"/>
      <c r="D98" s="327"/>
      <c r="E98" s="327"/>
      <c r="F98" s="327"/>
    </row>
    <row r="99" spans="1:6">
      <c r="A99" s="1293" t="s">
        <v>72</v>
      </c>
      <c r="B99" s="1294">
        <v>90</v>
      </c>
      <c r="C99" s="327"/>
      <c r="D99" s="327"/>
      <c r="E99" s="327"/>
      <c r="F99" s="327"/>
    </row>
    <row r="100" spans="1:6">
      <c r="A100" s="1293" t="s">
        <v>73</v>
      </c>
      <c r="B100" s="1294">
        <v>630</v>
      </c>
      <c r="C100" s="327"/>
      <c r="D100" s="327"/>
      <c r="E100" s="327"/>
      <c r="F100" s="327"/>
    </row>
    <row r="101" spans="1:6">
      <c r="A101" s="1293" t="s">
        <v>74</v>
      </c>
      <c r="B101" s="1294">
        <v>56</v>
      </c>
      <c r="C101" s="327"/>
      <c r="D101" s="327"/>
      <c r="E101" s="327"/>
      <c r="F101" s="327"/>
    </row>
    <row r="102" spans="1:6">
      <c r="A102" s="1293" t="s">
        <v>75</v>
      </c>
      <c r="B102" s="1294">
        <v>307</v>
      </c>
      <c r="C102" s="327"/>
      <c r="D102" s="327"/>
      <c r="E102" s="327"/>
      <c r="F102" s="327"/>
    </row>
    <row r="103" spans="1:6">
      <c r="A103" s="1293" t="s">
        <v>76</v>
      </c>
      <c r="B103" s="1294">
        <v>329</v>
      </c>
      <c r="C103" s="327"/>
      <c r="D103" s="327"/>
      <c r="E103" s="327"/>
      <c r="F103" s="327"/>
    </row>
    <row r="104" spans="1:6">
      <c r="A104" s="1293" t="s">
        <v>77</v>
      </c>
      <c r="B104" s="1294">
        <v>4635</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53</v>
      </c>
      <c r="C129" s="327"/>
      <c r="D129" s="327"/>
      <c r="E129" s="327"/>
      <c r="F129" s="327"/>
    </row>
    <row r="130" spans="1:6">
      <c r="A130" s="1293" t="s">
        <v>284</v>
      </c>
      <c r="B130" s="1294">
        <v>0</v>
      </c>
      <c r="C130" s="327"/>
      <c r="D130" s="327"/>
      <c r="E130" s="327"/>
      <c r="F130" s="327"/>
    </row>
    <row r="131" spans="1:6">
      <c r="A131" s="1293" t="s">
        <v>285</v>
      </c>
      <c r="B131" s="1294">
        <v>7</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245907.99305955056</v>
      </c>
      <c r="C3" s="44" t="s">
        <v>163</v>
      </c>
      <c r="D3" s="44"/>
      <c r="E3" s="157"/>
      <c r="F3" s="44"/>
      <c r="G3" s="44"/>
      <c r="H3" s="44"/>
      <c r="I3" s="44"/>
      <c r="J3" s="44"/>
      <c r="K3" s="97"/>
    </row>
    <row r="4" spans="1:11">
      <c r="A4" s="352" t="s">
        <v>164</v>
      </c>
      <c r="B4" s="50">
        <f>IF(ISERROR('SEAP template'!B78+'SEAP template'!C78),0,'SEAP template'!B78+'SEAP template'!C78)</f>
        <v>8004.2293148420149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0.21380651817547178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2592.355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0.21380651817547178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554.26239642477515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B32*B41</f>
        <v>2427.5101292590643</v>
      </c>
      <c r="F5" s="18">
        <f>B36*B45</f>
        <v>74007.736060996496</v>
      </c>
      <c r="G5" s="19"/>
      <c r="H5" s="18"/>
      <c r="I5" s="18"/>
      <c r="J5" s="18">
        <f>B35*B44+C35*C44</f>
        <v>1342.8445831394704</v>
      </c>
      <c r="K5" s="18"/>
      <c r="L5" s="18"/>
      <c r="M5" s="18"/>
      <c r="N5" s="18">
        <f>B34*B43+C34*C43</f>
        <v>20484.333875220909</v>
      </c>
      <c r="O5" s="18">
        <f>B52*B53*B54</f>
        <v>96.926666666666677</v>
      </c>
      <c r="P5" s="18">
        <f>B60*B61*B62/1000-B60*B61*B62/1000/B63</f>
        <v>247.86666666666667</v>
      </c>
    </row>
    <row r="6" spans="1:16">
      <c r="A6" s="17" t="s">
        <v>622</v>
      </c>
      <c r="B6" s="766">
        <f>kWh_PV_kleiner_dan_10kW</f>
        <v>3664.2876991907578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56221.881761532961</v>
      </c>
      <c r="C8" s="22">
        <f>C5</f>
        <v>0</v>
      </c>
      <c r="D8" s="22">
        <f>D5</f>
        <v>172827.97515479467</v>
      </c>
      <c r="E8" s="22">
        <f>E5</f>
        <v>2427.5101292590643</v>
      </c>
      <c r="F8" s="22">
        <f>F5</f>
        <v>74007.736060996496</v>
      </c>
      <c r="G8" s="22"/>
      <c r="H8" s="22"/>
      <c r="I8" s="22"/>
      <c r="J8" s="22">
        <f>J5</f>
        <v>1342.8445831394704</v>
      </c>
      <c r="K8" s="22"/>
      <c r="L8" s="22">
        <f>L5</f>
        <v>0</v>
      </c>
      <c r="M8" s="22">
        <f>M5</f>
        <v>0</v>
      </c>
      <c r="N8" s="22">
        <f>N5</f>
        <v>20484.333875220909</v>
      </c>
      <c r="O8" s="22">
        <f>O5</f>
        <v>96.926666666666677</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0.21380651817547178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12020.604784706422</v>
      </c>
      <c r="C12" s="24">
        <f ca="1">C10*C8</f>
        <v>0</v>
      </c>
      <c r="D12" s="24">
        <f>D8*D10</f>
        <v>34911.250981268524</v>
      </c>
      <c r="E12" s="24">
        <f>E10*E8</f>
        <v>551.04479934180767</v>
      </c>
      <c r="F12" s="24">
        <f>F10*F8</f>
        <v>19760.065528286064</v>
      </c>
      <c r="G12" s="24"/>
      <c r="H12" s="24"/>
      <c r="I12" s="24"/>
      <c r="J12" s="24">
        <f>J10*J8</f>
        <v>475.36698243137249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14659</v>
      </c>
      <c r="C26" s="37"/>
      <c r="D26" s="228"/>
    </row>
    <row r="27" spans="1:5" s="16" customFormat="1">
      <c r="A27" s="230" t="s">
        <v>648</v>
      </c>
      <c r="B27" s="38">
        <f>SUM(HH_hh_gas_aantal,HH_rest_gas_aantal)</f>
        <v>10504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9978.7999999999993</v>
      </c>
      <c r="C31" s="35" t="s">
        <v>104</v>
      </c>
      <c r="D31" s="174"/>
    </row>
    <row r="32" spans="1:5">
      <c r="A32" s="171" t="s">
        <v>72</v>
      </c>
      <c r="B32" s="34">
        <f>IF((B21*($B$26-($B$27-0.05*$B$27)-$B$60))&lt;0,0,B21*($B$26-($B$27-0.05*$B$27)-$B$60))</f>
        <v>114.69798282869066</v>
      </c>
      <c r="C32" s="35" t="s">
        <v>104</v>
      </c>
      <c r="D32" s="174"/>
    </row>
    <row r="33" spans="1:6">
      <c r="A33" s="171" t="s">
        <v>73</v>
      </c>
      <c r="B33" s="34">
        <f>IF((B22*($B$26-($B$27-0.05*$B$27)-$B$60))&lt;0,0,B22*($B$26-($B$27-0.05*$B$27)-$B$60))</f>
        <v>772.05194676262806</v>
      </c>
      <c r="C33" s="35" t="s">
        <v>104</v>
      </c>
      <c r="D33" s="174"/>
    </row>
    <row r="34" spans="1:6">
      <c r="A34" s="171" t="s">
        <v>74</v>
      </c>
      <c r="B34" s="34">
        <f>IF((B24*($B$26-($B$27-0.05*$B$27)-$B$60))&lt;0,0,B24*($B$26-($B$27-0.05*$B$27)-$B$60))</f>
        <v>195.80864707950289</v>
      </c>
      <c r="C34" s="34">
        <f>B26*C24</f>
        <v>2997.7996213009301</v>
      </c>
      <c r="D34" s="233"/>
    </row>
    <row r="35" spans="1:6">
      <c r="A35" s="171" t="s">
        <v>76</v>
      </c>
      <c r="B35" s="34">
        <f>IF((B19*($B$26-($B$27-0.05*$B$27)-$B$60))&lt;0,0,B19*($B$26-($B$27-0.05*$B$27)-$B$60))</f>
        <v>72.795458443435464</v>
      </c>
      <c r="C35" s="34">
        <f>B35/2</f>
        <v>36.397729221717732</v>
      </c>
      <c r="D35" s="233"/>
    </row>
    <row r="36" spans="1:6">
      <c r="A36" s="171" t="s">
        <v>77</v>
      </c>
      <c r="B36" s="34">
        <f>IF((B18*($B$26-($B$27-0.05*$B$27)-$B$60))&lt;0,0,B18*($B$26-($B$27-0.05*$B$27)-$B$60))</f>
        <v>3511.8459648857424</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133.46666666666667</v>
      </c>
      <c r="R5" s="33"/>
    </row>
    <row r="6" spans="1:18">
      <c r="A6" s="33" t="s">
        <v>53</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52</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51</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50</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49</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54</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249</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133.46666666666667</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0.21380651817547178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11139.211581754571</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15190.211948570199</v>
      </c>
      <c r="C26" s="40">
        <f>IF(ISERROR(B26*3.6/1000000/'E Balans VL '!Z12*100),0,B26*3.6/1000000/'E Balans VL '!Z12*100)</f>
        <v>0.32278111053456804</v>
      </c>
      <c r="D26" s="236" t="s">
        <v>685</v>
      </c>
      <c r="F26" s="6"/>
    </row>
    <row r="27" spans="1:18">
      <c r="A27" s="231" t="s">
        <v>52</v>
      </c>
      <c r="B27" s="34">
        <f>IF(ISERROR(TER_horeca_ele_kWh/1000),0,TER_horeca_ele_kWh/1000)</f>
        <v>4150.3447297582898</v>
      </c>
      <c r="C27" s="40">
        <f>IF(ISERROR(B27*3.6/1000000/'E Balans VL '!Z9*100),0,B27*3.6/1000000/'E Balans VL '!Z9*100)</f>
        <v>0.3266642247085898</v>
      </c>
      <c r="D27" s="236" t="s">
        <v>685</v>
      </c>
      <c r="F27" s="6"/>
    </row>
    <row r="28" spans="1:18">
      <c r="A28" s="171" t="s">
        <v>51</v>
      </c>
      <c r="B28" s="34">
        <f>IF(ISERROR(TER_handel_ele_kWh/1000),0,TER_handel_ele_kWh/1000)</f>
        <v>16438.6577881212</v>
      </c>
      <c r="C28" s="40">
        <f>IF(ISERROR(B28*3.6/1000000/'E Balans VL '!Z13*100),0,B28*3.6/1000000/'E Balans VL '!Z13*100)</f>
        <v>0.46045560226759541</v>
      </c>
      <c r="D28" s="236" t="s">
        <v>685</v>
      </c>
      <c r="F28" s="6"/>
    </row>
    <row r="29" spans="1:18">
      <c r="A29" s="231" t="s">
        <v>50</v>
      </c>
      <c r="B29" s="34">
        <f>IF(ISERROR(TER_gezond_ele_kWh/1000),0,TER_gezond_ele_kWh/1000)</f>
        <v>8232.163452215811</v>
      </c>
      <c r="C29" s="40">
        <f>IF(ISERROR(B29*3.6/1000000/'E Balans VL '!Z10*100),0,B29*3.6/1000000/'E Balans VL '!Z10*100)</f>
        <v>1.0531426361356688</v>
      </c>
      <c r="D29" s="236" t="s">
        <v>685</v>
      </c>
      <c r="F29" s="6"/>
    </row>
    <row r="30" spans="1:18">
      <c r="A30" s="231" t="s">
        <v>49</v>
      </c>
      <c r="B30" s="34">
        <f>IF(ISERROR(TER_ander_ele_kWh/1000),0,TER_ander_ele_kWh/1000)</f>
        <v>3932.6156617595302</v>
      </c>
      <c r="C30" s="40">
        <f>IF(ISERROR(B30*3.6/1000000/'E Balans VL '!Z14*100),0,B30*3.6/1000000/'E Balans VL '!Z14*100)</f>
        <v>0.29412651470118345</v>
      </c>
      <c r="D30" s="236" t="s">
        <v>685</v>
      </c>
      <c r="F30" s="6"/>
    </row>
    <row r="31" spans="1:18">
      <c r="A31" s="231" t="s">
        <v>54</v>
      </c>
      <c r="B31" s="34">
        <f>IF(ISERROR(TER_onderwijs_ele_kWh/1000),0,TER_onderwijs_ele_kWh/1000)</f>
        <v>697.35011125548999</v>
      </c>
      <c r="C31" s="40">
        <f>IF(ISERROR(B31*3.6/1000000/'E Balans VL '!Z11*100),0,B31*3.6/1000000/'E Balans VL '!Z11*100)</f>
        <v>0.14724637929087983</v>
      </c>
      <c r="D31" s="236" t="s">
        <v>685</v>
      </c>
    </row>
    <row r="32" spans="1:18">
      <c r="A32" s="231" t="s">
        <v>249</v>
      </c>
      <c r="B32" s="34">
        <f>IF(ISERROR(TER_rest_ele_kWh/1000),0,TER_rest_ele_kWh/1000)</f>
        <v>3458.1511076902798</v>
      </c>
      <c r="C32" s="40">
        <f>IF(ISERROR(B32*3.6/1000000/'E Balans VL '!Z8*100),0,B32*3.6/1000000/'E Balans VL '!Z8*100)</f>
        <v>2.8488013897177457E-2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7</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35</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32</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40</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33</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0.21380651817547178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25693.6492000055</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19183.188520393698</v>
      </c>
      <c r="C29" s="40">
        <f>IF(ISERROR(B29*3.6/1000000/'E Balans VL '!Z17*100),0,B29*3.6/1000000/'E Balans VL '!Z17*100)</f>
        <v>20.054628509972332</v>
      </c>
      <c r="D29" s="236" t="s">
        <v>685</v>
      </c>
    </row>
    <row r="30" spans="1:18">
      <c r="A30" s="171" t="s">
        <v>35</v>
      </c>
      <c r="B30" s="38">
        <f>IF( ISERROR(IND_metaal_ele_kWh/1000),0,IND_metaal_ele_kWh/1000)</f>
        <v>7751.7971959604001</v>
      </c>
      <c r="C30" s="40">
        <f>IF(ISERROR(B30*3.6/1000000/'E Balans VL '!Z18*100),0,B30*3.6/1000000/'E Balans VL '!Z18*100)</f>
        <v>0.43133567813208473</v>
      </c>
      <c r="D30" s="236" t="s">
        <v>685</v>
      </c>
    </row>
    <row r="31" spans="1:18">
      <c r="A31" s="6" t="s">
        <v>32</v>
      </c>
      <c r="B31" s="38">
        <f>IF( ISERROR(IND_ander_ele_kWh/1000),0,IND_ander_ele_kWh/1000)</f>
        <v>9512.3567058844092</v>
      </c>
      <c r="C31" s="40">
        <f>IF(ISERROR(B31*3.6/1000000/'E Balans VL '!Z19*100),0,B31*3.6/1000000/'E Balans VL '!Z19*100)</f>
        <v>0.44220448092831038</v>
      </c>
      <c r="D31" s="236" t="s">
        <v>685</v>
      </c>
    </row>
    <row r="32" spans="1:18">
      <c r="A32" s="171" t="s">
        <v>40</v>
      </c>
      <c r="B32" s="38">
        <f>IF( ISERROR(IND_voed_ele_kWh/1000),0,IND_voed_ele_kWh/1000)</f>
        <v>9873.0786529451707</v>
      </c>
      <c r="C32" s="40">
        <f>IF(ISERROR(B32*3.6/1000000/'E Balans VL '!Z20*100),0,B32*3.6/1000000/'E Balans VL '!Z20*100)</f>
        <v>0.3489933908548245</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15.031905510097801</v>
      </c>
      <c r="C35" s="40">
        <f>IF(ISERROR(B35*3.6/1000000/'E Balans VL '!Z22*100),0,B35*3.6/1000000/'E Balans VL '!Z22*100)</f>
        <v>3.0209891221148607E-3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73836.978707841699</v>
      </c>
      <c r="C37" s="40">
        <f>IF(ISERROR(B37*3.6/1000000/'E Balans VL '!Z15*100),0,B37*3.6/1000000/'E Balans VL '!Z15*100)</f>
        <v>0.55757826295533408</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12427.084818252655</v>
      </c>
      <c r="C5" s="18">
        <f>'Eigen informatie GS &amp; warmtenet'!B60</f>
        <v>0</v>
      </c>
      <c r="D5" s="31">
        <f>IF(ISERROR(SUM(LB_lb_gas_kWh,LB_rest_gas_kWh)/1000),0,SUM(LB_lb_gas_kWh,LB_rest_gas_kWh)/1000)*0.902</f>
        <v>12794.445745094876</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12427.084818252655</v>
      </c>
      <c r="C8" s="22">
        <f>C5+C6</f>
        <v>0</v>
      </c>
      <c r="D8" s="22">
        <f>MAX((D5+D6),0)</f>
        <v>12794.445745094876</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0.21380651817547178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2656.9917360618656</v>
      </c>
      <c r="C12" s="24">
        <f ca="1">C8*C10</f>
        <v>0</v>
      </c>
      <c r="D12" s="24">
        <f>D8*D10</f>
        <v>2584.4780405091651</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1.6824287059239655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295.43056227052546</v>
      </c>
      <c r="C26" s="246">
        <f>B26*'GWP N2O_CH4'!B5</f>
        <v>6204.0418076810347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77.057866664731606</v>
      </c>
      <c r="C27" s="246">
        <f>B27*'GWP N2O_CH4'!B5</f>
        <v>1618.2151999593636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46">
        <f>B28*'GWP N2O_CH4'!B4</f>
        <v>1491.3477798669728</v>
      </c>
      <c r="D28" s="51"/>
    </row>
    <row r="29" spans="1:4">
      <c r="A29" s="42" t="s">
        <v>266</v>
      </c>
      <c r="B29" s="246">
        <f>B34*'ha_N2O bodem landbouw'!B4</f>
        <v>25.712630950002858</v>
      </c>
      <c r="C29" s="246">
        <f>B29*'GWP N2O_CH4'!B4</f>
        <v>7970.9155945008861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6.9416009160173497E-3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3.3843022775896987E-5</v>
      </c>
      <c r="C5" s="433" t="s">
        <v>204</v>
      </c>
      <c r="D5" s="418">
        <f>SUM(D6:D11)</f>
        <v>4.2496075254932082E-5</v>
      </c>
      <c r="E5" s="418">
        <f>SUM(E6:E11)</f>
        <v>2.8318718793184068E-3</v>
      </c>
      <c r="F5" s="431" t="s">
        <v>204</v>
      </c>
      <c r="G5" s="418">
        <f>SUM(G6:G11)</f>
        <v>0.64792993139699351</v>
      </c>
      <c r="H5" s="418">
        <f>SUM(H6:H11)</f>
        <v>0.10323905044266839</v>
      </c>
      <c r="I5" s="433" t="s">
        <v>204</v>
      </c>
      <c r="J5" s="433" t="s">
        <v>204</v>
      </c>
      <c r="K5" s="433" t="s">
        <v>204</v>
      </c>
      <c r="L5" s="433" t="s">
        <v>204</v>
      </c>
      <c r="M5" s="418">
        <f>SUM(M6:M11)</f>
        <v>3.3558972516884854E-2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1.8616551121750351E-5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2.1682352172039279E-5</v>
      </c>
      <c r="E6" s="421">
        <f>vkm_GW_PW*SUMIFS(TableVerdeelsleutelVkm[LPG],TableVerdeelsleutelVkm[Voertuigtype],"Lichte voertuigen")*SUMIFS(TableECFTransport[EnergieConsumptieFactor (PJ per km)],TableECFTransport[Index],CONCATENATE($A6,"_LPG_LPG"))</f>
        <v>1.4066952916441989E-3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0.21947091272994565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5.2892455243989001E-2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1.2188278454405311E-2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8.8161599390499568E-7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0.14583874164227187</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3.9133731253495624E-6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6.4893482502739941E-3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6.747022123675772E-6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1.2833997007480513E-5</v>
      </c>
      <c r="E8" s="421">
        <f>vkm_NGW_PW*SUMIFS(TableVerdeelsleutelVkm[LPG],TableVerdeelsleutelVkm[Voertuigtype],"Lichte voertuigen")*SUMIFS(TableECFTransport[EnergieConsumptieFactor (PJ per km)],TableECFTransport[Index],CONCATENATE($A8,"_LPG_LPG"))</f>
        <v>7.8889245897875552E-4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0.11587075844113072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2.9843640201491887E-2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6.5227555703968087E-3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9.2583847712746109E-8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1.9639647949496287E-2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4.9604773374452781E-7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8.7389884771863727E-4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7.1544591709959394E-6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7.9797260754122889E-6</v>
      </c>
      <c r="E10" s="421">
        <f>vkm_SW_PW*SUMIFS(TableVerdeelsleutelVkm[LPG],TableVerdeelsleutelVkm[Voertuigtype],"Lichte voertuigen")*SUMIFS(TableECFTransport[EnergieConsumptieFactor (PJ per km)],TableECFTransport[Index],CONCATENATE($A10,"_LPG_LPG"))</f>
        <v>6.3628412869545228E-4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9.2753651717960281E-2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2.049694288427811E-2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5.0660103706541906E-3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3.5079051785718353E-7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5.4356218916188775E-2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1.6026920502856643E-6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2.4186810234359179E-3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9.4008396599713855</v>
      </c>
      <c r="C14" s="22"/>
      <c r="D14" s="22">
        <f t="shared" ref="D14:M14" si="0">((D5)*10^9/3600)+D12</f>
        <v>11.804465348592245</v>
      </c>
      <c r="E14" s="22">
        <f t="shared" si="0"/>
        <v>786.63107758844637</v>
      </c>
      <c r="F14" s="22"/>
      <c r="G14" s="22">
        <f t="shared" si="0"/>
        <v>179980.53649916485</v>
      </c>
      <c r="H14" s="22">
        <f t="shared" si="0"/>
        <v>28677.51401185233</v>
      </c>
      <c r="I14" s="22"/>
      <c r="J14" s="22"/>
      <c r="K14" s="22"/>
      <c r="L14" s="22"/>
      <c r="M14" s="22">
        <f t="shared" si="0"/>
        <v>9321.9368102457938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0.21380651817547178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2.0099607956243681</v>
      </c>
      <c r="C18" s="24"/>
      <c r="D18" s="24">
        <f t="shared" ref="D18:M18" si="1">D14*D16</f>
        <v>2.3845020004156336</v>
      </c>
      <c r="E18" s="24">
        <f t="shared" si="1"/>
        <v>178.56525461257732</v>
      </c>
      <c r="F18" s="24"/>
      <c r="G18" s="24">
        <f t="shared" si="1"/>
        <v>48054.80324527702</v>
      </c>
      <c r="H18" s="24">
        <f t="shared" si="1"/>
        <v>7140.7009889512301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6.3991809449759734E-5</v>
      </c>
      <c r="C50" s="316">
        <f t="shared" ref="C50:P50" si="2">SUM(C51:C52)</f>
        <v>0</v>
      </c>
      <c r="D50" s="316">
        <f t="shared" si="2"/>
        <v>0</v>
      </c>
      <c r="E50" s="316">
        <f t="shared" si="2"/>
        <v>0</v>
      </c>
      <c r="F50" s="316">
        <f t="shared" si="2"/>
        <v>0</v>
      </c>
      <c r="G50" s="316">
        <f t="shared" si="2"/>
        <v>1.2763292558788641E-2</v>
      </c>
      <c r="H50" s="316">
        <f t="shared" si="2"/>
        <v>0</v>
      </c>
      <c r="I50" s="316">
        <f t="shared" si="2"/>
        <v>0</v>
      </c>
      <c r="J50" s="316">
        <f t="shared" si="2"/>
        <v>0</v>
      </c>
      <c r="K50" s="316">
        <f t="shared" si="2"/>
        <v>0</v>
      </c>
      <c r="L50" s="316">
        <f t="shared" si="2"/>
        <v>0</v>
      </c>
      <c r="M50" s="316">
        <f t="shared" si="2"/>
        <v>5.6412393742882123E-4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6.3991809449759734E-5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1.2763292558788641E-2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5.6412393742882123E-4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17.77550262493326</v>
      </c>
      <c r="C54" s="22">
        <f t="shared" ref="C54:P54" si="3">(C50)*10^9/3600</f>
        <v>0</v>
      </c>
      <c r="D54" s="22">
        <f t="shared" si="3"/>
        <v>0</v>
      </c>
      <c r="E54" s="22">
        <f t="shared" si="3"/>
        <v>0</v>
      </c>
      <c r="F54" s="22">
        <f t="shared" si="3"/>
        <v>0</v>
      </c>
      <c r="G54" s="22">
        <f t="shared" si="3"/>
        <v>3545.3590441079555</v>
      </c>
      <c r="H54" s="22">
        <f t="shared" si="3"/>
        <v>0</v>
      </c>
      <c r="I54" s="22">
        <f t="shared" si="3"/>
        <v>0</v>
      </c>
      <c r="J54" s="22">
        <f t="shared" si="3"/>
        <v>0</v>
      </c>
      <c r="K54" s="22">
        <f t="shared" si="3"/>
        <v>0</v>
      </c>
      <c r="L54" s="22">
        <f t="shared" si="3"/>
        <v>0</v>
      </c>
      <c r="M54" s="22">
        <f t="shared" si="3"/>
        <v>156.70109373022811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0.21380651817547178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3.8005183250559393</v>
      </c>
      <c r="C58" s="24">
        <f t="shared" ref="C58:P58" ca="1" si="4">C54*C56</f>
        <v>0</v>
      </c>
      <c r="D58" s="24">
        <f t="shared" si="4"/>
        <v>0</v>
      </c>
      <c r="E58" s="24">
        <f t="shared" si="4"/>
        <v>0</v>
      </c>
      <c r="F58" s="24">
        <f t="shared" si="4"/>
        <v>0</v>
      </c>
      <c r="G58" s="24">
        <f t="shared" si="4"/>
        <v>946.6108647768242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8004.2293148420149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8004.2293148420149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2021-11-11T13:33:07Z</dcterms:modified>
</cp:coreProperties>
</file>