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90793B7-00BC-4BE5-B473-1E21F12BA55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<sst xmlns="http://schemas.openxmlformats.org/spreadsheetml/2006/main" count="2553" uniqueCount="959">
  <si>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</si>
  <si>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</si>
  <si>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</si>
  <si>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</si>
  <si>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</si>
  <si>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</si>
  <si>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</si>
  <si>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</si>
  <si>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</si>
  <si>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</si>
  <si>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</si>
  <si>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</si>
  <si>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</si>
  <si>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</si>
  <si>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</si>
  <si>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</si>
  <si>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</si>
  <si>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</si>
  <si>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</si>
  <si>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</si>
  <si>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</si>
  <si>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</si>
  <si>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</si>
  <si>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</si>
  <si>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</si>
  <si>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</si>
  <si>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</si>
  <si>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</si>
  <si>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</si>
  <si>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</si>
  <si>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</si>
  <si>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</si>
  <si>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</si>
  <si>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</si>
  <si>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</si>
  <si>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</si>
  <si>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</si>
  <si>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</si>
  <si>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</si>
  <si>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</si>
  <si>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</si>
  <si>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</si>
  <si>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</si>
  <si>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</si>
  <si>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</si>
  <si>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</si>
  <si>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</si>
  <si>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</si>
  <si>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</si>
  <si>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</si>
  <si>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</si>
  <si>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</si>
  <si>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</si>
  <si>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</si>
  <si>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</si>
  <si>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</si>
  <si>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</si>
  <si>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</si>
  <si>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</si>
  <si>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</si>
  <si>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</si>
  <si>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</si>
  <si>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</si>
  <si>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</si>
  <si>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</si>
  <si>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</si>
  <si>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</si>
  <si>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</si>
  <si>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</si>
  <si>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</si>
  <si>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</si>
  <si>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</si>
  <si>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</si>
  <si>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</si>
  <si>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</si>
  <si>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</si>
  <si>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</si>
  <si>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</si>
  <si>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</si>
  <si>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</si>
  <si>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</si>
  <si>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</si>
  <si>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</si>
  <si>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</si>
  <si>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</si>
  <si>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</si>
  <si>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</si>
  <si>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</si>
  <si>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</si>
  <si>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</si>
  <si>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</si>
  <si>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</si>
  <si>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</si>
  <si>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</si>
  <si>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</si>
  <si>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</si>
  <si>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</si>
  <si>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</si>
  <si>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</si>
  <si>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</si>
  <si>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</si>
  <si>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</si>
  <si>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</si>
  <si>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</si>
  <si>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</si>
  <si>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</si>
  <si>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</si>
  <si>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</si>
  <si>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</si>
  <si>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</si>
  <si>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</si>
  <si>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</si>
  <si>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</si>
  <si>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</si>
  <si>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</si>
  <si>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</si>
  <si>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</si>
  <si>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</si>
  <si>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</si>
  <si>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</si>
  <si>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</si>
  <si>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</si>
  <si>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</si>
  <si>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</si>
  <si>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</si>
  <si>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</si>
  <si>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</si>
  <si>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</si>
  <si>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</si>
  <si>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</si>
  <si>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</si>
  <si>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</si>
  <si>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</si>
  <si>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</si>
  <si>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</si>
  <si>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</si>
  <si>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</si>
  <si>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</si>
  <si>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</si>
  <si>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</si>
  <si>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</si>
  <si>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</si>
  <si>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</si>
  <si>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</si>
  <si>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</si>
  <si>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</si>
  <si>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</si>
  <si>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</si>
  <si>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</si>
  <si>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</si>
  <si>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</si>
  <si>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</si>
  <si>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</si>
  <si>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</si>
  <si>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</si>
  <si>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</si>
  <si>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</si>
  <si>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</si>
  <si>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</si>
  <si>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</si>
  <si>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</si>
  <si>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</si>
  <si>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</si>
  <si>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</si>
  <si>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</si>
  <si>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</si>
  <si>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</si>
  <si>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</si>
  <si>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</si>
  <si>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</si>
  <si>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</si>
  <si>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</si>
  <si>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</si>
  <si>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</si>
  <si>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</si>
  <si>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</si>
  <si>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</si>
  <si>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</si>
  <si>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</si>
  <si>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</si>
  <si>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</si>
  <si>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</si>
  <si>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</si>
  <si>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</si>
  <si>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</si>
  <si>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</si>
  <si>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</si>
  <si>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</si>
  <si>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</si>
  <si>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</si>
  <si>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</si>
  <si>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</si>
  <si>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</si>
  <si>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</si>
  <si>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</si>
  <si>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</si>
  <si>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</si>
  <si>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</si>
  <si>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</si>
  <si>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</si>
  <si>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</si>
  <si>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</si>
  <si>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</si>
  <si>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</si>
  <si>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</si>
  <si>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</si>
  <si>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</si>
  <si>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</si>
  <si>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</si>
  <si>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</si>
  <si>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</si>
  <si>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</si>
  <si>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</si>
  <si>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</si>
  <si>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</si>
  <si>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</si>
  <si>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</si>
  <si>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</si>
  <si>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</si>
  <si>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</si>
  <si>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</si>
  <si>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</si>
  <si>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</si>
  <si>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</si>
  <si>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</si>
  <si>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</si>
  <si>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</si>
  <si>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</si>
  <si>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</si>
  <si>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</si>
  <si>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</si>
  <si>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</si>
  <si>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</si>
  <si>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</si>
  <si>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</si>
  <si>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</si>
  <si>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</si>
  <si>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</si>
  <si>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</si>
  <si>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</si>
  <si>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</si>
  <si>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</si>
  <si>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</si>
  <si>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</si>
  <si>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</si>
  <si>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</si>
  <si>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</si>
  <si>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</si>
  <si>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</si>
  <si>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</si>
  <si>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</si>
  <si>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</si>
  <si>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</si>
  <si>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</si>
  <si>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</si>
  <si>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</si>
  <si>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</si>
  <si>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</si>
  <si>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</si>
  <si>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</si>
  <si>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</si>
  <si>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</si>
  <si>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</si>
  <si>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</si>
  <si>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</si>
  <si>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</si>
  <si>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</si>
  <si>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</si>
  <si>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</si>
  <si>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</si>
  <si>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</si>
  <si>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</si>
  <si>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</si>
  <si>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</si>
  <si>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</si>
  <si>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</si>
  <si>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</si>
  <si>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</si>
  <si>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</si>
  <si>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</si>
  <si>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</si>
  <si>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</si>
  <si>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</si>
  <si>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</si>
  <si>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</si>
  <si>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</si>
  <si>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</si>
  <si>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</si>
  <si>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</si>
  <si>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</si>
  <si>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</si>
  <si>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</si>
  <si>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</si>
  <si>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</si>
  <si>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</si>
  <si>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</si>
  <si>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</si>
  <si>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</si>
  <si>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</si>
  <si>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</si>
  <si>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</si>
  <si>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</si>
  <si>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</si>
  <si>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</si>
  <si>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</si>
  <si>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</si>
  <si>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</si>
  <si>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</si>
  <si>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</si>
  <si>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</si>
  <si>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</si>
  <si>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</si>
  <si>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</si>
  <si>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</si>
  <si>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</si>
  <si>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</si>
  <si>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</si>
  <si>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</si>
  <si>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</si>
  <si>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</si>
  <si>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</si>
  <si>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</si>
  <si>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</si>
  <si>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</si>
  <si>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</si>
  <si>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</si>
  <si>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</si>
  <si>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</si>
  <si>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</si>
  <si>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</si>
  <si>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</si>
  <si>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</si>
  <si>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</si>
  <si>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</si>
  <si>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</si>
  <si>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</si>
  <si>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</si>
  <si>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</si>
  <si>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</si>
  <si>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</si>
  <si>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</si>
  <si>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</si>
  <si>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</si>
  <si>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</si>
  <si>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</si>
  <si>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</si>
  <si>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</si>
  <si>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</si>
  <si>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</si>
  <si>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</si>
  <si>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</si>
  <si>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</si>
  <si>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</si>
  <si>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</si>
  <si>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</si>
  <si>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</si>
  <si>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</si>
  <si>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</si>
  <si>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</si>
  <si>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</si>
  <si>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</si>
  <si>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</si>
  <si>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</si>
  <si>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</si>
  <si>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</si>
  <si>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</si>
  <si>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</si>
  <si>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</si>
  <si>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</si>
  <si>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</si>
  <si>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</si>
  <si>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</si>
  <si>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</si>
  <si>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</si>
  <si>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</si>
  <si>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</si>
  <si>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</si>
  <si>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</si>
  <si>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</si>
  <si>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</si>
  <si>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</si>
  <si>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</si>
  <si>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</si>
  <si>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</si>
  <si>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</si>
  <si>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</si>
  <si>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</si>
  <si>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</si>
  <si>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</si>
  <si>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</si>
  <si>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</si>
  <si>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</si>
  <si>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</si>
  <si>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</si>
  <si>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</si>
  <si>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</si>
  <si>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</si>
  <si>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</si>
  <si>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</si>
  <si>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</si>
  <si>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</si>
  <si>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</si>
  <si>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</si>
  <si>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</si>
  <si>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</si>
  <si>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</si>
  <si>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</si>
  <si>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</si>
  <si>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</si>
  <si>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</si>
  <si>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</si>
  <si>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</si>
  <si>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</si>
  <si>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</si>
  <si>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</si>
  <si>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</si>
  <si>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</si>
  <si>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</si>
  <si>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</si>
  <si>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</si>
  <si>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</si>
  <si>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</si>
  <si>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</si>
  <si>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</si>
  <si>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</si>
  <si>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</si>
  <si>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</si>
  <si>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</si>
  <si>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</si>
  <si>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</si>
  <si>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</si>
  <si>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</si>
  <si>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</si>
  <si>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</si>
  <si>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</si>
  <si>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</si>
  <si>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</si>
  <si>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</si>
  <si>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</si>
  <si>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</si>
  <si>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</si>
  <si>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</si>
  <si>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</si>
  <si>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</si>
  <si>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</si>
  <si>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</si>
  <si>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</si>
  <si>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</si>
  <si>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</si>
  <si>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</si>
  <si>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</si>
  <si>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</si>
  <si>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</si>
  <si>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</si>
  <si>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</si>
  <si>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</si>
  <si>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</si>
  <si>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</si>
  <si>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</si>
  <si>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</si>
  <si>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</si>
  <si>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</si>
  <si>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</si>
  <si>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</si>
  <si>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</si>
  <si>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</si>
  <si>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</si>
  <si>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</si>
  <si>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</si>
  <si>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</si>
  <si>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</si>
  <si>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</si>
  <si>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</si>
  <si>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</si>
  <si>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</si>
  <si>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</si>
  <si>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</si>
  <si>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</si>
  <si>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</si>
  <si>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</si>
  <si>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</si>
  <si>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</si>
  <si>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</si>
  <si>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</si>
  <si>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</si>
  <si>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</si>
  <si>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</si>
  <si>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</si>
  <si>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</si>
  <si>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</si>
  <si>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</si>
  <si>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</si>
  <si>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</si>
  <si>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</si>
  <si>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</si>
  <si>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</si>
  <si>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</si>
  <si>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</si>
  <si>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</si>
  <si>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</si>
  <si>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</si>
  <si>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</si>
  <si>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</si>
  <si>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</si>
  <si>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</si>
  <si>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</si>
  <si>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</si>
  <si>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</si>
  <si>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</si>
  <si>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</si>
  <si>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</si>
  <si>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</si>
  <si>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</si>
  <si>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</si>
  <si>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</si>
  <si>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</si>
  <si>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</si>
  <si>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</si>
  <si>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</si>
  <si>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</si>
  <si>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</si>
  <si>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</si>
  <si>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</si>
  <si>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</si>
  <si>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</si>
  <si>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</si>
  <si>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</si>
  <si>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</si>
  <si>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</si>
  <si>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</si>
  <si>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</si>
  <si>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</si>
  <si>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</si>
  <si>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</si>
  <si>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</si>
  <si>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</si>
  <si>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</si>
  <si>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</si>
  <si>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</si>
  <si>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</si>
  <si>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</si>
  <si>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</si>
  <si>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</si>
  <si>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</si>
  <si>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</si>
  <si>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</si>
  <si>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</si>
  <si>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</si>
  <si>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</si>
  <si>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</si>
  <si>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</si>
  <si>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</si>
  <si>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</si>
  <si>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</si>
  <si>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</si>
  <si>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</si>
  <si>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</si>
  <si>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</si>
  <si>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</si>
  <si>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</si>
  <si>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</si>
  <si>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</si>
  <si>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</si>
  <si>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</si>
  <si>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</si>
  <si>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</si>
  <si>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</si>
  <si>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</si>
  <si>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</si>
  <si>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</si>
  <si>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</si>
  <si>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</si>
  <si>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</si>
  <si>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</si>
  <si>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</si>
  <si>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</si>
  <si>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</si>
  <si>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</si>
  <si>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</si>
  <si>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</si>
  <si>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</si>
  <si>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</si>
  <si>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</si>
  <si>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</si>
  <si>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</si>
  <si>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</si>
  <si>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</si>
  <si>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</si>
  <si>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</si>
  <si>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</si>
  <si>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</si>
  <si>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</si>
  <si>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</si>
  <si>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</si>
  <si>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</si>
  <si>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</si>
  <si>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</si>
  <si>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</si>
  <si>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</si>
  <si>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</si>
  <si>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</si>
  <si>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</si>
  <si>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</si>
  <si>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</si>
  <si>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</si>
  <si>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</si>
  <si>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</si>
  <si>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</si>
  <si>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</si>
  <si>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</si>
  <si>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</si>
  <si>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</si>
  <si>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</si>
  <si>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</si>
  <si>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</si>
  <si>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</si>
  <si>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</si>
  <si>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</si>
  <si>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</si>
  <si>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</si>
  <si>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</si>
  <si>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</si>
  <si>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</si>
  <si>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</si>
  <si>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</si>
  <si>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</si>
  <si>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</si>
  <si>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</si>
  <si>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</si>
  <si>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</si>
  <si>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</si>
  <si>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</si>
  <si>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</si>
  <si>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</si>
  <si>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</si>
  <si>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</si>
  <si>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</si>
  <si>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</si>
  <si>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</si>
  <si>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</si>
  <si>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</si>
  <si>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</si>
  <si>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</si>
  <si>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</si>
  <si>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</si>
  <si>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</si>
  <si>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</si>
  <si>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</si>
  <si>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</si>
  <si>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</si>
  <si>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</si>
  <si>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</si>
  <si>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</si>
  <si>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</si>
  <si>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</si>
  <si>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</si>
  <si>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</si>
  <si>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</si>
  <si>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</si>
  <si>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</si>
  <si>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</si>
  <si>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</si>
  <si>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</si>
  <si>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</si>
  <si>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</si>
  <si>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</si>
  <si>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</si>
  <si>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</si>
  <si>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</si>
  <si>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</si>
  <si>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</si>
  <si>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</si>
  <si>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</si>
  <si>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</si>
  <si>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</si>
  <si>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</si>
  <si>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</si>
  <si>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</si>
  <si>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</si>
  <si>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</si>
  <si>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</si>
  <si>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</si>
  <si>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</si>
  <si>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</si>
  <si>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</si>
  <si>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</si>
  <si>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</si>
  <si>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</si>
  <si>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</si>
  <si>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</si>
  <si>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</si>
  <si>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</si>
  <si>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</si>
  <si>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</si>
  <si>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</si>
  <si>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</si>
  <si>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</si>
  <si>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</si>
  <si>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</si>
  <si>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</si>
  <si>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</si>
  <si>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</si>
  <si>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</si>
  <si>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</si>
  <si>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</si>
  <si>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</si>
  <si>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</si>
  <si>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</si>
  <si>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</si>
  <si>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</si>
  <si>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</si>
  <si>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</si>
  <si>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</si>
  <si>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</si>
  <si>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</si>
  <si>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</si>
  <si>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</si>
  <si>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</si>
  <si>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</si>
  <si>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</si>
  <si>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</si>
  <si>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</si>
  <si>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</si>
  <si>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</si>
  <si>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</si>
  <si>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</si>
  <si>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</si>
  <si>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</si>
  <si>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</si>
  <si>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</si>
  <si>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</si>
  <si>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</si>
  <si>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</si>
  <si>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</si>
  <si>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</si>
  <si>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</si>
  <si>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</si>
  <si>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</si>
  <si>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</si>
  <si>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</si>
  <si>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</si>
  <si>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</si>
  <si>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</si>
  <si>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</si>
  <si>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</si>
  <si>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</si>
  <si>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</si>
  <si>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</si>
  <si>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</si>
  <si>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</si>
  <si>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</si>
  <si>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</si>
  <si>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</si>
  <si>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</si>
  <si>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</si>
  <si>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</si>
  <si>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</si>
  <si>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</si>
  <si>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</si>
  <si>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</si>
  <si>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</si>
  <si>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</si>
  <si>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</si>
  <si>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</si>
  <si>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</si>
  <si>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</si>
  <si>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</si>
  <si>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</si>
  <si>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</si>
  <si>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</si>
  <si>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</si>
  <si>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</si>
  <si>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</si>
  <si>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</si>
  <si>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</si>
  <si>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</si>
  <si>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</si>
  <si>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</si>
  <si>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</si>
  <si>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</si>
  <si>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</si>
  <si>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</si>
  <si>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</si>
  <si>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</si>
  <si>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</si>
  <si>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</si>
  <si>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</si>
  <si>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</si>
  <si>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</si>
  <si>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</si>
  <si>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</si>
  <si>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</si>
  <si>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</si>
  <si>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</si>
  <si>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</si>
  <si>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</si>
  <si>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</si>
  <si>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</si>
  <si>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</si>
  <si>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</si>
  <si>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</si>
  <si>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</si>
  <si>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</si>
  <si>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</si>
  <si>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</si>
  <si>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</si>
  <si>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</si>
  <si>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</si>
  <si>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</si>
  <si>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</si>
  <si>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</si>
  <si>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</si>
  <si>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</si>
  <si>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</si>
  <si>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</si>
  <si>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</si>
  <si>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</si>
  <si>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</si>
  <si>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</si>
  <si>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</si>
  <si>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</si>
  <si>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</si>
  <si>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</si>
  <si>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</si>
  <si>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</si>
  <si>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</si>
  <si>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</si>
  <si>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</si>
  <si>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</si>
  <si>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</si>
  <si>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</si>
  <si>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</si>
  <si>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</si>
  <si>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</si>
  <si>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</si>
  <si>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</si>
  <si>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</si>
  <si>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</si>
  <si>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</si>
  <si>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</si>
  <si>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</si>
  <si>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</si>
  <si>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</si>
  <si>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</si>
  <si>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</si>
  <si>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</si>
  <si>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</si>
  <si>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</si>
  <si>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</si>
  <si>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</si>
  <si>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</si>
  <si>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</si>
  <si>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</si>
  <si>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</si>
  <si>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</si>
  <si>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</si>
  <si>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</si>
  <si>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</si>
  <si>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</si>
  <si>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</si>
  <si>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</si>
  <si>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</si>
  <si>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</si>
  <si>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</si>
  <si>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</si>
  <si>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</si>
  <si>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</si>
  <si>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</si>
  <si>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</si>
  <si>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</si>
  <si>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</si>
  <si>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</si>
  <si>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</si>
  <si>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</si>
  <si>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</si>
  <si>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</si>
  <si>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</si>
  <si>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</si>
  <si>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</si>
  <si>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</si>
  <si>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</si>
  <si>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</si>
  <si>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</si>
  <si>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</si>
  <si>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</si>
  <si>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</si>
  <si>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</si>
  <si>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</si>
  <si>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</si>
  <si>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</si>
  <si>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</si>
  <si>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</si>
  <si>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</si>
  <si>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</si>
  <si>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</si>
  <si>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</si>
  <si>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</si>
  <si>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</si>
  <si>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</si>
  <si>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</si>
  <si>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</si>
  <si>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</si>
  <si>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</si>
  <si>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</si>
  <si>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</si>
  <si>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</si>
  <si>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</si>
  <si>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</si>
  <si>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</si>
  <si>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</si>
  <si>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</si>
  <si>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</si>
  <si>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</si>
  <si>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</si>
  <si>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</si>
  <si>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</si>
  <si>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</si>
  <si>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</si>
  <si>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</si>
  <si>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</si>
  <si>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</si>
  <si>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</si>
  <si>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</si>
  <si>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</si>
  <si>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</si>
  <si>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</si>
  <si>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</si>
  <si>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</si>
  <si>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</si>
  <si>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</si>
  <si>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</si>
  <si>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</si>
  <si>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</si>
  <si>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</si>
  <si>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</si>
  <si>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</si>
  <si>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</si>
  <si>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</si>
  <si>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</si>
  <si>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</si>
  <si>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</si>
  <si>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</si>
  <si>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</si>
  <si>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</si>
  <si>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</si>
  <si>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</si>
  <si>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</si>
  <si>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</si>
  <si>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</si>
  <si>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</si>
  <si>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</si>
  <si>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</si>
  <si>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</si>
  <si>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24014</t>
  </si>
  <si>
    <t>BOORTMEERBEEK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</si>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</sst>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569EC90-E155-4AE9-9E76-2837A102788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24014</v>
      </c>
      <c r="B6" s="384"/>
      <c r="C6" s="385"/>
    </row>
    <row r="7" spans="1:7" s="382" customFormat="1" ht="15.75" customHeight="1">
      <c r="A7" s="386" t="str">
        <f>txtMunicipality</f>
        <v>BOORTMEERBEEK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17810.057447466093</v>
      </c>
      <c r="D10" s="674">
        <f ca="1">tertiair!C16</f>
        <v>0</v>
      </c>
      <c r="E10" s="674">
        <f ca="1">tertiair!D16</f>
        <v>11935.952398851343</v>
      </c>
      <c r="F10" s="674">
        <f>tertiair!E16</f>
        <v>186.92298970419051</v>
      </c>
      <c r="G10" s="674">
        <f ca="1">tertiair!F16</f>
        <v>3328.5791208838364</v>
      </c>
      <c r="H10" s="674">
        <f>tertiair!G16</f>
        <v>0</v>
      </c>
      <c r="I10" s="674">
        <f>tertiair!H16</f>
        <v>0</v>
      </c>
      <c r="J10" s="674">
        <f>tertiair!I16</f>
        <v>0</v>
      </c>
      <c r="K10" s="674">
        <f>tertiair!J16</f>
        <v>0</v>
      </c>
      <c r="L10" s="674">
        <f>tertiair!K16</f>
        <v>0</v>
      </c>
      <c r="M10" s="674">
        <f ca="1">tertiair!L16</f>
        <v>0</v>
      </c>
      <c r="N10" s="674">
        <f>tertiair!M16</f>
        <v>0</v>
      </c>
      <c r="O10" s="674">
        <f ca="1">tertiair!N16</f>
        <v>785.33252747022368</v>
      </c>
      <c r="P10" s="674">
        <f>tertiair!O16</f>
        <v>1.5633333333333335</v>
      </c>
      <c r="Q10" s="675">
        <f>tertiair!P16</f>
        <v>38.133333333333333</v>
      </c>
      <c r="R10" s="677">
        <f ca="1">SUM(C10:Q10)</f>
        <v>34086.541151042351</v>
      </c>
      <c r="S10" s="68"/>
    </row>
    <row r="11" spans="1:19" s="443" customFormat="1">
      <c r="A11" s="789" t="s">
        <v>214</v>
      </c>
      <c r="B11" s="794"/>
      <c r="C11" s="674">
        <f>huishoudens!B8</f>
        <v>24128.38014333295</v>
      </c>
      <c r="D11" s="674">
        <f>huishoudens!C8</f>
        <v>0</v>
      </c>
      <c r="E11" s="674">
        <f>huishoudens!D8</f>
        <v>33254.212067264918</v>
      </c>
      <c r="F11" s="674">
        <f>huishoudens!E8</f>
        <v>1553.1342125858098</v>
      </c>
      <c r="G11" s="674">
        <f>huishoudens!F8</f>
        <v>47350.55293360936</v>
      </c>
      <c r="H11" s="674">
        <f>huishoudens!G8</f>
        <v>0</v>
      </c>
      <c r="I11" s="674">
        <f>huishoudens!H8</f>
        <v>0</v>
      </c>
      <c r="J11" s="674">
        <f>huishoudens!I8</f>
        <v>0</v>
      </c>
      <c r="K11" s="674">
        <f>huishoudens!J8</f>
        <v>859.15928387743656</v>
      </c>
      <c r="L11" s="674">
        <f>huishoudens!K8</f>
        <v>0</v>
      </c>
      <c r="M11" s="674">
        <f>huishoudens!L8</f>
        <v>0</v>
      </c>
      <c r="N11" s="674">
        <f>huishoudens!M8</f>
        <v>0</v>
      </c>
      <c r="O11" s="674">
        <f>huishoudens!N8</f>
        <v>7254.8071716068362</v>
      </c>
      <c r="P11" s="674">
        <f>huishoudens!O8</f>
        <v>79.73</v>
      </c>
      <c r="Q11" s="675">
        <f>huishoudens!P8</f>
        <v>266.93333333333334</v>
      </c>
      <c r="R11" s="677">
        <f>SUM(C11:Q11)</f>
        <v>114746.90914561064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14666.092424599123</v>
      </c>
      <c r="D13" s="674">
        <f>industrie!C18</f>
        <v>0</v>
      </c>
      <c r="E13" s="674">
        <f>industrie!D18</f>
        <v>27855.685292489132</v>
      </c>
      <c r="F13" s="674">
        <f>industrie!E18</f>
        <v>139.31055372829647</v>
      </c>
      <c r="G13" s="674">
        <f>industrie!F18</f>
        <v>2322.526654577352</v>
      </c>
      <c r="H13" s="674">
        <f>industrie!G18</f>
        <v>0</v>
      </c>
      <c r="I13" s="674">
        <f>industrie!H18</f>
        <v>0</v>
      </c>
      <c r="J13" s="674">
        <f>industrie!I18</f>
        <v>0</v>
      </c>
      <c r="K13" s="674">
        <f>industrie!J18</f>
        <v>11.826922265304296</v>
      </c>
      <c r="L13" s="674">
        <f>industrie!K18</f>
        <v>0</v>
      </c>
      <c r="M13" s="674">
        <f>industrie!L18</f>
        <v>0</v>
      </c>
      <c r="N13" s="674">
        <f>industrie!M18</f>
        <v>0</v>
      </c>
      <c r="O13" s="674">
        <f>industrie!N18</f>
        <v>298.14624401887238</v>
      </c>
      <c r="P13" s="674">
        <f>industrie!O18</f>
        <v>0</v>
      </c>
      <c r="Q13" s="675">
        <f>industrie!P18</f>
        <v>0</v>
      </c>
      <c r="R13" s="677">
        <f>SUM(C13:Q13)</f>
        <v>45293.588091678081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56604.530015398166</v>
      </c>
      <c r="D16" s="707">
        <f t="shared" ref="D16:R16" ca="1" si="0">SUM(D9:D15)</f>
        <v>0</v>
      </c>
      <c r="E16" s="707">
        <f t="shared" ca="1" si="0"/>
        <v>73045.849758605385</v>
      </c>
      <c r="F16" s="707">
        <f t="shared" si="0"/>
        <v>1879.3677560182969</v>
      </c>
      <c r="G16" s="707">
        <f t="shared" ca="1" si="0"/>
        <v>53001.658709070543</v>
      </c>
      <c r="H16" s="707">
        <f t="shared" si="0"/>
        <v>0</v>
      </c>
      <c r="I16" s="707">
        <f t="shared" si="0"/>
        <v>0</v>
      </c>
      <c r="J16" s="707">
        <f t="shared" si="0"/>
        <v>0</v>
      </c>
      <c r="K16" s="707">
        <f t="shared" si="0"/>
        <v>870.98620614274091</v>
      </c>
      <c r="L16" s="707">
        <f t="shared" si="0"/>
        <v>0</v>
      </c>
      <c r="M16" s="707">
        <f t="shared" ca="1" si="0"/>
        <v>0</v>
      </c>
      <c r="N16" s="707">
        <f t="shared" si="0"/>
        <v>0</v>
      </c>
      <c r="O16" s="707">
        <f t="shared" ca="1" si="0"/>
        <v>8338.2859430959325</v>
      </c>
      <c r="P16" s="707">
        <f t="shared" si="0"/>
        <v>81.293333333333337</v>
      </c>
      <c r="Q16" s="707">
        <f t="shared" si="0"/>
        <v>305.06666666666666</v>
      </c>
      <c r="R16" s="707">
        <f t="shared" ca="1" si="0"/>
        <v>194127.03838833107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9.3585059281144503</v>
      </c>
      <c r="D19" s="674">
        <f>transport!C54</f>
        <v>0</v>
      </c>
      <c r="E19" s="674">
        <f>transport!D54</f>
        <v>0</v>
      </c>
      <c r="F19" s="674">
        <f>transport!E54</f>
        <v>0</v>
      </c>
      <c r="G19" s="674">
        <f>transport!F54</f>
        <v>0</v>
      </c>
      <c r="H19" s="674">
        <f>transport!G54</f>
        <v>1866.5724582684234</v>
      </c>
      <c r="I19" s="674">
        <f>transport!H54</f>
        <v>0</v>
      </c>
      <c r="J19" s="674">
        <f>transport!I54</f>
        <v>0</v>
      </c>
      <c r="K19" s="674">
        <f>transport!J54</f>
        <v>0</v>
      </c>
      <c r="L19" s="674">
        <f>transport!K54</f>
        <v>0</v>
      </c>
      <c r="M19" s="674">
        <f>transport!L54</f>
        <v>0</v>
      </c>
      <c r="N19" s="674">
        <f>transport!M54</f>
        <v>82.500514644202028</v>
      </c>
      <c r="O19" s="674">
        <f>transport!N54</f>
        <v>0</v>
      </c>
      <c r="P19" s="674">
        <f>transport!O54</f>
        <v>0</v>
      </c>
      <c r="Q19" s="675">
        <f>transport!P54</f>
        <v>0</v>
      </c>
      <c r="R19" s="677">
        <f>SUM(C19:Q19)</f>
        <v>1958.4314788407398</v>
      </c>
      <c r="S19" s="68"/>
    </row>
    <row r="20" spans="1:19" s="443" customFormat="1">
      <c r="A20" s="789" t="s">
        <v>296</v>
      </c>
      <c r="B20" s="794"/>
      <c r="C20" s="674">
        <f>transport!B14</f>
        <v>2.0230115349541831</v>
      </c>
      <c r="D20" s="674">
        <f>transport!C14</f>
        <v>0</v>
      </c>
      <c r="E20" s="674">
        <f>transport!D14</f>
        <v>2.801086722602304</v>
      </c>
      <c r="F20" s="674">
        <f>transport!E14</f>
        <v>177.06522461478448</v>
      </c>
      <c r="G20" s="674">
        <f>transport!F14</f>
        <v>0</v>
      </c>
      <c r="H20" s="674">
        <f>transport!G14</f>
        <v>39735.170955176836</v>
      </c>
      <c r="I20" s="674">
        <f>transport!H14</f>
        <v>6677.360189830074</v>
      </c>
      <c r="J20" s="674">
        <f>transport!I14</f>
        <v>0</v>
      </c>
      <c r="K20" s="674">
        <f>transport!J14</f>
        <v>0</v>
      </c>
      <c r="L20" s="674">
        <f>transport!K14</f>
        <v>0</v>
      </c>
      <c r="M20" s="674">
        <f>transport!L14</f>
        <v>0</v>
      </c>
      <c r="N20" s="674">
        <f>transport!M14</f>
        <v>2073.9019190887211</v>
      </c>
      <c r="O20" s="674">
        <f>transport!N14</f>
        <v>0</v>
      </c>
      <c r="P20" s="674">
        <f>transport!O14</f>
        <v>0</v>
      </c>
      <c r="Q20" s="675">
        <f>transport!P14</f>
        <v>0</v>
      </c>
      <c r="R20" s="677">
        <f>SUM(C20:Q20)</f>
        <v>48668.322386967971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11.381517463068633</v>
      </c>
      <c r="D22" s="792">
        <f t="shared" ref="D22:R22" si="1">SUM(D18:D21)</f>
        <v>0</v>
      </c>
      <c r="E22" s="792">
        <f t="shared" si="1"/>
        <v>2.801086722602304</v>
      </c>
      <c r="F22" s="792">
        <f t="shared" si="1"/>
        <v>177.06522461478448</v>
      </c>
      <c r="G22" s="792">
        <f t="shared" si="1"/>
        <v>0</v>
      </c>
      <c r="H22" s="792">
        <f t="shared" si="1"/>
        <v>41601.743413445263</v>
      </c>
      <c r="I22" s="792">
        <f t="shared" si="1"/>
        <v>6677.360189830074</v>
      </c>
      <c r="J22" s="792">
        <f t="shared" si="1"/>
        <v>0</v>
      </c>
      <c r="K22" s="792">
        <f t="shared" si="1"/>
        <v>0</v>
      </c>
      <c r="L22" s="792">
        <f t="shared" si="1"/>
        <v>0</v>
      </c>
      <c r="M22" s="792">
        <f t="shared" si="1"/>
        <v>0</v>
      </c>
      <c r="N22" s="792">
        <f t="shared" si="1"/>
        <v>2156.4024337329233</v>
      </c>
      <c r="O22" s="792">
        <f t="shared" si="1"/>
        <v>0</v>
      </c>
      <c r="P22" s="792">
        <f t="shared" si="1"/>
        <v>0</v>
      </c>
      <c r="Q22" s="792">
        <f t="shared" si="1"/>
        <v>0</v>
      </c>
      <c r="R22" s="792">
        <f t="shared" si="1"/>
        <v>50626.753865808714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383.5101473368598</v>
      </c>
      <c r="D24" s="674">
        <f>+landbouw!C8</f>
        <v>0</v>
      </c>
      <c r="E24" s="674">
        <f>+landbouw!D8</f>
        <v>555.34167094361806</v>
      </c>
      <c r="F24" s="674">
        <f>+landbouw!E8</f>
        <v>3.6129225481410261</v>
      </c>
      <c r="G24" s="674">
        <f>+landbouw!F8</f>
        <v>1251.5208866002949</v>
      </c>
      <c r="H24" s="674">
        <f>+landbouw!G8</f>
        <v>0</v>
      </c>
      <c r="I24" s="674">
        <f>+landbouw!H8</f>
        <v>0</v>
      </c>
      <c r="J24" s="674">
        <f>+landbouw!I8</f>
        <v>0</v>
      </c>
      <c r="K24" s="674">
        <f>+landbouw!J8</f>
        <v>47.442070618567868</v>
      </c>
      <c r="L24" s="674">
        <f>+landbouw!K8</f>
        <v>0</v>
      </c>
      <c r="M24" s="674">
        <f>+landbouw!L8</f>
        <v>0</v>
      </c>
      <c r="N24" s="674">
        <f>+landbouw!M8</f>
        <v>0</v>
      </c>
      <c r="O24" s="674">
        <f>+landbouw!N8</f>
        <v>0</v>
      </c>
      <c r="P24" s="674">
        <f>+landbouw!O8</f>
        <v>0</v>
      </c>
      <c r="Q24" s="675">
        <f>+landbouw!P8</f>
        <v>0</v>
      </c>
      <c r="R24" s="677">
        <f>SUM(C24:Q24)</f>
        <v>2241.4276980474815</v>
      </c>
      <c r="S24" s="68"/>
    </row>
    <row r="25" spans="1:19" s="443" customFormat="1" ht="15" thickBot="1">
      <c r="A25" s="811" t="s">
        <v>873</v>
      </c>
      <c r="B25" s="977"/>
      <c r="C25" s="978">
        <f>IF(Onbekend_ele_kWh="---",0,Onbekend_ele_kWh)/1000+IF(REST_rest_ele_kWh="---",0,REST_rest_ele_kWh)/1000</f>
        <v>770.38325705394197</v>
      </c>
      <c r="D25" s="978"/>
      <c r="E25" s="978">
        <f>IF(onbekend_gas_kWh="---",0,onbekend_gas_kWh)/1000+IF(REST_rest_gas_kWh="---",0,REST_rest_gas_kWh)/1000</f>
        <v>960.52519165996409</v>
      </c>
      <c r="F25" s="978"/>
      <c r="G25" s="978"/>
      <c r="H25" s="978"/>
      <c r="I25" s="978"/>
      <c r="J25" s="978"/>
      <c r="K25" s="978"/>
      <c r="L25" s="978"/>
      <c r="M25" s="978"/>
      <c r="N25" s="978"/>
      <c r="O25" s="978"/>
      <c r="P25" s="978"/>
      <c r="Q25" s="979"/>
      <c r="R25" s="677">
        <f>SUM(C25:Q25)</f>
        <v>1730.9084487139062</v>
      </c>
      <c r="S25" s="68"/>
    </row>
    <row r="26" spans="1:19" s="443" customFormat="1" ht="15.75" thickBot="1">
      <c r="A26" s="680" t="s">
        <v>874</v>
      </c>
      <c r="B26" s="797"/>
      <c r="C26" s="792">
        <f>SUM(C24:C25)</f>
        <v>1153.8934043908018</v>
      </c>
      <c r="D26" s="792">
        <f t="shared" ref="D26:R26" si="2">SUM(D24:D25)</f>
        <v>0</v>
      </c>
      <c r="E26" s="792">
        <f t="shared" si="2"/>
        <v>1515.8668626035821</v>
      </c>
      <c r="F26" s="792">
        <f t="shared" si="2"/>
        <v>3.6129225481410261</v>
      </c>
      <c r="G26" s="792">
        <f t="shared" si="2"/>
        <v>1251.5208866002949</v>
      </c>
      <c r="H26" s="792">
        <f t="shared" si="2"/>
        <v>0</v>
      </c>
      <c r="I26" s="792">
        <f t="shared" si="2"/>
        <v>0</v>
      </c>
      <c r="J26" s="792">
        <f t="shared" si="2"/>
        <v>0</v>
      </c>
      <c r="K26" s="792">
        <f t="shared" si="2"/>
        <v>47.442070618567868</v>
      </c>
      <c r="L26" s="792">
        <f t="shared" si="2"/>
        <v>0</v>
      </c>
      <c r="M26" s="792">
        <f t="shared" si="2"/>
        <v>0</v>
      </c>
      <c r="N26" s="792">
        <f t="shared" si="2"/>
        <v>0</v>
      </c>
      <c r="O26" s="792">
        <f t="shared" si="2"/>
        <v>0</v>
      </c>
      <c r="P26" s="792">
        <f t="shared" si="2"/>
        <v>0</v>
      </c>
      <c r="Q26" s="792">
        <f t="shared" si="2"/>
        <v>0</v>
      </c>
      <c r="R26" s="792">
        <f t="shared" si="2"/>
        <v>3972.3361467613877</v>
      </c>
      <c r="S26" s="68"/>
    </row>
    <row r="27" spans="1:19" s="443" customFormat="1" ht="17.25" thickTop="1" thickBot="1">
      <c r="A27" s="681" t="s">
        <v>109</v>
      </c>
      <c r="B27" s="784"/>
      <c r="C27" s="682">
        <f ca="1">C22+C16+C26</f>
        <v>57769.804937252033</v>
      </c>
      <c r="D27" s="682">
        <f t="shared" ref="D27:R27" ca="1" si="3">D22+D16+D26</f>
        <v>0</v>
      </c>
      <c r="E27" s="682">
        <f t="shared" ca="1" si="3"/>
        <v>74564.517707931562</v>
      </c>
      <c r="F27" s="682">
        <f t="shared" si="3"/>
        <v>2060.0459031812225</v>
      </c>
      <c r="G27" s="682">
        <f t="shared" ca="1" si="3"/>
        <v>54253.179595670837</v>
      </c>
      <c r="H27" s="682">
        <f t="shared" si="3"/>
        <v>41601.743413445263</v>
      </c>
      <c r="I27" s="682">
        <f t="shared" si="3"/>
        <v>6677.360189830074</v>
      </c>
      <c r="J27" s="682">
        <f t="shared" si="3"/>
        <v>0</v>
      </c>
      <c r="K27" s="682">
        <f t="shared" si="3"/>
        <v>918.42827676130878</v>
      </c>
      <c r="L27" s="682">
        <f t="shared" si="3"/>
        <v>0</v>
      </c>
      <c r="M27" s="682">
        <f t="shared" ca="1" si="3"/>
        <v>0</v>
      </c>
      <c r="N27" s="682">
        <f t="shared" si="3"/>
        <v>2156.4024337329233</v>
      </c>
      <c r="O27" s="682">
        <f t="shared" ca="1" si="3"/>
        <v>8338.2859430959325</v>
      </c>
      <c r="P27" s="682">
        <f t="shared" si="3"/>
        <v>81.293333333333337</v>
      </c>
      <c r="Q27" s="682">
        <f t="shared" si="3"/>
        <v>305.06666666666666</v>
      </c>
      <c r="R27" s="682">
        <f t="shared" ca="1" si="3"/>
        <v>248726.12840090119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3762.597816030378</v>
      </c>
      <c r="D40" s="674">
        <f ca="1">tertiair!C20</f>
        <v>0</v>
      </c>
      <c r="E40" s="674">
        <f ca="1">tertiair!D20</f>
        <v>2411.0623845679715</v>
      </c>
      <c r="F40" s="674">
        <f>tertiair!E20</f>
        <v>42.431518662851246</v>
      </c>
      <c r="G40" s="674">
        <f ca="1">tertiair!F20</f>
        <v>888.73062527598438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7104.822344537185</v>
      </c>
    </row>
    <row r="41" spans="1:18">
      <c r="A41" s="802" t="s">
        <v>214</v>
      </c>
      <c r="B41" s="809"/>
      <c r="C41" s="674">
        <f ca="1">huishoudens!B12</f>
        <v>5097.4226612936436</v>
      </c>
      <c r="D41" s="674">
        <f ca="1">huishoudens!C12</f>
        <v>0</v>
      </c>
      <c r="E41" s="674">
        <f>huishoudens!D12</f>
        <v>6717.3508375875135</v>
      </c>
      <c r="F41" s="674">
        <f>huishoudens!E12</f>
        <v>352.56146625697886</v>
      </c>
      <c r="G41" s="674">
        <f>huishoudens!F12</f>
        <v>12642.597633273699</v>
      </c>
      <c r="H41" s="674">
        <f>huishoudens!G12</f>
        <v>0</v>
      </c>
      <c r="I41" s="674">
        <f>huishoudens!H12</f>
        <v>0</v>
      </c>
      <c r="J41" s="674">
        <f>huishoudens!I12</f>
        <v>0</v>
      </c>
      <c r="K41" s="674">
        <f>huishoudens!J12</f>
        <v>304.1423864926125</v>
      </c>
      <c r="L41" s="674">
        <f>huishoudens!K12</f>
        <v>0</v>
      </c>
      <c r="M41" s="674">
        <f>huishoudens!L12</f>
        <v>0</v>
      </c>
      <c r="N41" s="674">
        <f>huishoudens!M12</f>
        <v>0</v>
      </c>
      <c r="O41" s="674">
        <f>huishoudens!N12</f>
        <v>0</v>
      </c>
      <c r="P41" s="674">
        <f>huishoudens!O12</f>
        <v>0</v>
      </c>
      <c r="Q41" s="749">
        <f>huishoudens!P12</f>
        <v>0</v>
      </c>
      <c r="R41" s="830">
        <f t="shared" ca="1" si="4"/>
        <v>25114.074984904444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3098.3958074962511</v>
      </c>
      <c r="D43" s="674">
        <f ca="1">industrie!C22</f>
        <v>0</v>
      </c>
      <c r="E43" s="674">
        <f>industrie!D22</f>
        <v>5626.8484290828046</v>
      </c>
      <c r="F43" s="674">
        <f>industrie!E22</f>
        <v>31.6234956963233</v>
      </c>
      <c r="G43" s="674">
        <f>industrie!F22</f>
        <v>620.114616772153</v>
      </c>
      <c r="H43" s="674">
        <f>industrie!G22</f>
        <v>0</v>
      </c>
      <c r="I43" s="674">
        <f>industrie!H22</f>
        <v>0</v>
      </c>
      <c r="J43" s="674">
        <f>industrie!I22</f>
        <v>0</v>
      </c>
      <c r="K43" s="674">
        <f>industrie!J22</f>
        <v>4.1867304819177207</v>
      </c>
      <c r="L43" s="674">
        <f>industrie!K22</f>
        <v>0</v>
      </c>
      <c r="M43" s="674">
        <f>industrie!L22</f>
        <v>0</v>
      </c>
      <c r="N43" s="674">
        <f>industrie!M22</f>
        <v>0</v>
      </c>
      <c r="O43" s="674">
        <f>industrie!N22</f>
        <v>0</v>
      </c>
      <c r="P43" s="674">
        <f>industrie!O22</f>
        <v>0</v>
      </c>
      <c r="Q43" s="749">
        <f>industrie!P22</f>
        <v>0</v>
      </c>
      <c r="R43" s="829">
        <f t="shared" ca="1" si="4"/>
        <v>9381.1690795294489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11958.416284820272</v>
      </c>
      <c r="D46" s="707">
        <f t="shared" ref="D46:Q46" ca="1" si="5">SUM(D39:D45)</f>
        <v>0</v>
      </c>
      <c r="E46" s="707">
        <f t="shared" ca="1" si="5"/>
        <v>14755.261651238288</v>
      </c>
      <c r="F46" s="707">
        <f t="shared" si="5"/>
        <v>426.61648061615341</v>
      </c>
      <c r="G46" s="707">
        <f t="shared" ca="1" si="5"/>
        <v>14151.442875321836</v>
      </c>
      <c r="H46" s="707">
        <f t="shared" si="5"/>
        <v>0</v>
      </c>
      <c r="I46" s="707">
        <f t="shared" si="5"/>
        <v>0</v>
      </c>
      <c r="J46" s="707">
        <f t="shared" si="5"/>
        <v>0</v>
      </c>
      <c r="K46" s="707">
        <f t="shared" si="5"/>
        <v>308.32911697453022</v>
      </c>
      <c r="L46" s="707">
        <f t="shared" si="5"/>
        <v>0</v>
      </c>
      <c r="M46" s="707">
        <f t="shared" ca="1" si="5"/>
        <v>0</v>
      </c>
      <c r="N46" s="707">
        <f t="shared" si="5"/>
        <v>0</v>
      </c>
      <c r="O46" s="707">
        <f t="shared" ca="1" si="5"/>
        <v>0</v>
      </c>
      <c r="P46" s="707">
        <f t="shared" si="5"/>
        <v>0</v>
      </c>
      <c r="Q46" s="707">
        <f t="shared" si="5"/>
        <v>0</v>
      </c>
      <c r="R46" s="707">
        <f ca="1">SUM(R39:R45)</f>
        <v>41600.066408971077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1.97710165002531</v>
      </c>
      <c r="D49" s="674">
        <f ca="1">transport!C58</f>
        <v>0</v>
      </c>
      <c r="E49" s="674">
        <f>transport!D58</f>
        <v>0</v>
      </c>
      <c r="F49" s="674">
        <f>transport!E58</f>
        <v>0</v>
      </c>
      <c r="G49" s="674">
        <f>transport!F58</f>
        <v>0</v>
      </c>
      <c r="H49" s="674">
        <f>transport!G58</f>
        <v>498.37484635766907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500.35194800769438</v>
      </c>
    </row>
    <row r="50" spans="1:18">
      <c r="A50" s="805" t="s">
        <v>296</v>
      </c>
      <c r="B50" s="815"/>
      <c r="C50" s="984">
        <f ca="1">transport!B18</f>
        <v>0.42738653739187288</v>
      </c>
      <c r="D50" s="984">
        <f>transport!C18</f>
        <v>0</v>
      </c>
      <c r="E50" s="984">
        <f>transport!D18</f>
        <v>0.56581951796566543</v>
      </c>
      <c r="F50" s="984">
        <f>transport!E18</f>
        <v>40.193805987556082</v>
      </c>
      <c r="G50" s="984">
        <f>transport!F18</f>
        <v>0</v>
      </c>
      <c r="H50" s="984">
        <f>transport!G18</f>
        <v>10609.290645032215</v>
      </c>
      <c r="I50" s="984">
        <f>transport!H18</f>
        <v>1662.6626872676884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12313.140344342817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2.4044881874171828</v>
      </c>
      <c r="D52" s="707">
        <f t="shared" ref="D52:Q52" ca="1" si="6">SUM(D48:D51)</f>
        <v>0</v>
      </c>
      <c r="E52" s="707">
        <f t="shared" si="6"/>
        <v>0.56581951796566543</v>
      </c>
      <c r="F52" s="707">
        <f t="shared" si="6"/>
        <v>40.193805987556082</v>
      </c>
      <c r="G52" s="707">
        <f t="shared" si="6"/>
        <v>0</v>
      </c>
      <c r="H52" s="707">
        <f t="shared" si="6"/>
        <v>11107.665491389884</v>
      </c>
      <c r="I52" s="707">
        <f t="shared" si="6"/>
        <v>1662.6626872676884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12813.492292350511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81.021324442749489</v>
      </c>
      <c r="D54" s="984">
        <f ca="1">+landbouw!C12</f>
        <v>0</v>
      </c>
      <c r="E54" s="984">
        <f>+landbouw!D12</f>
        <v>112.17901753061085</v>
      </c>
      <c r="F54" s="984">
        <f>+landbouw!E12</f>
        <v>0.82013341842801291</v>
      </c>
      <c r="G54" s="984">
        <f>+landbouw!F12</f>
        <v>334.15607672227878</v>
      </c>
      <c r="H54" s="984">
        <f>+landbouw!G12</f>
        <v>0</v>
      </c>
      <c r="I54" s="984">
        <f>+landbouw!H12</f>
        <v>0</v>
      </c>
      <c r="J54" s="984">
        <f>+landbouw!I12</f>
        <v>0</v>
      </c>
      <c r="K54" s="984">
        <f>+landbouw!J12</f>
        <v>16.794492998973023</v>
      </c>
      <c r="L54" s="984">
        <f>+landbouw!K12</f>
        <v>0</v>
      </c>
      <c r="M54" s="984">
        <f>+landbouw!L12</f>
        <v>0</v>
      </c>
      <c r="N54" s="984">
        <f>+landbouw!M12</f>
        <v>0</v>
      </c>
      <c r="O54" s="984">
        <f>+landbouw!N12</f>
        <v>0</v>
      </c>
      <c r="P54" s="984">
        <f>+landbouw!O12</f>
        <v>0</v>
      </c>
      <c r="Q54" s="985">
        <f>+landbouw!P12</f>
        <v>0</v>
      </c>
      <c r="R54" s="706">
        <f ca="1">SUM(C54:Q54)</f>
        <v>544.97104511304019</v>
      </c>
    </row>
    <row r="55" spans="1:18" ht="15" thickBot="1">
      <c r="A55" s="805" t="s">
        <v>873</v>
      </c>
      <c r="B55" s="815"/>
      <c r="C55" s="984">
        <f ca="1">C25*'EF ele_warmte'!B12</f>
        <v>162.75311683006009</v>
      </c>
      <c r="D55" s="984"/>
      <c r="E55" s="984">
        <f>E25*EF_CO2_aardgas</f>
        <v>194.02608871531277</v>
      </c>
      <c r="F55" s="984"/>
      <c r="G55" s="984"/>
      <c r="H55" s="984"/>
      <c r="I55" s="984"/>
      <c r="J55" s="984"/>
      <c r="K55" s="984"/>
      <c r="L55" s="984"/>
      <c r="M55" s="984"/>
      <c r="N55" s="984"/>
      <c r="O55" s="984"/>
      <c r="P55" s="984"/>
      <c r="Q55" s="985"/>
      <c r="R55" s="706">
        <f ca="1">SUM(C55:Q55)</f>
        <v>356.77920554537286</v>
      </c>
    </row>
    <row r="56" spans="1:18" ht="15.75" thickBot="1">
      <c r="A56" s="803" t="s">
        <v>874</v>
      </c>
      <c r="B56" s="816"/>
      <c r="C56" s="707">
        <f ca="1">SUM(C54:C55)</f>
        <v>243.77444127280958</v>
      </c>
      <c r="D56" s="707">
        <f t="shared" ref="D56:Q56" ca="1" si="7">SUM(D54:D55)</f>
        <v>0</v>
      </c>
      <c r="E56" s="707">
        <f t="shared" si="7"/>
        <v>306.20510624592362</v>
      </c>
      <c r="F56" s="707">
        <f t="shared" si="7"/>
        <v>0.82013341842801291</v>
      </c>
      <c r="G56" s="707">
        <f t="shared" si="7"/>
        <v>334.15607672227878</v>
      </c>
      <c r="H56" s="707">
        <f t="shared" si="7"/>
        <v>0</v>
      </c>
      <c r="I56" s="707">
        <f t="shared" si="7"/>
        <v>0</v>
      </c>
      <c r="J56" s="707">
        <f t="shared" si="7"/>
        <v>0</v>
      </c>
      <c r="K56" s="707">
        <f t="shared" si="7"/>
        <v>16.794492998973023</v>
      </c>
      <c r="L56" s="707">
        <f t="shared" si="7"/>
        <v>0</v>
      </c>
      <c r="M56" s="707">
        <f t="shared" si="7"/>
        <v>0</v>
      </c>
      <c r="N56" s="707">
        <f t="shared" si="7"/>
        <v>0</v>
      </c>
      <c r="O56" s="707">
        <f t="shared" si="7"/>
        <v>0</v>
      </c>
      <c r="P56" s="707">
        <f t="shared" si="7"/>
        <v>0</v>
      </c>
      <c r="Q56" s="708">
        <f t="shared" si="7"/>
        <v>0</v>
      </c>
      <c r="R56" s="709">
        <f ca="1">SUM(R54:R55)</f>
        <v>901.75025065841305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12204.5952142805</v>
      </c>
      <c r="D61" s="715">
        <f t="shared" ref="D61:Q61" ca="1" si="8">D46+D52+D56</f>
        <v>0</v>
      </c>
      <c r="E61" s="715">
        <f t="shared" ca="1" si="8"/>
        <v>15062.032577002177</v>
      </c>
      <c r="F61" s="715">
        <f t="shared" si="8"/>
        <v>467.63042002213746</v>
      </c>
      <c r="G61" s="715">
        <f t="shared" ca="1" si="8"/>
        <v>14485.598952044114</v>
      </c>
      <c r="H61" s="715">
        <f t="shared" si="8"/>
        <v>11107.665491389884</v>
      </c>
      <c r="I61" s="715">
        <f t="shared" si="8"/>
        <v>1662.6626872676884</v>
      </c>
      <c r="J61" s="715">
        <f t="shared" si="8"/>
        <v>0</v>
      </c>
      <c r="K61" s="715">
        <f t="shared" si="8"/>
        <v>325.12360997350322</v>
      </c>
      <c r="L61" s="715">
        <f t="shared" si="8"/>
        <v>0</v>
      </c>
      <c r="M61" s="715">
        <f t="shared" ca="1" si="8"/>
        <v>0</v>
      </c>
      <c r="N61" s="715">
        <f t="shared" si="8"/>
        <v>0</v>
      </c>
      <c r="O61" s="715">
        <f t="shared" ca="1" si="8"/>
        <v>0</v>
      </c>
      <c r="P61" s="715">
        <f t="shared" si="8"/>
        <v>0</v>
      </c>
      <c r="Q61" s="715">
        <f t="shared" si="8"/>
        <v>0</v>
      </c>
      <c r="R61" s="715">
        <f ca="1">R46+R52+R56</f>
        <v>55315.308951979998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0.21126253113606311</v>
      </c>
      <c r="D63" s="759">
        <f t="shared" ca="1" si="9"/>
        <v>0</v>
      </c>
      <c r="E63" s="986">
        <f t="shared" ca="1" si="9"/>
        <v>0.20200000000000001</v>
      </c>
      <c r="F63" s="759">
        <f t="shared" si="9"/>
        <v>0.22699999999999998</v>
      </c>
      <c r="G63" s="759">
        <f t="shared" ca="1" si="9"/>
        <v>0.26700000000000002</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111</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2434.3922029511373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2545.3922029511373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24128.38014333295</v>
      </c>
      <c r="C4" s="447">
        <f>huishoudens!C8</f>
        <v>0</v>
      </c>
      <c r="D4" s="447">
        <f>huishoudens!D8</f>
        <v>33254.212067264918</v>
      </c>
      <c r="E4" s="447">
        <f>huishoudens!E8</f>
        <v>1553.1342125858098</v>
      </c>
      <c r="F4" s="447">
        <f>huishoudens!F8</f>
        <v>47350.55293360936</v>
      </c>
      <c r="G4" s="447">
        <f>huishoudens!G8</f>
        <v>0</v>
      </c>
      <c r="H4" s="447">
        <f>huishoudens!H8</f>
        <v>0</v>
      </c>
      <c r="I4" s="447">
        <f>huishoudens!I8</f>
        <v>0</v>
      </c>
      <c r="J4" s="447">
        <f>huishoudens!J8</f>
        <v>859.15928387743656</v>
      </c>
      <c r="K4" s="447">
        <f>huishoudens!K8</f>
        <v>0</v>
      </c>
      <c r="L4" s="447">
        <f>huishoudens!L8</f>
        <v>0</v>
      </c>
      <c r="M4" s="447">
        <f>huishoudens!M8</f>
        <v>0</v>
      </c>
      <c r="N4" s="447">
        <f>huishoudens!N8</f>
        <v>7254.8071716068362</v>
      </c>
      <c r="O4" s="447">
        <f>huishoudens!O8</f>
        <v>79.73</v>
      </c>
      <c r="P4" s="448">
        <f>huishoudens!P8</f>
        <v>266.93333333333334</v>
      </c>
      <c r="Q4" s="449">
        <f>SUM(B4:P4)</f>
        <v>114746.90914561064</v>
      </c>
    </row>
    <row r="5" spans="1:17">
      <c r="A5" s="446" t="s">
        <v>149</v>
      </c>
      <c r="B5" s="447">
        <f ca="1">tertiair!B16</f>
        <v>16895.134447466095</v>
      </c>
      <c r="C5" s="447">
        <f ca="1">tertiair!C16</f>
        <v>0</v>
      </c>
      <c r="D5" s="447">
        <f ca="1">tertiair!D16</f>
        <v>11935.952398851343</v>
      </c>
      <c r="E5" s="447">
        <f>tertiair!E16</f>
        <v>186.92298970419051</v>
      </c>
      <c r="F5" s="447">
        <f ca="1">tertiair!F16</f>
        <v>3328.5791208838364</v>
      </c>
      <c r="G5" s="447">
        <f>tertiair!G16</f>
        <v>0</v>
      </c>
      <c r="H5" s="447">
        <f>tertiair!H16</f>
        <v>0</v>
      </c>
      <c r="I5" s="447">
        <f>tertiair!I16</f>
        <v>0</v>
      </c>
      <c r="J5" s="447">
        <f>tertiair!J16</f>
        <v>0</v>
      </c>
      <c r="K5" s="447">
        <f>tertiair!K16</f>
        <v>0</v>
      </c>
      <c r="L5" s="447">
        <f ca="1">tertiair!L16</f>
        <v>0</v>
      </c>
      <c r="M5" s="447">
        <f>tertiair!M16</f>
        <v>0</v>
      </c>
      <c r="N5" s="447">
        <f ca="1">tertiair!N16</f>
        <v>785.33252747022368</v>
      </c>
      <c r="O5" s="447">
        <f>tertiair!O16</f>
        <v>1.5633333333333335</v>
      </c>
      <c r="P5" s="448">
        <f>tertiair!P16</f>
        <v>38.133333333333333</v>
      </c>
      <c r="Q5" s="446">
        <f t="shared" ref="Q5:Q14" ca="1" si="0">SUM(B5:P5)</f>
        <v>33171.618151042348</v>
      </c>
    </row>
    <row r="6" spans="1:17">
      <c r="A6" s="446" t="s">
        <v>187</v>
      </c>
      <c r="B6" s="447">
        <f>'openbare verlichting'!B8</f>
        <v>914.923</v>
      </c>
      <c r="C6" s="447"/>
      <c r="D6" s="447"/>
      <c r="E6" s="447"/>
      <c r="F6" s="447"/>
      <c r="G6" s="447"/>
      <c r="H6" s="447"/>
      <c r="I6" s="447"/>
      <c r="J6" s="447"/>
      <c r="K6" s="447"/>
      <c r="L6" s="447"/>
      <c r="M6" s="447"/>
      <c r="N6" s="447"/>
      <c r="O6" s="447"/>
      <c r="P6" s="448"/>
      <c r="Q6" s="446">
        <f t="shared" si="0"/>
        <v>914.923</v>
      </c>
    </row>
    <row r="7" spans="1:17">
      <c r="A7" s="446" t="s">
        <v>105</v>
      </c>
      <c r="B7" s="447">
        <f>landbouw!B8</f>
        <v>383.5101473368598</v>
      </c>
      <c r="C7" s="447">
        <f>landbouw!C8</f>
        <v>0</v>
      </c>
      <c r="D7" s="447">
        <f>landbouw!D8</f>
        <v>555.34167094361806</v>
      </c>
      <c r="E7" s="447">
        <f>landbouw!E8</f>
        <v>3.6129225481410261</v>
      </c>
      <c r="F7" s="447">
        <f>landbouw!F8</f>
        <v>1251.5208866002949</v>
      </c>
      <c r="G7" s="447">
        <f>landbouw!G8</f>
        <v>0</v>
      </c>
      <c r="H7" s="447">
        <f>landbouw!H8</f>
        <v>0</v>
      </c>
      <c r="I7" s="447">
        <f>landbouw!I8</f>
        <v>0</v>
      </c>
      <c r="J7" s="447">
        <f>landbouw!J8</f>
        <v>47.442070618567868</v>
      </c>
      <c r="K7" s="447">
        <f>landbouw!K8</f>
        <v>0</v>
      </c>
      <c r="L7" s="447">
        <f>landbouw!L8</f>
        <v>0</v>
      </c>
      <c r="M7" s="447">
        <f>landbouw!M8</f>
        <v>0</v>
      </c>
      <c r="N7" s="447">
        <f>landbouw!N8</f>
        <v>0</v>
      </c>
      <c r="O7" s="447">
        <f>landbouw!O8</f>
        <v>0</v>
      </c>
      <c r="P7" s="448">
        <f>landbouw!P8</f>
        <v>0</v>
      </c>
      <c r="Q7" s="446">
        <f t="shared" si="0"/>
        <v>2241.4276980474815</v>
      </c>
    </row>
    <row r="8" spans="1:17">
      <c r="A8" s="446" t="s">
        <v>665</v>
      </c>
      <c r="B8" s="447">
        <f>industrie!B18</f>
        <v>14666.092424599123</v>
      </c>
      <c r="C8" s="447">
        <f>industrie!C18</f>
        <v>0</v>
      </c>
      <c r="D8" s="447">
        <f>industrie!D18</f>
        <v>27855.685292489132</v>
      </c>
      <c r="E8" s="447">
        <f>industrie!E18</f>
        <v>139.31055372829647</v>
      </c>
      <c r="F8" s="447">
        <f>industrie!F18</f>
        <v>2322.526654577352</v>
      </c>
      <c r="G8" s="447">
        <f>industrie!G18</f>
        <v>0</v>
      </c>
      <c r="H8" s="447">
        <f>industrie!H18</f>
        <v>0</v>
      </c>
      <c r="I8" s="447">
        <f>industrie!I18</f>
        <v>0</v>
      </c>
      <c r="J8" s="447">
        <f>industrie!J18</f>
        <v>11.826922265304296</v>
      </c>
      <c r="K8" s="447">
        <f>industrie!K18</f>
        <v>0</v>
      </c>
      <c r="L8" s="447">
        <f>industrie!L18</f>
        <v>0</v>
      </c>
      <c r="M8" s="447">
        <f>industrie!M18</f>
        <v>0</v>
      </c>
      <c r="N8" s="447">
        <f>industrie!N18</f>
        <v>298.14624401887238</v>
      </c>
      <c r="O8" s="447">
        <f>industrie!O18</f>
        <v>0</v>
      </c>
      <c r="P8" s="448">
        <f>industrie!P18</f>
        <v>0</v>
      </c>
      <c r="Q8" s="446">
        <f t="shared" si="0"/>
        <v>45293.588091678081</v>
      </c>
    </row>
    <row r="9" spans="1:17" s="452" customFormat="1">
      <c r="A9" s="450" t="s">
        <v>562</v>
      </c>
      <c r="B9" s="451">
        <f>transport!B14</f>
        <v>2.0230115349541831</v>
      </c>
      <c r="C9" s="451">
        <f>transport!C14</f>
        <v>0</v>
      </c>
      <c r="D9" s="451">
        <f>transport!D14</f>
        <v>2.801086722602304</v>
      </c>
      <c r="E9" s="451">
        <f>transport!E14</f>
        <v>177.06522461478448</v>
      </c>
      <c r="F9" s="451">
        <f>transport!F14</f>
        <v>0</v>
      </c>
      <c r="G9" s="451">
        <f>transport!G14</f>
        <v>39735.170955176836</v>
      </c>
      <c r="H9" s="451">
        <f>transport!H14</f>
        <v>6677.360189830074</v>
      </c>
      <c r="I9" s="451">
        <f>transport!I14</f>
        <v>0</v>
      </c>
      <c r="J9" s="451">
        <f>transport!J14</f>
        <v>0</v>
      </c>
      <c r="K9" s="451">
        <f>transport!K14</f>
        <v>0</v>
      </c>
      <c r="L9" s="451">
        <f>transport!L14</f>
        <v>0</v>
      </c>
      <c r="M9" s="451">
        <f>transport!M14</f>
        <v>2073.9019190887211</v>
      </c>
      <c r="N9" s="451">
        <f>transport!N14</f>
        <v>0</v>
      </c>
      <c r="O9" s="451">
        <f>transport!O14</f>
        <v>0</v>
      </c>
      <c r="P9" s="451">
        <f>transport!P14</f>
        <v>0</v>
      </c>
      <c r="Q9" s="450">
        <f>SUM(B9:P9)</f>
        <v>48668.322386967971</v>
      </c>
    </row>
    <row r="10" spans="1:17">
      <c r="A10" s="446" t="s">
        <v>552</v>
      </c>
      <c r="B10" s="447">
        <f>transport!B54</f>
        <v>9.3585059281144503</v>
      </c>
      <c r="C10" s="447">
        <f>transport!C54</f>
        <v>0</v>
      </c>
      <c r="D10" s="447">
        <f>transport!D54</f>
        <v>0</v>
      </c>
      <c r="E10" s="447">
        <f>transport!E54</f>
        <v>0</v>
      </c>
      <c r="F10" s="447">
        <f>transport!F54</f>
        <v>0</v>
      </c>
      <c r="G10" s="447">
        <f>transport!G54</f>
        <v>1866.5724582684234</v>
      </c>
      <c r="H10" s="447">
        <f>transport!H54</f>
        <v>0</v>
      </c>
      <c r="I10" s="447">
        <f>transport!I54</f>
        <v>0</v>
      </c>
      <c r="J10" s="447">
        <f>transport!J54</f>
        <v>0</v>
      </c>
      <c r="K10" s="447">
        <f>transport!K54</f>
        <v>0</v>
      </c>
      <c r="L10" s="447">
        <f>transport!L54</f>
        <v>0</v>
      </c>
      <c r="M10" s="447">
        <f>transport!M54</f>
        <v>82.500514644202028</v>
      </c>
      <c r="N10" s="447">
        <f>transport!N54</f>
        <v>0</v>
      </c>
      <c r="O10" s="447">
        <f>transport!O54</f>
        <v>0</v>
      </c>
      <c r="P10" s="448">
        <f>transport!P54</f>
        <v>0</v>
      </c>
      <c r="Q10" s="446">
        <f t="shared" si="0"/>
        <v>1958.4314788407398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770.38325705394197</v>
      </c>
      <c r="C14" s="454"/>
      <c r="D14" s="454">
        <f>'SEAP template'!E25</f>
        <v>960.52519165996409</v>
      </c>
      <c r="E14" s="454"/>
      <c r="F14" s="454"/>
      <c r="G14" s="454"/>
      <c r="H14" s="454"/>
      <c r="I14" s="454"/>
      <c r="J14" s="454"/>
      <c r="K14" s="454"/>
      <c r="L14" s="454"/>
      <c r="M14" s="454"/>
      <c r="N14" s="454"/>
      <c r="O14" s="454"/>
      <c r="P14" s="455"/>
      <c r="Q14" s="446">
        <f t="shared" si="0"/>
        <v>1730.9084487139062</v>
      </c>
    </row>
    <row r="15" spans="1:17" s="459" customFormat="1">
      <c r="A15" s="456" t="s">
        <v>556</v>
      </c>
      <c r="B15" s="457">
        <f ca="1">SUM(B4:B14)</f>
        <v>57769.804937252055</v>
      </c>
      <c r="C15" s="457">
        <f t="shared" ref="C15:Q15" ca="1" si="1">SUM(C4:C14)</f>
        <v>0</v>
      </c>
      <c r="D15" s="457">
        <f t="shared" ca="1" si="1"/>
        <v>74564.517707931576</v>
      </c>
      <c r="E15" s="457">
        <f t="shared" si="1"/>
        <v>2060.0459031812225</v>
      </c>
      <c r="F15" s="457">
        <f t="shared" ca="1" si="1"/>
        <v>54253.179595670837</v>
      </c>
      <c r="G15" s="457">
        <f t="shared" si="1"/>
        <v>41601.743413445263</v>
      </c>
      <c r="H15" s="457">
        <f t="shared" si="1"/>
        <v>6677.360189830074</v>
      </c>
      <c r="I15" s="457">
        <f t="shared" si="1"/>
        <v>0</v>
      </c>
      <c r="J15" s="457">
        <f t="shared" si="1"/>
        <v>918.42827676130878</v>
      </c>
      <c r="K15" s="457">
        <f t="shared" si="1"/>
        <v>0</v>
      </c>
      <c r="L15" s="457">
        <f t="shared" ca="1" si="1"/>
        <v>0</v>
      </c>
      <c r="M15" s="457">
        <f t="shared" si="1"/>
        <v>2156.4024337329233</v>
      </c>
      <c r="N15" s="457">
        <f t="shared" ca="1" si="1"/>
        <v>8338.2859430959325</v>
      </c>
      <c r="O15" s="457">
        <f t="shared" si="1"/>
        <v>81.293333333333337</v>
      </c>
      <c r="P15" s="457">
        <f t="shared" si="1"/>
        <v>305.06666666666666</v>
      </c>
      <c r="Q15" s="457">
        <f t="shared" ca="1" si="1"/>
        <v>248726.12840090119</v>
      </c>
    </row>
    <row r="17" spans="1:17">
      <c r="A17" s="460" t="s">
        <v>557</v>
      </c>
      <c r="B17" s="764">
        <f ca="1">huishoudens!B10</f>
        <v>0.21126253113606308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5097.4226612936436</v>
      </c>
      <c r="C22" s="447">
        <f t="shared" ref="C22:C32" ca="1" si="3">C4*$C$17</f>
        <v>0</v>
      </c>
      <c r="D22" s="447">
        <f t="shared" ref="D22:D32" si="4">D4*$D$17</f>
        <v>6717.3508375875135</v>
      </c>
      <c r="E22" s="447">
        <f t="shared" ref="E22:E32" si="5">E4*$E$17</f>
        <v>352.56146625697886</v>
      </c>
      <c r="F22" s="447">
        <f t="shared" ref="F22:F32" si="6">F4*$F$17</f>
        <v>12642.597633273699</v>
      </c>
      <c r="G22" s="447">
        <f t="shared" ref="G22:G32" si="7">G4*$G$17</f>
        <v>0</v>
      </c>
      <c r="H22" s="447">
        <f t="shared" ref="H22:H32" si="8">H4*$H$17</f>
        <v>0</v>
      </c>
      <c r="I22" s="447">
        <f t="shared" ref="I22:I32" si="9">I4*$I$17</f>
        <v>0</v>
      </c>
      <c r="J22" s="447">
        <f t="shared" ref="J22:J32" si="10">J4*$J$17</f>
        <v>304.1423864926125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25114.074984904444</v>
      </c>
    </row>
    <row r="23" spans="1:17">
      <c r="A23" s="446" t="s">
        <v>149</v>
      </c>
      <c r="B23" s="447">
        <f t="shared" ca="1" si="2"/>
        <v>3569.3088672557778</v>
      </c>
      <c r="C23" s="447">
        <f t="shared" ca="1" si="3"/>
        <v>0</v>
      </c>
      <c r="D23" s="447">
        <f t="shared" ca="1" si="4"/>
        <v>2411.0623845679715</v>
      </c>
      <c r="E23" s="447">
        <f t="shared" si="5"/>
        <v>42.431518662851246</v>
      </c>
      <c r="F23" s="447">
        <f t="shared" ca="1" si="6"/>
        <v>888.73062527598438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6911.5333957625853</v>
      </c>
    </row>
    <row r="24" spans="1:17">
      <c r="A24" s="446" t="s">
        <v>187</v>
      </c>
      <c r="B24" s="447">
        <f t="shared" ca="1" si="2"/>
        <v>193.28894877460024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193.28894877460024</v>
      </c>
    </row>
    <row r="25" spans="1:17">
      <c r="A25" s="446" t="s">
        <v>105</v>
      </c>
      <c r="B25" s="447">
        <f t="shared" ca="1" si="2"/>
        <v>81.021324442749489</v>
      </c>
      <c r="C25" s="447">
        <f t="shared" ca="1" si="3"/>
        <v>0</v>
      </c>
      <c r="D25" s="447">
        <f t="shared" si="4"/>
        <v>112.17901753061085</v>
      </c>
      <c r="E25" s="447">
        <f t="shared" si="5"/>
        <v>0.82013341842801291</v>
      </c>
      <c r="F25" s="447">
        <f t="shared" si="6"/>
        <v>334.15607672227878</v>
      </c>
      <c r="G25" s="447">
        <f t="shared" si="7"/>
        <v>0</v>
      </c>
      <c r="H25" s="447">
        <f t="shared" si="8"/>
        <v>0</v>
      </c>
      <c r="I25" s="447">
        <f t="shared" si="9"/>
        <v>0</v>
      </c>
      <c r="J25" s="447">
        <f t="shared" si="10"/>
        <v>16.794492998973023</v>
      </c>
      <c r="K25" s="447">
        <f t="shared" si="11"/>
        <v>0</v>
      </c>
      <c r="L25" s="447">
        <f t="shared" si="12"/>
        <v>0</v>
      </c>
      <c r="M25" s="447">
        <f t="shared" si="13"/>
        <v>0</v>
      </c>
      <c r="N25" s="447">
        <f t="shared" si="14"/>
        <v>0</v>
      </c>
      <c r="O25" s="447">
        <f t="shared" si="15"/>
        <v>0</v>
      </c>
      <c r="P25" s="448">
        <f t="shared" si="16"/>
        <v>0</v>
      </c>
      <c r="Q25" s="446">
        <f t="shared" ca="1" si="17"/>
        <v>544.97104511304019</v>
      </c>
    </row>
    <row r="26" spans="1:17">
      <c r="A26" s="446" t="s">
        <v>665</v>
      </c>
      <c r="B26" s="447">
        <f t="shared" ca="1" si="2"/>
        <v>3098.3958074962511</v>
      </c>
      <c r="C26" s="447">
        <f t="shared" ca="1" si="3"/>
        <v>0</v>
      </c>
      <c r="D26" s="447">
        <f t="shared" si="4"/>
        <v>5626.8484290828046</v>
      </c>
      <c r="E26" s="447">
        <f t="shared" si="5"/>
        <v>31.6234956963233</v>
      </c>
      <c r="F26" s="447">
        <f t="shared" si="6"/>
        <v>620.114616772153</v>
      </c>
      <c r="G26" s="447">
        <f t="shared" si="7"/>
        <v>0</v>
      </c>
      <c r="H26" s="447">
        <f t="shared" si="8"/>
        <v>0</v>
      </c>
      <c r="I26" s="447">
        <f t="shared" si="9"/>
        <v>0</v>
      </c>
      <c r="J26" s="447">
        <f t="shared" si="10"/>
        <v>4.1867304819177207</v>
      </c>
      <c r="K26" s="447">
        <f t="shared" si="11"/>
        <v>0</v>
      </c>
      <c r="L26" s="447">
        <f t="shared" si="12"/>
        <v>0</v>
      </c>
      <c r="M26" s="447">
        <f t="shared" si="13"/>
        <v>0</v>
      </c>
      <c r="N26" s="447">
        <f t="shared" si="14"/>
        <v>0</v>
      </c>
      <c r="O26" s="447">
        <f t="shared" si="15"/>
        <v>0</v>
      </c>
      <c r="P26" s="448">
        <f t="shared" si="16"/>
        <v>0</v>
      </c>
      <c r="Q26" s="446">
        <f t="shared" ca="1" si="17"/>
        <v>9381.1690795294489</v>
      </c>
    </row>
    <row r="27" spans="1:17" s="452" customFormat="1">
      <c r="A27" s="450" t="s">
        <v>562</v>
      </c>
      <c r="B27" s="758">
        <f t="shared" ca="1" si="2"/>
        <v>0.42738653739187288</v>
      </c>
      <c r="C27" s="451">
        <f t="shared" ca="1" si="3"/>
        <v>0</v>
      </c>
      <c r="D27" s="451">
        <f t="shared" si="4"/>
        <v>0.56581951796566543</v>
      </c>
      <c r="E27" s="451">
        <f t="shared" si="5"/>
        <v>40.193805987556082</v>
      </c>
      <c r="F27" s="451">
        <f t="shared" si="6"/>
        <v>0</v>
      </c>
      <c r="G27" s="451">
        <f t="shared" si="7"/>
        <v>10609.290645032215</v>
      </c>
      <c r="H27" s="451">
        <f t="shared" si="8"/>
        <v>1662.6626872676884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12313.140344342817</v>
      </c>
    </row>
    <row r="28" spans="1:17">
      <c r="A28" s="446" t="s">
        <v>552</v>
      </c>
      <c r="B28" s="447">
        <f t="shared" ca="1" si="2"/>
        <v>1.97710165002531</v>
      </c>
      <c r="C28" s="447">
        <f t="shared" ca="1" si="3"/>
        <v>0</v>
      </c>
      <c r="D28" s="447">
        <f t="shared" si="4"/>
        <v>0</v>
      </c>
      <c r="E28" s="447">
        <f t="shared" si="5"/>
        <v>0</v>
      </c>
      <c r="F28" s="447">
        <f t="shared" si="6"/>
        <v>0</v>
      </c>
      <c r="G28" s="447">
        <f t="shared" si="7"/>
        <v>498.37484635766907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500.35194800769438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162.75311683006009</v>
      </c>
      <c r="C32" s="447">
        <f t="shared" ca="1" si="3"/>
        <v>0</v>
      </c>
      <c r="D32" s="447">
        <f t="shared" si="4"/>
        <v>194.02608871531277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356.77920554537286</v>
      </c>
    </row>
    <row r="33" spans="1:17" s="459" customFormat="1">
      <c r="A33" s="456" t="s">
        <v>556</v>
      </c>
      <c r="B33" s="457">
        <f ca="1">SUM(B22:B32)</f>
        <v>12204.5952142805</v>
      </c>
      <c r="C33" s="457">
        <f t="shared" ref="C33:Q33" ca="1" si="18">SUM(C22:C32)</f>
        <v>0</v>
      </c>
      <c r="D33" s="457">
        <f t="shared" ca="1" si="18"/>
        <v>15062.032577002179</v>
      </c>
      <c r="E33" s="457">
        <f t="shared" si="18"/>
        <v>467.63042002213746</v>
      </c>
      <c r="F33" s="457">
        <f t="shared" ca="1" si="18"/>
        <v>14485.598952044114</v>
      </c>
      <c r="G33" s="457">
        <f t="shared" si="18"/>
        <v>11107.665491389884</v>
      </c>
      <c r="H33" s="457">
        <f t="shared" si="18"/>
        <v>1662.6626872676884</v>
      </c>
      <c r="I33" s="457">
        <f t="shared" si="18"/>
        <v>0</v>
      </c>
      <c r="J33" s="457">
        <f t="shared" si="18"/>
        <v>325.12360997350322</v>
      </c>
      <c r="K33" s="457">
        <f t="shared" si="18"/>
        <v>0</v>
      </c>
      <c r="L33" s="457">
        <f t="shared" ca="1" si="18"/>
        <v>0</v>
      </c>
      <c r="M33" s="457">
        <f t="shared" si="18"/>
        <v>0</v>
      </c>
      <c r="N33" s="457">
        <f t="shared" ca="1" si="18"/>
        <v>0</v>
      </c>
      <c r="O33" s="457">
        <f t="shared" si="18"/>
        <v>0</v>
      </c>
      <c r="P33" s="457">
        <f t="shared" si="18"/>
        <v>0</v>
      </c>
      <c r="Q33" s="457">
        <f t="shared" ca="1" si="18"/>
        <v>55315.308951979998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111</v>
      </c>
      <c r="C5" s="1013"/>
      <c r="D5" s="1013"/>
      <c r="E5" s="1013"/>
      <c r="F5" s="1013"/>
      <c r="G5" s="1013"/>
      <c r="H5" s="1013"/>
      <c r="I5" s="1013"/>
      <c r="J5" s="1013"/>
      <c r="K5" s="1013"/>
      <c r="L5" s="1013"/>
      <c r="M5" s="1013"/>
      <c r="N5" s="1013"/>
      <c r="O5" s="1013"/>
      <c r="P5" s="1014">
        <f>'SEAP template'!Q73</f>
        <v>0</v>
      </c>
    </row>
    <row r="6" spans="1:16">
      <c r="A6" s="1015" t="s">
        <v>240</v>
      </c>
      <c r="B6" s="1013">
        <f>'SEAP template'!B74</f>
        <v>2434.3922029511373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2545.3922029511373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0.21126253113606308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0.21126253113606308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0.21126253113606308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0.21126253113606308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4731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484</v>
      </c>
      <c r="C14" s="327"/>
      <c r="D14" s="327"/>
      <c r="E14" s="327"/>
      <c r="F14" s="327"/>
    </row>
    <row r="15" spans="1:6">
      <c r="A15" s="1293" t="s">
        <v>177</v>
      </c>
      <c r="B15" s="1294">
        <v>4</v>
      </c>
      <c r="C15" s="327"/>
      <c r="D15" s="327"/>
      <c r="E15" s="327"/>
      <c r="F15" s="327"/>
    </row>
    <row r="16" spans="1:6">
      <c r="A16" s="1293" t="s">
        <v>6</v>
      </c>
      <c r="B16" s="1294">
        <v>114</v>
      </c>
      <c r="C16" s="327"/>
      <c r="D16" s="327"/>
      <c r="E16" s="327"/>
      <c r="F16" s="327"/>
    </row>
    <row r="17" spans="1:6">
      <c r="A17" s="1293" t="s">
        <v>7</v>
      </c>
      <c r="B17" s="1294">
        <v>79</v>
      </c>
      <c r="C17" s="327"/>
      <c r="D17" s="327"/>
      <c r="E17" s="327"/>
      <c r="F17" s="327"/>
    </row>
    <row r="18" spans="1:6">
      <c r="A18" s="1293" t="s">
        <v>8</v>
      </c>
      <c r="B18" s="1294">
        <v>104</v>
      </c>
      <c r="C18" s="327"/>
      <c r="D18" s="327"/>
      <c r="E18" s="327"/>
      <c r="F18" s="327"/>
    </row>
    <row r="19" spans="1:6">
      <c r="A19" s="1293" t="s">
        <v>9</v>
      </c>
      <c r="B19" s="1294">
        <v>78</v>
      </c>
      <c r="C19" s="327"/>
      <c r="D19" s="327"/>
      <c r="E19" s="327"/>
      <c r="F19" s="327"/>
    </row>
    <row r="20" spans="1:6">
      <c r="A20" s="1293" t="s">
        <v>10</v>
      </c>
      <c r="B20" s="1294">
        <v>91</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100</v>
      </c>
      <c r="C26" s="327"/>
      <c r="D26" s="327"/>
      <c r="E26" s="327"/>
      <c r="F26" s="327"/>
    </row>
    <row r="27" spans="1:6">
      <c r="A27" s="1293" t="s">
        <v>17</v>
      </c>
      <c r="B27" s="1294">
        <v>2</v>
      </c>
      <c r="C27" s="327"/>
      <c r="D27" s="327"/>
      <c r="E27" s="327"/>
      <c r="F27" s="327"/>
    </row>
    <row r="28" spans="1:6">
      <c r="A28" s="1293" t="s">
        <v>18</v>
      </c>
      <c r="B28" s="1295">
        <v>0</v>
      </c>
      <c r="C28" s="327"/>
      <c r="D28" s="327"/>
      <c r="E28" s="327"/>
      <c r="F28" s="327"/>
    </row>
    <row r="29" spans="1:6">
      <c r="A29" s="1293" t="s">
        <v>955</v>
      </c>
      <c r="B29" s="1295">
        <v>16</v>
      </c>
      <c r="C29" s="327"/>
      <c r="D29" s="327"/>
      <c r="E29" s="327"/>
      <c r="F29" s="327"/>
    </row>
    <row r="30" spans="1:6">
      <c r="A30" s="1288" t="s">
        <v>956</v>
      </c>
      <c r="B30" s="1296">
        <v>26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9082.6980320539005</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6152.1298783817001</v>
      </c>
    </row>
    <row r="39" spans="1:6">
      <c r="A39" s="1293" t="s">
        <v>29</v>
      </c>
      <c r="B39" s="1293" t="s">
        <v>30</v>
      </c>
      <c r="C39" s="1294">
        <v>1822</v>
      </c>
      <c r="D39" s="1294">
        <v>36867197.413819201</v>
      </c>
      <c r="E39" s="1294">
        <v>4459</v>
      </c>
      <c r="F39" s="1294">
        <v>22016591.773491301</v>
      </c>
    </row>
    <row r="40" spans="1:6">
      <c r="A40" s="1293" t="s">
        <v>29</v>
      </c>
      <c r="B40" s="1293" t="s">
        <v>28</v>
      </c>
      <c r="C40" s="1294">
        <v>0</v>
      </c>
      <c r="D40" s="1294">
        <v>0</v>
      </c>
      <c r="E40" s="1294">
        <v>0</v>
      </c>
      <c r="F40" s="1294">
        <v>0</v>
      </c>
    </row>
    <row r="41" spans="1:6">
      <c r="A41" s="1293" t="s">
        <v>31</v>
      </c>
      <c r="B41" s="1293" t="s">
        <v>32</v>
      </c>
      <c r="C41" s="1294">
        <v>5</v>
      </c>
      <c r="D41" s="1294">
        <v>138475.85375169199</v>
      </c>
      <c r="E41" s="1294">
        <v>41</v>
      </c>
      <c r="F41" s="1294">
        <v>721254.86650469003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30743658.6168571</v>
      </c>
      <c r="E48" s="1294">
        <v>54</v>
      </c>
      <c r="F48" s="1294">
        <v>2329181.10237973</v>
      </c>
    </row>
    <row r="49" spans="1:6">
      <c r="A49" s="1293" t="s">
        <v>31</v>
      </c>
      <c r="B49" s="1293" t="s">
        <v>39</v>
      </c>
      <c r="C49" s="1294">
        <v>0</v>
      </c>
      <c r="D49" s="1294">
        <v>0</v>
      </c>
      <c r="E49" s="1294">
        <v>0</v>
      </c>
      <c r="F49" s="1294">
        <v>0</v>
      </c>
    </row>
    <row r="50" spans="1:6">
      <c r="A50" s="1293" t="s">
        <v>31</v>
      </c>
      <c r="B50" s="1293" t="s">
        <v>40</v>
      </c>
      <c r="C50" s="1294">
        <v>0</v>
      </c>
      <c r="D50" s="1294">
        <v>0</v>
      </c>
      <c r="E50" s="1294">
        <v>8</v>
      </c>
      <c r="F50" s="1294">
        <v>11615656.455714701</v>
      </c>
    </row>
    <row r="51" spans="1:6">
      <c r="A51" s="1293" t="s">
        <v>41</v>
      </c>
      <c r="B51" s="1293" t="s">
        <v>42</v>
      </c>
      <c r="C51" s="1294">
        <v>0</v>
      </c>
      <c r="D51" s="1294">
        <v>0</v>
      </c>
      <c r="E51" s="1294">
        <v>6</v>
      </c>
      <c r="F51" s="1294">
        <v>30287.400039968801</v>
      </c>
    </row>
    <row r="52" spans="1:6">
      <c r="A52" s="1293" t="s">
        <v>41</v>
      </c>
      <c r="B52" s="1293" t="s">
        <v>28</v>
      </c>
      <c r="C52" s="1294">
        <v>3</v>
      </c>
      <c r="D52" s="1294">
        <v>615678.12743194902</v>
      </c>
      <c r="E52" s="1294">
        <v>11</v>
      </c>
      <c r="F52" s="1294">
        <v>353222.747296891</v>
      </c>
    </row>
    <row r="53" spans="1:6">
      <c r="A53" s="1293" t="s">
        <v>43</v>
      </c>
      <c r="B53" s="1293" t="s">
        <v>44</v>
      </c>
      <c r="C53" s="1294">
        <v>46</v>
      </c>
      <c r="D53" s="1294">
        <v>960525.19165996404</v>
      </c>
      <c r="E53" s="1294">
        <v>112</v>
      </c>
      <c r="F53" s="1294">
        <v>770383.25705394195</v>
      </c>
    </row>
    <row r="54" spans="1:6">
      <c r="A54" s="1293" t="s">
        <v>45</v>
      </c>
      <c r="B54" s="1293" t="s">
        <v>46</v>
      </c>
      <c r="C54" s="1294">
        <v>0</v>
      </c>
      <c r="D54" s="1294">
        <v>0</v>
      </c>
      <c r="E54" s="1294">
        <v>1</v>
      </c>
      <c r="F54" s="1294">
        <v>914923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v>
      </c>
      <c r="D57" s="1294">
        <v>214492.09608119199</v>
      </c>
      <c r="E57" s="1294">
        <v>27</v>
      </c>
      <c r="F57" s="1294">
        <v>272729.925002656</v>
      </c>
    </row>
    <row r="58" spans="1:6">
      <c r="A58" s="1293" t="s">
        <v>48</v>
      </c>
      <c r="B58" s="1293" t="s">
        <v>50</v>
      </c>
      <c r="C58" s="1294">
        <v>0</v>
      </c>
      <c r="D58" s="1294">
        <v>0</v>
      </c>
      <c r="E58" s="1294">
        <v>4</v>
      </c>
      <c r="F58" s="1294">
        <v>32305.499008716899</v>
      </c>
    </row>
    <row r="59" spans="1:6">
      <c r="A59" s="1293" t="s">
        <v>48</v>
      </c>
      <c r="B59" s="1293" t="s">
        <v>51</v>
      </c>
      <c r="C59" s="1294">
        <v>23</v>
      </c>
      <c r="D59" s="1294">
        <v>2182190.71135162</v>
      </c>
      <c r="E59" s="1294">
        <v>104</v>
      </c>
      <c r="F59" s="1294">
        <v>4221728.3202556297</v>
      </c>
    </row>
    <row r="60" spans="1:6">
      <c r="A60" s="1293" t="s">
        <v>48</v>
      </c>
      <c r="B60" s="1293" t="s">
        <v>52</v>
      </c>
      <c r="C60" s="1294">
        <v>16</v>
      </c>
      <c r="D60" s="1294">
        <v>829065.15288901003</v>
      </c>
      <c r="E60" s="1294">
        <v>42</v>
      </c>
      <c r="F60" s="1294">
        <v>1534551.3786794001</v>
      </c>
    </row>
    <row r="61" spans="1:6">
      <c r="A61" s="1293" t="s">
        <v>48</v>
      </c>
      <c r="B61" s="1293" t="s">
        <v>53</v>
      </c>
      <c r="C61" s="1294">
        <v>35</v>
      </c>
      <c r="D61" s="1294">
        <v>2548505.8066583299</v>
      </c>
      <c r="E61" s="1294">
        <v>147</v>
      </c>
      <c r="F61" s="1294">
        <v>1616592.8992746901</v>
      </c>
    </row>
    <row r="62" spans="1:6">
      <c r="A62" s="1293" t="s">
        <v>48</v>
      </c>
      <c r="B62" s="1293" t="s">
        <v>54</v>
      </c>
      <c r="C62" s="1294">
        <v>0</v>
      </c>
      <c r="D62" s="1294">
        <v>0</v>
      </c>
      <c r="E62" s="1294">
        <v>0</v>
      </c>
      <c r="F62" s="1294">
        <v>0</v>
      </c>
    </row>
    <row r="63" spans="1:6">
      <c r="A63" s="1293" t="s">
        <v>48</v>
      </c>
      <c r="B63" s="1293" t="s">
        <v>28</v>
      </c>
      <c r="C63" s="1294">
        <v>103</v>
      </c>
      <c r="D63" s="1294">
        <v>7458509.42465105</v>
      </c>
      <c r="E63" s="1294">
        <v>175</v>
      </c>
      <c r="F63" s="1294">
        <v>9217226.425245</v>
      </c>
    </row>
    <row r="64" spans="1:6">
      <c r="A64" s="1293" t="s">
        <v>55</v>
      </c>
      <c r="B64" s="1293" t="s">
        <v>56</v>
      </c>
      <c r="C64" s="1294">
        <v>0</v>
      </c>
      <c r="D64" s="1294">
        <v>0</v>
      </c>
      <c r="E64" s="1294">
        <v>0</v>
      </c>
      <c r="F64" s="1294">
        <v>0</v>
      </c>
    </row>
    <row r="65" spans="1:6">
      <c r="A65" s="1293" t="s">
        <v>55</v>
      </c>
      <c r="B65" s="1293" t="s">
        <v>28</v>
      </c>
      <c r="C65" s="1294">
        <v>3</v>
      </c>
      <c r="D65" s="1294">
        <v>86656.600191723293</v>
      </c>
      <c r="E65" s="1294">
        <v>2</v>
      </c>
      <c r="F65" s="1294">
        <v>61584.783062187897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8</v>
      </c>
      <c r="F68" s="1296">
        <v>120584.322162543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31553888</v>
      </c>
      <c r="E73" s="445"/>
      <c r="F73" s="327"/>
    </row>
    <row r="74" spans="1:6">
      <c r="A74" s="1293" t="s">
        <v>63</v>
      </c>
      <c r="B74" s="1293" t="s">
        <v>749</v>
      </c>
      <c r="C74" s="1306" t="s">
        <v>743</v>
      </c>
      <c r="D74" s="1294">
        <v>3520007.8815853121</v>
      </c>
      <c r="E74" s="445"/>
      <c r="F74" s="327"/>
    </row>
    <row r="75" spans="1:6">
      <c r="A75" s="1293" t="s">
        <v>64</v>
      </c>
      <c r="B75" s="1293" t="s">
        <v>748</v>
      </c>
      <c r="C75" s="1306" t="s">
        <v>744</v>
      </c>
      <c r="D75" s="1294">
        <v>17658584</v>
      </c>
      <c r="E75" s="445"/>
      <c r="F75" s="327"/>
    </row>
    <row r="76" spans="1:6">
      <c r="A76" s="1293" t="s">
        <v>64</v>
      </c>
      <c r="B76" s="1293" t="s">
        <v>749</v>
      </c>
      <c r="C76" s="1306" t="s">
        <v>745</v>
      </c>
      <c r="D76" s="1294">
        <v>988781.88158531219</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515588.23682937562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111</v>
      </c>
      <c r="C89" s="327"/>
      <c r="D89" s="327"/>
      <c r="E89" s="327"/>
      <c r="F89" s="327"/>
    </row>
    <row r="90" spans="1:6">
      <c r="A90" s="1293" t="s">
        <v>550</v>
      </c>
      <c r="B90" s="1294">
        <v>0</v>
      </c>
      <c r="C90" s="327"/>
      <c r="D90" s="327"/>
      <c r="E90" s="327"/>
      <c r="F90" s="327"/>
    </row>
    <row r="91" spans="1:6">
      <c r="A91" s="1293" t="s">
        <v>67</v>
      </c>
      <c r="B91" s="1294">
        <v>2111.7883698416485</v>
      </c>
      <c r="C91" s="327"/>
      <c r="D91" s="327"/>
      <c r="E91" s="327"/>
      <c r="F91" s="327"/>
    </row>
    <row r="92" spans="1:6">
      <c r="A92" s="1288" t="s">
        <v>68</v>
      </c>
      <c r="B92" s="1289">
        <v>322.6038331094889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711</v>
      </c>
      <c r="C97" s="327"/>
      <c r="D97" s="327"/>
      <c r="E97" s="327"/>
      <c r="F97" s="327"/>
    </row>
    <row r="98" spans="1:6">
      <c r="A98" s="1293" t="s">
        <v>71</v>
      </c>
      <c r="B98" s="1294">
        <v>4</v>
      </c>
      <c r="C98" s="327"/>
      <c r="D98" s="327"/>
      <c r="E98" s="327"/>
      <c r="F98" s="327"/>
    </row>
    <row r="99" spans="1:6">
      <c r="A99" s="1293" t="s">
        <v>72</v>
      </c>
      <c r="B99" s="1294">
        <v>119</v>
      </c>
      <c r="C99" s="327"/>
      <c r="D99" s="327"/>
      <c r="E99" s="327"/>
      <c r="F99" s="327"/>
    </row>
    <row r="100" spans="1:6">
      <c r="A100" s="1293" t="s">
        <v>73</v>
      </c>
      <c r="B100" s="1294">
        <v>440</v>
      </c>
      <c r="C100" s="327"/>
      <c r="D100" s="327"/>
      <c r="E100" s="327"/>
      <c r="F100" s="327"/>
    </row>
    <row r="101" spans="1:6">
      <c r="A101" s="1293" t="s">
        <v>74</v>
      </c>
      <c r="B101" s="1294">
        <v>26</v>
      </c>
      <c r="C101" s="327"/>
      <c r="D101" s="327"/>
      <c r="E101" s="327"/>
      <c r="F101" s="327"/>
    </row>
    <row r="102" spans="1:6">
      <c r="A102" s="1293" t="s">
        <v>75</v>
      </c>
      <c r="B102" s="1294">
        <v>57</v>
      </c>
      <c r="C102" s="327"/>
      <c r="D102" s="327"/>
      <c r="E102" s="327"/>
      <c r="F102" s="327"/>
    </row>
    <row r="103" spans="1:6">
      <c r="A103" s="1293" t="s">
        <v>76</v>
      </c>
      <c r="B103" s="1294">
        <v>100</v>
      </c>
      <c r="C103" s="327"/>
      <c r="D103" s="327"/>
      <c r="E103" s="327"/>
      <c r="F103" s="327"/>
    </row>
    <row r="104" spans="1:6">
      <c r="A104" s="1293" t="s">
        <v>77</v>
      </c>
      <c r="B104" s="1294">
        <v>2747</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44</v>
      </c>
      <c r="C129" s="327"/>
      <c r="D129" s="327"/>
      <c r="E129" s="327"/>
      <c r="F129" s="327"/>
    </row>
    <row r="130" spans="1:6">
      <c r="A130" s="1293" t="s">
        <v>284</v>
      </c>
      <c r="B130" s="1294">
        <v>1</v>
      </c>
      <c r="C130" s="327"/>
      <c r="D130" s="327"/>
      <c r="E130" s="327"/>
      <c r="F130" s="327"/>
    </row>
    <row r="131" spans="1:6">
      <c r="A131" s="1293" t="s">
        <v>285</v>
      </c>
      <c r="B131" s="1294">
        <v>2</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57769.804937252033</v>
      </c>
      <c r="C3" s="44" t="s">
        <v>163</v>
      </c>
      <c r="D3" s="44"/>
      <c r="E3" s="157"/>
      <c r="F3" s="44"/>
      <c r="G3" s="44"/>
      <c r="H3" s="44"/>
      <c r="I3" s="44"/>
      <c r="J3" s="44"/>
      <c r="K3" s="97"/>
    </row>
    <row r="4" spans="1:11">
      <c r="A4" s="352" t="s">
        <v>164</v>
      </c>
      <c r="B4" s="50">
        <f>IF(ISERROR('SEAP template'!B78+'SEAP template'!C78),0,'SEAP template'!B78+'SEAP template'!C78)</f>
        <v>2545.3922029511373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0.21126253113606308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914.923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914.923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0.21126253113606308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193.28894877460024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22016.591773491302</v>
      </c>
      <c r="C5" s="18">
        <f>IF(ISERROR('Eigen informatie GS &amp; warmtenet'!B57),0,'Eigen informatie GS &amp; warmtenet'!B57)</f>
        <v>0</v>
      </c>
      <c r="D5" s="31">
        <f>(SUM(HH_hh_gas_kWh,HH_rest_gas_kWh)/1000)*0.902</f>
        <v>33254.212067264918</v>
      </c>
      <c r="E5" s="18">
        <f>B32*B41</f>
        <v>1553.1342125858098</v>
      </c>
      <c r="F5" s="18">
        <f>B36*B45</f>
        <v>47350.55293360936</v>
      </c>
      <c r="G5" s="19"/>
      <c r="H5" s="18"/>
      <c r="I5" s="18"/>
      <c r="J5" s="18">
        <f>B35*B44+C35*C44</f>
        <v>859.15928387743656</v>
      </c>
      <c r="K5" s="18"/>
      <c r="L5" s="18"/>
      <c r="M5" s="18"/>
      <c r="N5" s="18">
        <f>B34*B43+C34*C43</f>
        <v>7254.8071716068362</v>
      </c>
      <c r="O5" s="18">
        <f>B52*B53*B54</f>
        <v>79.73</v>
      </c>
      <c r="P5" s="18">
        <f>B60*B61*B62/1000-B60*B61*B62/1000/B63</f>
        <v>266.93333333333334</v>
      </c>
    </row>
    <row r="6" spans="1:16">
      <c r="A6" s="17" t="s">
        <v>622</v>
      </c>
      <c r="B6" s="766">
        <f>kWh_PV_kleiner_dan_10kW</f>
        <v>2111.7883698416485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24128.38014333295</v>
      </c>
      <c r="C8" s="22">
        <f>C5</f>
        <v>0</v>
      </c>
      <c r="D8" s="22">
        <f>D5</f>
        <v>33254.212067264918</v>
      </c>
      <c r="E8" s="22">
        <f>E5</f>
        <v>1553.1342125858098</v>
      </c>
      <c r="F8" s="22">
        <f>F5</f>
        <v>47350.55293360936</v>
      </c>
      <c r="G8" s="22"/>
      <c r="H8" s="22"/>
      <c r="I8" s="22"/>
      <c r="J8" s="22">
        <f>J5</f>
        <v>859.15928387743656</v>
      </c>
      <c r="K8" s="22"/>
      <c r="L8" s="22">
        <f>L5</f>
        <v>0</v>
      </c>
      <c r="M8" s="22">
        <f>M5</f>
        <v>0</v>
      </c>
      <c r="N8" s="22">
        <f>N5</f>
        <v>7254.8071716068362</v>
      </c>
      <c r="O8" s="22">
        <f>O5</f>
        <v>79.73</v>
      </c>
      <c r="P8" s="22">
        <f>P5</f>
        <v>266.93333333333334</v>
      </c>
    </row>
    <row r="9" spans="1:16">
      <c r="B9" s="20"/>
      <c r="C9" s="20"/>
      <c r="D9" s="258"/>
      <c r="E9" s="20"/>
      <c r="F9" s="20"/>
      <c r="G9" s="20"/>
      <c r="H9" s="20"/>
      <c r="I9" s="20"/>
      <c r="J9" s="20"/>
      <c r="K9" s="20"/>
      <c r="L9" s="20"/>
      <c r="M9" s="20"/>
      <c r="N9" s="20"/>
      <c r="O9" s="20"/>
      <c r="P9" s="20"/>
    </row>
    <row r="10" spans="1:16">
      <c r="A10" s="25" t="s">
        <v>207</v>
      </c>
      <c r="B10" s="26">
        <f ca="1">'EF ele_warmte'!B12</f>
        <v>0.21126253113606308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5097.4226612936436</v>
      </c>
      <c r="C12" s="24">
        <f ca="1">C10*C8</f>
        <v>0</v>
      </c>
      <c r="D12" s="24">
        <f>D8*D10</f>
        <v>6717.3508375875135</v>
      </c>
      <c r="E12" s="24">
        <f>E10*E8</f>
        <v>352.56146625697886</v>
      </c>
      <c r="F12" s="24">
        <f>F10*F8</f>
        <v>12642.597633273699</v>
      </c>
      <c r="G12" s="24"/>
      <c r="H12" s="24"/>
      <c r="I12" s="24"/>
      <c r="J12" s="24">
        <f>J10*J8</f>
        <v>304.1423864926125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4731</v>
      </c>
      <c r="C26" s="37"/>
      <c r="D26" s="228"/>
    </row>
    <row r="27" spans="1:5" s="16" customFormat="1">
      <c r="A27" s="230" t="s">
        <v>648</v>
      </c>
      <c r="B27" s="38">
        <f>SUM(HH_hh_gas_aantal,HH_rest_gas_aantal)</f>
        <v>1822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1730.9</v>
      </c>
      <c r="C31" s="35" t="s">
        <v>104</v>
      </c>
      <c r="D31" s="174"/>
    </row>
    <row r="32" spans="1:5">
      <c r="A32" s="171" t="s">
        <v>72</v>
      </c>
      <c r="B32" s="34">
        <f>IF((B21*($B$26-($B$27-0.05*$B$27)-$B$60))&lt;0,0,B21*($B$26-($B$27-0.05*$B$27)-$B$60))</f>
        <v>73.384394610205931</v>
      </c>
      <c r="C32" s="35" t="s">
        <v>104</v>
      </c>
      <c r="D32" s="174"/>
    </row>
    <row r="33" spans="1:6">
      <c r="A33" s="171" t="s">
        <v>73</v>
      </c>
      <c r="B33" s="34">
        <f>IF((B22*($B$26-($B$27-0.05*$B$27)-$B$60))&lt;0,0,B22*($B$26-($B$27-0.05*$B$27)-$B$60))</f>
        <v>493.96304384382137</v>
      </c>
      <c r="C33" s="35" t="s">
        <v>104</v>
      </c>
      <c r="D33" s="174"/>
    </row>
    <row r="34" spans="1:6">
      <c r="A34" s="171" t="s">
        <v>74</v>
      </c>
      <c r="B34" s="34">
        <f>IF((B24*($B$26-($B$27-0.05*$B$27)-$B$60))&lt;0,0,B24*($B$26-($B$27-0.05*$B$27)-$B$60))</f>
        <v>125.27943971634029</v>
      </c>
      <c r="C34" s="34">
        <f>B26*C24</f>
        <v>967.50051220238083</v>
      </c>
      <c r="D34" s="233"/>
    </row>
    <row r="35" spans="1:6">
      <c r="A35" s="171" t="s">
        <v>76</v>
      </c>
      <c r="B35" s="34">
        <f>IF((B19*($B$26-($B$27-0.05*$B$27)-$B$60))&lt;0,0,B19*($B$26-($B$27-0.05*$B$27)-$B$60))</f>
        <v>46.574931106004158</v>
      </c>
      <c r="C35" s="34">
        <f>B35/2</f>
        <v>23.287465553002079</v>
      </c>
      <c r="D35" s="233"/>
    </row>
    <row r="36" spans="1:6">
      <c r="A36" s="171" t="s">
        <v>77</v>
      </c>
      <c r="B36" s="34">
        <f>IF((B18*($B$26-($B$27-0.05*$B$27)-$B$60))&lt;0,0,B18*($B$26-($B$27-0.05*$B$27)-$B$60))</f>
        <v>2246.8981907236275</v>
      </c>
      <c r="C36" s="35" t="s">
        <v>104</v>
      </c>
      <c r="D36" s="174"/>
    </row>
    <row r="37" spans="1:6">
      <c r="A37" s="171" t="s">
        <v>78</v>
      </c>
      <c r="B37" s="34">
        <f>B60</f>
        <v>14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16895.134447466095</v>
      </c>
      <c r="C5" s="18">
        <f>IF(ISERROR('Eigen informatie GS &amp; warmtenet'!B58),0,'Eigen informatie GS &amp; warmtenet'!B58)</f>
        <v>0</v>
      </c>
      <c r="D5" s="31">
        <f>SUM(D6:D12)</f>
        <v>11935.952398851343</v>
      </c>
      <c r="E5" s="18">
        <f>SUM(E6:E12)</f>
        <v>186.92298970419051</v>
      </c>
      <c r="F5" s="18">
        <f>SUM(F6:F12)</f>
        <v>3328.5791208838364</v>
      </c>
      <c r="G5" s="19"/>
      <c r="H5" s="18"/>
      <c r="I5" s="18"/>
      <c r="J5" s="18">
        <f>SUM(J6:J12)</f>
        <v>0</v>
      </c>
      <c r="K5" s="18"/>
      <c r="L5" s="18"/>
      <c r="M5" s="18"/>
      <c r="N5" s="18">
        <f>SUM(N6:N12)</f>
        <v>785.33252747022368</v>
      </c>
      <c r="O5" s="18">
        <f>B38*B39*B40</f>
        <v>1.5633333333333335</v>
      </c>
      <c r="P5" s="18">
        <f>B46*B47*B48/1000-B46*B47*B48/1000/B49</f>
        <v>38.133333333333333</v>
      </c>
      <c r="R5" s="33"/>
    </row>
    <row r="6" spans="1:18">
      <c r="A6" s="33" t="s">
        <v>53</v>
      </c>
      <c r="B6" s="38">
        <f>B26</f>
        <v>1616.5928992746901</v>
      </c>
      <c r="C6" s="34"/>
      <c r="D6" s="38">
        <f>IF(ISERROR(TER_kantoor_gas_kWh/1000),0,TER_kantoor_gas_kWh/1000)*0.902</f>
        <v>2298.7522376058137</v>
      </c>
      <c r="E6" s="34">
        <f>$C$26*'E Balans VL '!I12/100/3.6*1000000</f>
        <v>2.6531565920480809</v>
      </c>
      <c r="F6" s="34">
        <f>$C$26*('E Balans VL '!L12+'E Balans VL '!N12)/100/3.6*1000000</f>
        <v>190.5582664591135</v>
      </c>
      <c r="G6" s="35"/>
      <c r="H6" s="34"/>
      <c r="I6" s="34"/>
      <c r="J6" s="34">
        <f>$C$26*('E Balans VL '!D12+'E Balans VL '!E12)/100/3.6*1000000</f>
        <v>0</v>
      </c>
      <c r="K6" s="34"/>
      <c r="L6" s="34"/>
      <c r="M6" s="34"/>
      <c r="N6" s="34">
        <f>$C$26*'E Balans VL '!Y12/100/3.6*1000000</f>
        <v>0.32662494010436227</v>
      </c>
      <c r="O6" s="34"/>
      <c r="P6" s="34"/>
      <c r="R6" s="33"/>
    </row>
    <row r="7" spans="1:18">
      <c r="A7" s="33" t="s">
        <v>52</v>
      </c>
      <c r="B7" s="38">
        <f t="shared" ref="B7:B12" si="0">B27</f>
        <v>1534.5513786794002</v>
      </c>
      <c r="C7" s="34"/>
      <c r="D7" s="38">
        <f>IF(ISERROR(TER_horeca_gas_kWh/1000),0,TER_horeca_gas_kWh/1000)*0.902</f>
        <v>747.8167679058871</v>
      </c>
      <c r="E7" s="34">
        <f>$C$27*'E Balans VL '!I9/100/3.6*1000000</f>
        <v>79.632112302062595</v>
      </c>
      <c r="F7" s="34">
        <f>$C$27*('E Balans VL '!L9+'E Balans VL '!N9)/100/3.6*1000000</f>
        <v>350.1857380906381</v>
      </c>
      <c r="G7" s="35"/>
      <c r="H7" s="34"/>
      <c r="I7" s="34"/>
      <c r="J7" s="34">
        <f>$C$27*('E Balans VL '!D9+'E Balans VL '!E9)/100/3.6*1000000</f>
        <v>0</v>
      </c>
      <c r="K7" s="34"/>
      <c r="L7" s="34"/>
      <c r="M7" s="34"/>
      <c r="N7" s="34">
        <f>$C$27*'E Balans VL '!Y9/100/3.6*1000000</f>
        <v>0.16204792234969492</v>
      </c>
      <c r="O7" s="34"/>
      <c r="P7" s="34"/>
      <c r="R7" s="33"/>
    </row>
    <row r="8" spans="1:18">
      <c r="A8" s="6" t="s">
        <v>51</v>
      </c>
      <c r="B8" s="38">
        <f t="shared" si="0"/>
        <v>4221.72832025563</v>
      </c>
      <c r="C8" s="34"/>
      <c r="D8" s="38">
        <f>IF(ISERROR(TER_handel_gas_kWh/1000),0,TER_handel_gas_kWh/1000)*0.902</f>
        <v>1968.3360216391613</v>
      </c>
      <c r="E8" s="34">
        <f>$C$28*'E Balans VL '!I13/100/3.6*1000000</f>
        <v>22.734525786035498</v>
      </c>
      <c r="F8" s="34">
        <f>$C$28*('E Balans VL '!L13+'E Balans VL '!N13)/100/3.6*1000000</f>
        <v>860.93586296616297</v>
      </c>
      <c r="G8" s="35"/>
      <c r="H8" s="34"/>
      <c r="I8" s="34"/>
      <c r="J8" s="34">
        <f>$C$28*('E Balans VL '!D13+'E Balans VL '!E13)/100/3.6*1000000</f>
        <v>0</v>
      </c>
      <c r="K8" s="34"/>
      <c r="L8" s="34"/>
      <c r="M8" s="34"/>
      <c r="N8" s="34">
        <f>$C$28*'E Balans VL '!Y13/100/3.6*1000000</f>
        <v>20.99242550577981</v>
      </c>
      <c r="O8" s="34"/>
      <c r="P8" s="34"/>
      <c r="R8" s="33"/>
    </row>
    <row r="9" spans="1:18">
      <c r="A9" s="33" t="s">
        <v>50</v>
      </c>
      <c r="B9" s="38">
        <f t="shared" si="0"/>
        <v>32.3054990087169</v>
      </c>
      <c r="C9" s="34"/>
      <c r="D9" s="38">
        <f>IF(ISERROR(TER_gezond_gas_kWh/1000),0,TER_gezond_gas_kWh/1000)*0.902</f>
        <v>0</v>
      </c>
      <c r="E9" s="34">
        <f>$C$29*'E Balans VL '!I10/100/3.6*1000000</f>
        <v>3.2015116894252738E-2</v>
      </c>
      <c r="F9" s="34">
        <f>$C$29*('E Balans VL '!L10+'E Balans VL '!N10)/100/3.6*1000000</f>
        <v>11.209076985739587</v>
      </c>
      <c r="G9" s="35"/>
      <c r="H9" s="34"/>
      <c r="I9" s="34"/>
      <c r="J9" s="34">
        <f>$C$29*('E Balans VL '!D10+'E Balans VL '!E10)/100/3.6*1000000</f>
        <v>0</v>
      </c>
      <c r="K9" s="34"/>
      <c r="L9" s="34"/>
      <c r="M9" s="34"/>
      <c r="N9" s="34">
        <f>$C$29*'E Balans VL '!Y10/100/3.6*1000000</f>
        <v>0.27837368634615178</v>
      </c>
      <c r="O9" s="34"/>
      <c r="P9" s="34"/>
      <c r="R9" s="33"/>
    </row>
    <row r="10" spans="1:18">
      <c r="A10" s="33" t="s">
        <v>49</v>
      </c>
      <c r="B10" s="38">
        <f t="shared" si="0"/>
        <v>272.72992500265599</v>
      </c>
      <c r="C10" s="34"/>
      <c r="D10" s="38">
        <f>IF(ISERROR(TER_ander_gas_kWh/1000),0,TER_ander_gas_kWh/1000)*0.902</f>
        <v>193.47187066523517</v>
      </c>
      <c r="E10" s="34">
        <f>$C$30*'E Balans VL '!I14/100/3.6*1000000</f>
        <v>2.2312033606696242</v>
      </c>
      <c r="F10" s="34">
        <f>$C$30*('E Balans VL '!L14+'E Balans VL '!N14)/100/3.6*1000000</f>
        <v>79.735126775670139</v>
      </c>
      <c r="G10" s="35"/>
      <c r="H10" s="34"/>
      <c r="I10" s="34"/>
      <c r="J10" s="34">
        <f>$C$30*('E Balans VL '!D14+'E Balans VL '!E14)/100/3.6*1000000</f>
        <v>0</v>
      </c>
      <c r="K10" s="34"/>
      <c r="L10" s="34"/>
      <c r="M10" s="34"/>
      <c r="N10" s="34">
        <f>$C$30*'E Balans VL '!Y14/100/3.6*1000000</f>
        <v>157.32938153672296</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9217.2264252450004</v>
      </c>
      <c r="C12" s="34"/>
      <c r="D12" s="38">
        <f>IF(ISERROR(TER_rest_gas_kWh/1000),0,TER_rest_gas_kWh/1000)*0.902</f>
        <v>6727.5755010352468</v>
      </c>
      <c r="E12" s="34">
        <f>$C$32*'E Balans VL '!I8/100/3.6*1000000</f>
        <v>79.639976546480455</v>
      </c>
      <c r="F12" s="34">
        <f>$C$32*('E Balans VL '!L8+'E Balans VL '!N8)/100/3.6*1000000</f>
        <v>1835.9550496065124</v>
      </c>
      <c r="G12" s="35"/>
      <c r="H12" s="34"/>
      <c r="I12" s="34"/>
      <c r="J12" s="34">
        <f>$C$32*('E Balans VL '!D8+'E Balans VL '!E8)/100/3.6*1000000</f>
        <v>0</v>
      </c>
      <c r="K12" s="34"/>
      <c r="L12" s="34"/>
      <c r="M12" s="34"/>
      <c r="N12" s="34">
        <f>$C$32*'E Balans VL '!Y8/100/3.6*1000000</f>
        <v>606.24367387892073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16895.134447466095</v>
      </c>
      <c r="C16" s="22">
        <f t="shared" ca="1" si="1"/>
        <v>0</v>
      </c>
      <c r="D16" s="22">
        <f t="shared" ca="1" si="1"/>
        <v>11935.952398851343</v>
      </c>
      <c r="E16" s="22">
        <f t="shared" si="1"/>
        <v>186.92298970419051</v>
      </c>
      <c r="F16" s="22">
        <f t="shared" ca="1" si="1"/>
        <v>3328.5791208838364</v>
      </c>
      <c r="G16" s="22">
        <f t="shared" si="1"/>
        <v>0</v>
      </c>
      <c r="H16" s="22">
        <f t="shared" si="1"/>
        <v>0</v>
      </c>
      <c r="I16" s="22">
        <f t="shared" si="1"/>
        <v>0</v>
      </c>
      <c r="J16" s="22">
        <f t="shared" si="1"/>
        <v>0</v>
      </c>
      <c r="K16" s="22">
        <f t="shared" si="1"/>
        <v>0</v>
      </c>
      <c r="L16" s="22">
        <f t="shared" ca="1" si="1"/>
        <v>0</v>
      </c>
      <c r="M16" s="22">
        <f t="shared" si="1"/>
        <v>0</v>
      </c>
      <c r="N16" s="22">
        <f t="shared" ca="1" si="1"/>
        <v>785.33252747022368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0.21126253113606308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3569.3088672557778</v>
      </c>
      <c r="C20" s="24">
        <f t="shared" ref="C20:P20" ca="1" si="2">C16*C18</f>
        <v>0</v>
      </c>
      <c r="D20" s="24">
        <f t="shared" ca="1" si="2"/>
        <v>2411.0623845679715</v>
      </c>
      <c r="E20" s="24">
        <f t="shared" si="2"/>
        <v>42.431518662851246</v>
      </c>
      <c r="F20" s="24">
        <f t="shared" ca="1" si="2"/>
        <v>888.73062527598438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1616.5928992746901</v>
      </c>
      <c r="C26" s="40">
        <f>IF(ISERROR(B26*3.6/1000000/'E Balans VL '!Z12*100),0,B26*3.6/1000000/'E Balans VL '!Z12*100)</f>
        <v>3.435143980063407E-2</v>
      </c>
      <c r="D26" s="236" t="s">
        <v>685</v>
      </c>
      <c r="F26" s="6"/>
    </row>
    <row r="27" spans="1:18">
      <c r="A27" s="231" t="s">
        <v>52</v>
      </c>
      <c r="B27" s="34">
        <f>IF(ISERROR(TER_horeca_ele_kWh/1000),0,TER_horeca_ele_kWh/1000)</f>
        <v>1534.5513786794002</v>
      </c>
      <c r="C27" s="40">
        <f>IF(ISERROR(B27*3.6/1000000/'E Balans VL '!Z9*100),0,B27*3.6/1000000/'E Balans VL '!Z9*100)</f>
        <v>0.12078106013641855</v>
      </c>
      <c r="D27" s="236" t="s">
        <v>685</v>
      </c>
      <c r="F27" s="6"/>
    </row>
    <row r="28" spans="1:18">
      <c r="A28" s="171" t="s">
        <v>51</v>
      </c>
      <c r="B28" s="34">
        <f>IF(ISERROR(TER_handel_ele_kWh/1000),0,TER_handel_ele_kWh/1000)</f>
        <v>4221.72832025563</v>
      </c>
      <c r="C28" s="40">
        <f>IF(ISERROR(B28*3.6/1000000/'E Balans VL '!Z13*100),0,B28*3.6/1000000/'E Balans VL '!Z13*100)</f>
        <v>0.11825286963015753</v>
      </c>
      <c r="D28" s="236" t="s">
        <v>685</v>
      </c>
      <c r="F28" s="6"/>
    </row>
    <row r="29" spans="1:18">
      <c r="A29" s="231" t="s">
        <v>50</v>
      </c>
      <c r="B29" s="34">
        <f>IF(ISERROR(TER_gezond_ele_kWh/1000),0,TER_gezond_ele_kWh/1000)</f>
        <v>32.3054990087169</v>
      </c>
      <c r="C29" s="40">
        <f>IF(ISERROR(B29*3.6/1000000/'E Balans VL '!Z10*100),0,B29*3.6/1000000/'E Balans VL '!Z10*100)</f>
        <v>4.1328502021617097E-3</v>
      </c>
      <c r="D29" s="236" t="s">
        <v>685</v>
      </c>
      <c r="F29" s="6"/>
    </row>
    <row r="30" spans="1:18">
      <c r="A30" s="231" t="s">
        <v>49</v>
      </c>
      <c r="B30" s="34">
        <f>IF(ISERROR(TER_ander_ele_kWh/1000),0,TER_ander_ele_kWh/1000)</f>
        <v>272.72992500265599</v>
      </c>
      <c r="C30" s="40">
        <f>IF(ISERROR(B30*3.6/1000000/'E Balans VL '!Z14*100),0,B30*3.6/1000000/'E Balans VL '!Z14*100)</f>
        <v>2.039790032770597E-2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9217.2264252450004</v>
      </c>
      <c r="C32" s="40">
        <f>IF(ISERROR(B32*3.6/1000000/'E Balans VL '!Z8*100),0,B32*3.6/1000000/'E Balans VL '!Z8*100)</f>
        <v>7.5930885122943617E-2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14666.092424599123</v>
      </c>
      <c r="C5" s="18">
        <f>IF(ISERROR('Eigen informatie GS &amp; warmtenet'!B59),0,'Eigen informatie GS &amp; warmtenet'!B59)</f>
        <v>0</v>
      </c>
      <c r="D5" s="31">
        <f>SUM(D6:D15)</f>
        <v>27855.685292489132</v>
      </c>
      <c r="E5" s="18">
        <f>SUM(E6:E15)</f>
        <v>139.31055372829647</v>
      </c>
      <c r="F5" s="18">
        <f>SUM(F6:F15)</f>
        <v>2322.526654577352</v>
      </c>
      <c r="G5" s="19"/>
      <c r="H5" s="18"/>
      <c r="I5" s="18"/>
      <c r="J5" s="18">
        <f>SUM(J6:J15)</f>
        <v>11.826922265304296</v>
      </c>
      <c r="K5" s="18"/>
      <c r="L5" s="18"/>
      <c r="M5" s="18"/>
      <c r="N5" s="18">
        <f>SUM(N6:N15)</f>
        <v>298.14624401887238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721.25486650468997</v>
      </c>
      <c r="C9" s="34"/>
      <c r="D9" s="38">
        <f>IF( ISERROR(IND_andere_gas_kWh/1000),0,IND_andere_gas_kWh/1000)*0.902</f>
        <v>124.90522008402618</v>
      </c>
      <c r="E9" s="34">
        <f>C31*'E Balans VL '!I19/100/3.6*1000000</f>
        <v>4.1689609110218848</v>
      </c>
      <c r="F9" s="34">
        <f>C31*'E Balans VL '!L19/100/3.6*1000000+C31*'E Balans VL '!N19/100/3.6*1000000</f>
        <v>573.79295171531351</v>
      </c>
      <c r="G9" s="35"/>
      <c r="H9" s="34"/>
      <c r="I9" s="34"/>
      <c r="J9" s="41">
        <f>C31*'E Balans VL '!D19/100/3.6*1000000+C31*'E Balans VL '!E19/100/3.6*1000000</f>
        <v>6.822269889920185E-2</v>
      </c>
      <c r="K9" s="34"/>
      <c r="L9" s="34"/>
      <c r="M9" s="34"/>
      <c r="N9" s="34">
        <f>C31*'E Balans VL '!Y19/100/3.6*1000000</f>
        <v>54.645971109230999</v>
      </c>
      <c r="O9" s="34"/>
      <c r="P9" s="34"/>
      <c r="R9" s="33"/>
    </row>
    <row r="10" spans="1:18">
      <c r="A10" s="6" t="s">
        <v>40</v>
      </c>
      <c r="B10" s="38">
        <f t="shared" si="0"/>
        <v>11615.656455714701</v>
      </c>
      <c r="C10" s="34"/>
      <c r="D10" s="38">
        <f>IF( ISERROR(IND_voed_gas_kWh/1000),0,IND_voed_gas_kWh/1000)*0.902</f>
        <v>0</v>
      </c>
      <c r="E10" s="34">
        <f>C32*'E Balans VL '!I20/100/3.6*1000000</f>
        <v>114.21229127458335</v>
      </c>
      <c r="F10" s="34">
        <f>C32*'E Balans VL '!L20/100/3.6*1000000+C32*'E Balans VL '!N20/100/3.6*1000000</f>
        <v>1290.0702644402088</v>
      </c>
      <c r="G10" s="35"/>
      <c r="H10" s="34"/>
      <c r="I10" s="34"/>
      <c r="J10" s="41">
        <f>C32*'E Balans VL '!D20/100/3.6*1000000+C32*'E Balans VL '!E20/100/3.6*1000000</f>
        <v>4.5782575282702506E-2</v>
      </c>
      <c r="K10" s="34"/>
      <c r="L10" s="34"/>
      <c r="M10" s="34"/>
      <c r="N10" s="34">
        <f>C32*'E Balans VL '!Y20/100/3.6*1000000</f>
        <v>172.0005492051057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2329.18110237973</v>
      </c>
      <c r="C15" s="34"/>
      <c r="D15" s="38">
        <f>IF( ISERROR(IND_rest_gas_kWh/1000),0,IND_rest_gas_kWh/1000)*0.902</f>
        <v>27730.780072405105</v>
      </c>
      <c r="E15" s="34">
        <f>C37*'E Balans VL '!I15/100/3.6*1000000</f>
        <v>20.929301542691242</v>
      </c>
      <c r="F15" s="34">
        <f>C37*'E Balans VL '!L15/100/3.6*1000000+C37*'E Balans VL '!N15/100/3.6*1000000</f>
        <v>458.66343842182954</v>
      </c>
      <c r="G15" s="35"/>
      <c r="H15" s="34"/>
      <c r="I15" s="34"/>
      <c r="J15" s="41">
        <f>C37*'E Balans VL '!D15/100/3.6*1000000+C37*'E Balans VL '!E15/100/3.6*1000000</f>
        <v>11.712916991122391</v>
      </c>
      <c r="K15" s="34"/>
      <c r="L15" s="34"/>
      <c r="M15" s="34"/>
      <c r="N15" s="34">
        <f>C37*'E Balans VL '!Y15/100/3.6*1000000</f>
        <v>71.499723704535711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14666.092424599123</v>
      </c>
      <c r="C18" s="22">
        <f>C5+C16</f>
        <v>0</v>
      </c>
      <c r="D18" s="22">
        <f>MAX((D5+D16),0)</f>
        <v>27855.685292489132</v>
      </c>
      <c r="E18" s="22">
        <f>MAX((E5+E16),0)</f>
        <v>139.31055372829647</v>
      </c>
      <c r="F18" s="22">
        <f>MAX((F5+F16),0)</f>
        <v>2322.526654577352</v>
      </c>
      <c r="G18" s="22"/>
      <c r="H18" s="22"/>
      <c r="I18" s="22"/>
      <c r="J18" s="22">
        <f>MAX((J5+J16),0)</f>
        <v>11.826922265304296</v>
      </c>
      <c r="K18" s="22"/>
      <c r="L18" s="22">
        <f>MAX((L5+L16),0)</f>
        <v>0</v>
      </c>
      <c r="M18" s="22"/>
      <c r="N18" s="22">
        <f>MAX((N5+N16),0)</f>
        <v>298.14624401887238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0.21126253113606308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3098.3958074962511</v>
      </c>
      <c r="C22" s="24">
        <f ca="1">C18*C20</f>
        <v>0</v>
      </c>
      <c r="D22" s="24">
        <f>D18*D20</f>
        <v>5626.8484290828046</v>
      </c>
      <c r="E22" s="24">
        <f>E18*E20</f>
        <v>31.6234956963233</v>
      </c>
      <c r="F22" s="24">
        <f>F18*F20</f>
        <v>620.114616772153</v>
      </c>
      <c r="G22" s="24"/>
      <c r="H22" s="24"/>
      <c r="I22" s="24"/>
      <c r="J22" s="24">
        <f>J18*J20</f>
        <v>4.1867304819177207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721.25486650468997</v>
      </c>
      <c r="C31" s="40">
        <f>IF(ISERROR(B31*3.6/1000000/'E Balans VL '!Z19*100),0,B31*3.6/1000000/'E Balans VL '!Z19*100)</f>
        <v>3.3529244510187947E-2</v>
      </c>
      <c r="D31" s="236" t="s">
        <v>685</v>
      </c>
    </row>
    <row r="32" spans="1:18">
      <c r="A32" s="171" t="s">
        <v>40</v>
      </c>
      <c r="B32" s="38">
        <f>IF( ISERROR(IND_voed_ele_kWh/1000),0,IND_voed_ele_kWh/1000)</f>
        <v>11615.656455714701</v>
      </c>
      <c r="C32" s="40">
        <f>IF(ISERROR(B32*3.6/1000000/'E Balans VL '!Z20*100),0,B32*3.6/1000000/'E Balans VL '!Z20*100)</f>
        <v>0.41058999689781145</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2329.18110237973</v>
      </c>
      <c r="C37" s="40">
        <f>IF(ISERROR(B37*3.6/1000000/'E Balans VL '!Z15*100),0,B37*3.6/1000000/'E Balans VL '!Z15*100)</f>
        <v>1.7588758043743657E-2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383.5101473368598</v>
      </c>
      <c r="C5" s="18">
        <f>'Eigen informatie GS &amp; warmtenet'!B60</f>
        <v>0</v>
      </c>
      <c r="D5" s="31">
        <f>IF(ISERROR(SUM(LB_lb_gas_kWh,LB_rest_gas_kWh)/1000),0,SUM(LB_lb_gas_kWh,LB_rest_gas_kWh)/1000)*0.902</f>
        <v>555.34167094361806</v>
      </c>
      <c r="E5" s="18">
        <f>B17*'E Balans VL '!I25/3.6*1000000/100</f>
        <v>3.6129225481410261</v>
      </c>
      <c r="F5" s="18">
        <f>B17*('E Balans VL '!L25/3.6*1000000+'E Balans VL '!N25/3.6*1000000)/100</f>
        <v>1251.5208866002949</v>
      </c>
      <c r="G5" s="19"/>
      <c r="H5" s="18"/>
      <c r="I5" s="18"/>
      <c r="J5" s="18">
        <f>('E Balans VL '!D25+'E Balans VL '!E25)/3.6*1000000*landbouw!B17/100</f>
        <v>47.442070618567868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383.5101473368598</v>
      </c>
      <c r="C8" s="22">
        <f>C5+C6</f>
        <v>0</v>
      </c>
      <c r="D8" s="22">
        <f>MAX((D5+D6),0)</f>
        <v>555.34167094361806</v>
      </c>
      <c r="E8" s="22">
        <f>MAX((E5+E6),0)</f>
        <v>3.6129225481410261</v>
      </c>
      <c r="F8" s="22">
        <f>MAX((F5+F6),0)</f>
        <v>1251.5208866002949</v>
      </c>
      <c r="G8" s="22"/>
      <c r="H8" s="22"/>
      <c r="I8" s="22"/>
      <c r="J8" s="22">
        <f>MAX((J5+J6),0)</f>
        <v>47.442070618567868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0.21126253113606308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81.021324442749489</v>
      </c>
      <c r="C12" s="24">
        <f ca="1">C8*C10</f>
        <v>0</v>
      </c>
      <c r="D12" s="24">
        <f>D8*D10</f>
        <v>112.17901753061085</v>
      </c>
      <c r="E12" s="24">
        <f>E8*E10</f>
        <v>0.82013341842801291</v>
      </c>
      <c r="F12" s="24">
        <f>F8*F10</f>
        <v>334.15607672227878</v>
      </c>
      <c r="G12" s="24"/>
      <c r="H12" s="24"/>
      <c r="I12" s="24"/>
      <c r="J12" s="24">
        <f>J8*J10</f>
        <v>16.794492998973023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5.1921145653159424E-2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31.633012211602509</v>
      </c>
      <c r="C26" s="246">
        <f>B26*'GWP N2O_CH4'!B5</f>
        <v>664.29325644365269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4.5113086966610361</v>
      </c>
      <c r="C27" s="246">
        <f>B27*'GWP N2O_CH4'!B5</f>
        <v>94.737482629881754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0.43468778520574797</v>
      </c>
      <c r="C28" s="246">
        <f>B28*'GWP N2O_CH4'!B4</f>
        <v>134.75321341378188</v>
      </c>
      <c r="D28" s="51"/>
    </row>
    <row r="29" spans="1:4">
      <c r="A29" s="42" t="s">
        <v>266</v>
      </c>
      <c r="B29" s="246">
        <f>B34*'ha_N2O bodem landbouw'!B4</f>
        <v>2.6694365894039862</v>
      </c>
      <c r="C29" s="246">
        <f>B29*'GWP N2O_CH4'!B4</f>
        <v>827.52534271523575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7.2066384456293377E-4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7.2828415258350599E-6</v>
      </c>
      <c r="C5" s="433" t="s">
        <v>204</v>
      </c>
      <c r="D5" s="418">
        <f>SUM(D6:D11)</f>
        <v>1.0083912201368293E-5</v>
      </c>
      <c r="E5" s="418">
        <f>SUM(E6:E11)</f>
        <v>6.3743480861322421E-4</v>
      </c>
      <c r="F5" s="431" t="s">
        <v>204</v>
      </c>
      <c r="G5" s="418">
        <f>SUM(G6:G11)</f>
        <v>0.14304661543863659</v>
      </c>
      <c r="H5" s="418">
        <f>SUM(H6:H11)</f>
        <v>2.4038496683388266E-2</v>
      </c>
      <c r="I5" s="433" t="s">
        <v>204</v>
      </c>
      <c r="J5" s="433" t="s">
        <v>204</v>
      </c>
      <c r="K5" s="433" t="s">
        <v>204</v>
      </c>
      <c r="L5" s="433" t="s">
        <v>204</v>
      </c>
      <c r="M5" s="418">
        <f>SUM(M6:M11)</f>
        <v>7.4660469087193954E-3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4.4302704858273599E-6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5.1598539526943681E-6</v>
      </c>
      <c r="E6" s="421">
        <f>vkm_GW_PW*SUMIFS(TableVerdeelsleutelVkm[LPG],TableVerdeelsleutelVkm[Voertuigtype],"Lichte voertuigen")*SUMIFS(TableECFTransport[EnergieConsumptieFactor (PJ per km)],TableECFTransport[Index],CONCATENATE($A6,"_LPG_LPG"))</f>
        <v>3.3475806514142659E-4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5.2228551937801231E-2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1.2587072753589447E-2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2.9005034260352535E-3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2.0604268672341848E-7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3.4084007509027021E-2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9.1459537766182555E-7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1.5166271458483258E-3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2.588650279621128E-6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4.9240582486739258E-6</v>
      </c>
      <c r="E8" s="421">
        <f>vkm_NGW_PW*SUMIFS(TableVerdeelsleutelVkm[LPG],TableVerdeelsleutelVkm[Voertuigtype],"Lichte voertuigen")*SUMIFS(TableECFTransport[EnergieConsumptieFactor (PJ per km)],TableECFTransport[Index],CONCATENATE($A8,"_LPG_LPG"))</f>
        <v>3.0267674347179757E-4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4.4456482540053285E-2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1.1450199234031261E-2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2.5026052563184662E-3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5.7878073663153262E-8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1.2277573451755038E-2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3.1010038989936522E-7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5.4631108051734925E-4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2.0230115349541831</v>
      </c>
      <c r="C14" s="22"/>
      <c r="D14" s="22">
        <f t="shared" ref="D14:M14" si="0">((D5)*10^9/3600)+D12</f>
        <v>2.801086722602304</v>
      </c>
      <c r="E14" s="22">
        <f t="shared" si="0"/>
        <v>177.06522461478448</v>
      </c>
      <c r="F14" s="22"/>
      <c r="G14" s="22">
        <f t="shared" si="0"/>
        <v>39735.170955176836</v>
      </c>
      <c r="H14" s="22">
        <f t="shared" si="0"/>
        <v>6677.360189830074</v>
      </c>
      <c r="I14" s="22"/>
      <c r="J14" s="22"/>
      <c r="K14" s="22"/>
      <c r="L14" s="22"/>
      <c r="M14" s="22">
        <f t="shared" si="0"/>
        <v>2073.9019190887211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0.21126253113606308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0.42738653739187288</v>
      </c>
      <c r="C18" s="24"/>
      <c r="D18" s="24">
        <f t="shared" ref="D18:M18" si="1">D14*D16</f>
        <v>0.56581951796566543</v>
      </c>
      <c r="E18" s="24">
        <f t="shared" si="1"/>
        <v>40.193805987556082</v>
      </c>
      <c r="F18" s="24"/>
      <c r="G18" s="24">
        <f t="shared" si="1"/>
        <v>10609.290645032215</v>
      </c>
      <c r="H18" s="24">
        <f t="shared" si="1"/>
        <v>1662.6626872676884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3.369062134121202E-5</v>
      </c>
      <c r="C50" s="316">
        <f t="shared" ref="C50:P50" si="2">SUM(C51:C52)</f>
        <v>0</v>
      </c>
      <c r="D50" s="316">
        <f t="shared" si="2"/>
        <v>0</v>
      </c>
      <c r="E50" s="316">
        <f t="shared" si="2"/>
        <v>0</v>
      </c>
      <c r="F50" s="316">
        <f t="shared" si="2"/>
        <v>0</v>
      </c>
      <c r="G50" s="316">
        <f t="shared" si="2"/>
        <v>6.7196608497663247E-3</v>
      </c>
      <c r="H50" s="316">
        <f t="shared" si="2"/>
        <v>0</v>
      </c>
      <c r="I50" s="316">
        <f t="shared" si="2"/>
        <v>0</v>
      </c>
      <c r="J50" s="316">
        <f t="shared" si="2"/>
        <v>0</v>
      </c>
      <c r="K50" s="316">
        <f t="shared" si="2"/>
        <v>0</v>
      </c>
      <c r="L50" s="316">
        <f t="shared" si="2"/>
        <v>0</v>
      </c>
      <c r="M50" s="316">
        <f t="shared" si="2"/>
        <v>2.9700185271912732E-4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3.369062134121202E-5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6.7196608497663247E-3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2.9700185271912732E-4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9.3585059281144503</v>
      </c>
      <c r="C54" s="22">
        <f t="shared" ref="C54:P54" si="3">(C50)*10^9/3600</f>
        <v>0</v>
      </c>
      <c r="D54" s="22">
        <f t="shared" si="3"/>
        <v>0</v>
      </c>
      <c r="E54" s="22">
        <f t="shared" si="3"/>
        <v>0</v>
      </c>
      <c r="F54" s="22">
        <f t="shared" si="3"/>
        <v>0</v>
      </c>
      <c r="G54" s="22">
        <f t="shared" si="3"/>
        <v>1866.5724582684234</v>
      </c>
      <c r="H54" s="22">
        <f t="shared" si="3"/>
        <v>0</v>
      </c>
      <c r="I54" s="22">
        <f t="shared" si="3"/>
        <v>0</v>
      </c>
      <c r="J54" s="22">
        <f t="shared" si="3"/>
        <v>0</v>
      </c>
      <c r="K54" s="22">
        <f t="shared" si="3"/>
        <v>0</v>
      </c>
      <c r="L54" s="22">
        <f t="shared" si="3"/>
        <v>0</v>
      </c>
      <c r="M54" s="22">
        <f t="shared" si="3"/>
        <v>82.500514644202028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0.21126253113606308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1.97710165002531</v>
      </c>
      <c r="C58" s="24">
        <f t="shared" ref="C58:P58" ca="1" si="4">C54*C56</f>
        <v>0</v>
      </c>
      <c r="D58" s="24">
        <f t="shared" si="4"/>
        <v>0</v>
      </c>
      <c r="E58" s="24">
        <f t="shared" si="4"/>
        <v>0</v>
      </c>
      <c r="F58" s="24">
        <f t="shared" si="4"/>
        <v>0</v>
      </c>
      <c r="G58" s="24">
        <f t="shared" si="4"/>
        <v>498.37484635766907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111</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2434.3922029511373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2545.3922029511373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2021-11-11T13:32:31Z</dcterms:modified>
</cp:coreProperties>
</file>