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9129DF7-F0B2-42E4-8FC0-26F22E31BAA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<sst xmlns="http://schemas.openxmlformats.org/spreadsheetml/2006/main" count="2553" uniqueCount="959">
  <si>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</si>
  <si>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</si>
  <si>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</si>
  <si>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</si>
  <si>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</si>
  <si>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</si>
  <si>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</si>
  <si>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</si>
  <si>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</si>
  <si>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</si>
  <si>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</si>
  <si>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</si>
  <si>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</si>
  <si>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</si>
  <si>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</si>
  <si>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</si>
  <si>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</si>
  <si>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</si>
  <si>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</si>
  <si>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</si>
  <si>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</si>
  <si>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</si>
  <si>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</si>
  <si>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</si>
  <si>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</si>
  <si>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</si>
  <si>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</si>
  <si>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</si>
  <si>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</si>
  <si>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</si>
  <si>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</si>
  <si>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</si>
  <si>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</si>
  <si>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</si>
  <si>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</si>
  <si>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</si>
  <si>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</si>
  <si>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</si>
  <si>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</si>
  <si>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</si>
  <si>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</si>
  <si>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</si>
  <si>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</si>
  <si>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</si>
  <si>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</si>
  <si>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</si>
  <si>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</si>
  <si>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</si>
  <si>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</si>
  <si>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</si>
  <si>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</si>
  <si>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</si>
  <si>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</si>
  <si>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</si>
  <si>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</si>
  <si>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</si>
  <si>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</si>
  <si>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</si>
  <si>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</si>
  <si>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</si>
  <si>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</si>
  <si>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</si>
  <si>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</si>
  <si>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</si>
  <si>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</si>
  <si>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</si>
  <si>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</si>
  <si>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</si>
  <si>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</si>
  <si>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</si>
  <si>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</si>
  <si>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</si>
  <si>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</si>
  <si>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</si>
  <si>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</si>
  <si>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</si>
  <si>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</si>
  <si>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</si>
  <si>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</si>
  <si>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</si>
  <si>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</si>
  <si>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</si>
  <si>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</si>
  <si>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</si>
  <si>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</si>
  <si>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</si>
  <si>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</si>
  <si>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</si>
  <si>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</si>
  <si>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</si>
  <si>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</si>
  <si>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</si>
  <si>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</si>
  <si>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</si>
  <si>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</si>
  <si>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</si>
  <si>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</si>
  <si>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</si>
  <si>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</si>
  <si>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</si>
  <si>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</si>
  <si>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</si>
  <si>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</si>
  <si>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</si>
  <si>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</si>
  <si>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</si>
  <si>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</si>
  <si>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</si>
  <si>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</si>
  <si>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</si>
  <si>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</si>
  <si>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</si>
  <si>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</si>
  <si>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</si>
  <si>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</si>
  <si>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</si>
  <si>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</si>
  <si>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</si>
  <si>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</si>
  <si>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</si>
  <si>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</si>
  <si>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</si>
  <si>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</si>
  <si>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</si>
  <si>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</si>
  <si>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</si>
  <si>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</si>
  <si>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</si>
  <si>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</si>
  <si>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</si>
  <si>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</si>
  <si>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</si>
  <si>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</si>
  <si>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</si>
  <si>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</si>
  <si>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</si>
  <si>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</si>
  <si>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</si>
  <si>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</si>
  <si>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</si>
  <si>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</si>
  <si>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</si>
  <si>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</si>
  <si>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</si>
  <si>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</si>
  <si>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</si>
  <si>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</si>
  <si>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</si>
  <si>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</si>
  <si>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</si>
  <si>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</si>
  <si>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</si>
  <si>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</si>
  <si>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</si>
  <si>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</si>
  <si>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</si>
  <si>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</si>
  <si>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</si>
  <si>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</si>
  <si>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</si>
  <si>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</si>
  <si>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</si>
  <si>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</si>
  <si>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</si>
  <si>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</si>
  <si>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</si>
  <si>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</si>
  <si>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</si>
  <si>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</si>
  <si>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</si>
  <si>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</si>
  <si>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</si>
  <si>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</si>
  <si>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</si>
  <si>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</si>
  <si>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</si>
  <si>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</si>
  <si>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</si>
  <si>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</si>
  <si>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</si>
  <si>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</si>
  <si>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</si>
  <si>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</si>
  <si>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</si>
  <si>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</si>
  <si>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</si>
  <si>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</si>
  <si>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</si>
  <si>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</si>
  <si>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</si>
  <si>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</si>
  <si>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</si>
  <si>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</si>
  <si>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</si>
  <si>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</si>
  <si>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</si>
  <si>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</si>
  <si>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</si>
  <si>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</si>
  <si>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</si>
  <si>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</si>
  <si>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</si>
  <si>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</si>
  <si>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</si>
  <si>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</si>
  <si>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</si>
  <si>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</si>
  <si>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</si>
  <si>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</si>
  <si>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</si>
  <si>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</si>
  <si>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</si>
  <si>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</si>
  <si>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</si>
  <si>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</si>
  <si>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</si>
  <si>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</si>
  <si>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</si>
  <si>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</si>
  <si>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</si>
  <si>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</si>
  <si>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</si>
  <si>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</si>
  <si>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</si>
  <si>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</si>
  <si>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</si>
  <si>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</si>
  <si>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</si>
  <si>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</si>
  <si>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</si>
  <si>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</si>
  <si>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</si>
  <si>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</si>
  <si>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</si>
  <si>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</si>
  <si>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</si>
  <si>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</si>
  <si>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</si>
  <si>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</si>
  <si>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</si>
  <si>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</si>
  <si>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</si>
  <si>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</si>
  <si>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</si>
  <si>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</si>
  <si>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</si>
  <si>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</si>
  <si>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</si>
  <si>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</si>
  <si>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</si>
  <si>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</si>
  <si>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</si>
  <si>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</si>
  <si>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</si>
  <si>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</si>
  <si>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</si>
  <si>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</si>
  <si>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</si>
  <si>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</si>
  <si>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</si>
  <si>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</si>
  <si>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</si>
  <si>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</si>
  <si>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</si>
  <si>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</si>
  <si>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</si>
  <si>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</si>
  <si>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</si>
  <si>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</si>
  <si>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</si>
  <si>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</si>
  <si>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</si>
  <si>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</si>
  <si>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</si>
  <si>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</si>
  <si>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</si>
  <si>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</si>
  <si>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</si>
  <si>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</si>
  <si>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</si>
  <si>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</si>
  <si>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</si>
  <si>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</si>
  <si>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</si>
  <si>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</si>
  <si>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</si>
  <si>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</si>
  <si>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</si>
  <si>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</si>
  <si>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</si>
  <si>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</si>
  <si>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</si>
  <si>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</si>
  <si>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</si>
  <si>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</si>
  <si>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</si>
  <si>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</si>
  <si>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</si>
  <si>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</si>
  <si>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</si>
  <si>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</si>
  <si>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</si>
  <si>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</si>
  <si>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</si>
  <si>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</si>
  <si>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</si>
  <si>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</si>
  <si>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</si>
  <si>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</si>
  <si>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</si>
  <si>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</si>
  <si>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</si>
  <si>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</si>
  <si>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</si>
  <si>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</si>
  <si>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</si>
  <si>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</si>
  <si>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</si>
  <si>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</si>
  <si>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</si>
  <si>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</si>
  <si>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</si>
  <si>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</si>
  <si>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</si>
  <si>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</si>
  <si>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</si>
  <si>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</si>
  <si>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</si>
  <si>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</si>
  <si>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</si>
  <si>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</si>
  <si>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</si>
  <si>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</si>
  <si>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</si>
  <si>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</si>
  <si>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</si>
  <si>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</si>
  <si>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</si>
  <si>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</si>
  <si>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</si>
  <si>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</si>
  <si>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</si>
  <si>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</si>
  <si>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</si>
  <si>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</si>
  <si>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</si>
  <si>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</si>
  <si>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</si>
  <si>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</si>
  <si>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</si>
  <si>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</si>
  <si>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</si>
  <si>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</si>
  <si>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</si>
  <si>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</si>
  <si>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</si>
  <si>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</si>
  <si>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</si>
  <si>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</si>
  <si>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</si>
  <si>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</si>
  <si>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</si>
  <si>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</si>
  <si>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</si>
  <si>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</si>
  <si>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</si>
  <si>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</si>
  <si>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</si>
  <si>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</si>
  <si>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</si>
  <si>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</si>
  <si>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</si>
  <si>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</si>
  <si>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</si>
  <si>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</si>
  <si>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</si>
  <si>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</si>
  <si>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</si>
  <si>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</si>
  <si>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</si>
  <si>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</si>
  <si>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</si>
  <si>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</si>
  <si>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</si>
  <si>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</si>
  <si>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</si>
  <si>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</si>
  <si>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</si>
  <si>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</si>
  <si>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</si>
  <si>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</si>
  <si>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</si>
  <si>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</si>
  <si>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</si>
  <si>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</si>
  <si>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</si>
  <si>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</si>
  <si>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</si>
  <si>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</si>
  <si>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</si>
  <si>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</si>
  <si>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</si>
  <si>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</si>
  <si>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</si>
  <si>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</si>
  <si>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</si>
  <si>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</si>
  <si>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</si>
  <si>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</si>
  <si>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</si>
  <si>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</si>
  <si>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</si>
  <si>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</si>
  <si>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</si>
  <si>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</si>
  <si>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</si>
  <si>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</si>
  <si>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</si>
  <si>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</si>
  <si>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</si>
  <si>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</si>
  <si>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</si>
  <si>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</si>
  <si>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</si>
  <si>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</si>
  <si>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</si>
  <si>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</si>
  <si>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</si>
  <si>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</si>
  <si>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</si>
  <si>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</si>
  <si>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</si>
  <si>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</si>
  <si>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</si>
  <si>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</si>
  <si>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</si>
  <si>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</si>
  <si>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</si>
  <si>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</si>
  <si>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</si>
  <si>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</si>
  <si>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</si>
  <si>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</si>
  <si>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</si>
  <si>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</si>
  <si>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</si>
  <si>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</si>
  <si>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</si>
  <si>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</si>
  <si>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</si>
  <si>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</si>
  <si>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</si>
  <si>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</si>
  <si>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</si>
  <si>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</si>
  <si>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</si>
  <si>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</si>
  <si>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</si>
  <si>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</si>
  <si>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</si>
  <si>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</si>
  <si>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</si>
  <si>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</si>
  <si>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</si>
  <si>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</si>
  <si>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</si>
  <si>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</si>
  <si>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</si>
  <si>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</si>
  <si>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</si>
  <si>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</si>
  <si>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</si>
  <si>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</si>
  <si>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</si>
  <si>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</si>
  <si>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</si>
  <si>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</si>
  <si>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</si>
  <si>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</si>
  <si>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</si>
  <si>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</si>
  <si>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</si>
  <si>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</si>
  <si>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</si>
  <si>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</si>
  <si>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</si>
  <si>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</si>
  <si>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</si>
  <si>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</si>
  <si>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</si>
  <si>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</si>
  <si>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</si>
  <si>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</si>
  <si>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</si>
  <si>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</si>
  <si>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</si>
  <si>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</si>
  <si>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</si>
  <si>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</si>
  <si>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</si>
  <si>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</si>
  <si>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</si>
  <si>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</si>
  <si>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</si>
  <si>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</si>
  <si>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</si>
  <si>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</si>
  <si>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</si>
  <si>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</si>
  <si>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</si>
  <si>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</si>
  <si>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</si>
  <si>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</si>
  <si>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</si>
  <si>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</si>
  <si>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</si>
  <si>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</si>
  <si>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</si>
  <si>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</si>
  <si>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</si>
  <si>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</si>
  <si>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</si>
  <si>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</si>
  <si>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</si>
  <si>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</si>
  <si>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</si>
  <si>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</si>
  <si>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</si>
  <si>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</si>
  <si>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</si>
  <si>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</si>
  <si>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</si>
  <si>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</si>
  <si>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</si>
  <si>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</si>
  <si>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</si>
  <si>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</si>
  <si>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</si>
  <si>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</si>
  <si>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</si>
  <si>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</si>
  <si>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</si>
  <si>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</si>
  <si>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</si>
  <si>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</si>
  <si>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</si>
  <si>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</si>
  <si>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</si>
  <si>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</si>
  <si>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</si>
  <si>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</si>
  <si>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</si>
  <si>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</si>
  <si>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</si>
  <si>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</si>
  <si>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</si>
  <si>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</si>
  <si>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</si>
  <si>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</si>
  <si>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</si>
  <si>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</si>
  <si>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</si>
  <si>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</si>
  <si>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</si>
  <si>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</si>
  <si>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</si>
  <si>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</si>
  <si>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</si>
  <si>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</si>
  <si>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</si>
  <si>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</si>
  <si>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</si>
  <si>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</si>
  <si>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</si>
  <si>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</si>
  <si>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</si>
  <si>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</si>
  <si>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</si>
  <si>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</si>
  <si>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</si>
  <si>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</si>
  <si>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</si>
  <si>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</si>
  <si>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</si>
  <si>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</si>
  <si>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</si>
  <si>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</si>
  <si>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</si>
  <si>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</si>
  <si>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</si>
  <si>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</si>
  <si>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</si>
  <si>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</si>
  <si>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</si>
  <si>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</si>
  <si>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</si>
  <si>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</si>
  <si>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</si>
  <si>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</si>
  <si>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</si>
  <si>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</si>
  <si>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</si>
  <si>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</si>
  <si>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</si>
  <si>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</si>
  <si>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</si>
  <si>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</si>
  <si>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</si>
  <si>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</si>
  <si>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</si>
  <si>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</si>
  <si>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</si>
  <si>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</si>
  <si>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</si>
  <si>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</si>
  <si>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</si>
  <si>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</si>
  <si>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</si>
  <si>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</si>
  <si>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</si>
  <si>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</si>
  <si>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</si>
  <si>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</si>
  <si>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</si>
  <si>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</si>
  <si>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</si>
  <si>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</si>
  <si>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</si>
  <si>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</si>
  <si>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</si>
  <si>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</si>
  <si>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</si>
  <si>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</si>
  <si>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</si>
  <si>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</si>
  <si>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</si>
  <si>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</si>
  <si>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</si>
  <si>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</si>
  <si>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</si>
  <si>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</si>
  <si>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</si>
  <si>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</si>
  <si>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</si>
  <si>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</si>
  <si>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</si>
  <si>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</si>
  <si>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</si>
  <si>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</si>
  <si>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</si>
  <si>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</si>
  <si>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</si>
  <si>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</si>
  <si>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</si>
  <si>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</si>
  <si>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</si>
  <si>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</si>
  <si>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</si>
  <si>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</si>
  <si>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</si>
  <si>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</si>
  <si>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</si>
  <si>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</si>
  <si>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</si>
  <si>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</si>
  <si>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</si>
  <si>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</si>
  <si>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</si>
  <si>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</si>
  <si>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</si>
  <si>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</si>
  <si>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</si>
  <si>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</si>
  <si>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</si>
  <si>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</si>
  <si>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</si>
  <si>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</si>
  <si>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</si>
  <si>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</si>
  <si>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</si>
  <si>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</si>
  <si>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</si>
  <si>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</si>
  <si>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</si>
  <si>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</si>
  <si>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</si>
  <si>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</si>
  <si>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</si>
  <si>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</si>
  <si>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</si>
  <si>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</si>
  <si>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</si>
  <si>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</si>
  <si>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</si>
  <si>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</si>
  <si>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</si>
  <si>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</si>
  <si>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</si>
  <si>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</si>
  <si>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</si>
  <si>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</si>
  <si>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</si>
  <si>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</si>
  <si>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</si>
  <si>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</si>
  <si>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</si>
  <si>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</si>
  <si>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</si>
  <si>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</si>
  <si>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</si>
  <si>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</si>
  <si>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</si>
  <si>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</si>
  <si>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</si>
  <si>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</si>
  <si>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</si>
  <si>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</si>
  <si>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</si>
  <si>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</si>
  <si>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</si>
  <si>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</si>
  <si>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</si>
  <si>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</si>
  <si>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</si>
  <si>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</si>
  <si>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</si>
  <si>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</si>
  <si>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</si>
  <si>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</si>
  <si>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</si>
  <si>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</si>
  <si>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</si>
  <si>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</si>
  <si>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</si>
  <si>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</si>
  <si>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</si>
  <si>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</si>
  <si>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</si>
  <si>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</si>
  <si>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</si>
  <si>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</si>
  <si>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</si>
  <si>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</si>
  <si>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</si>
  <si>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</si>
  <si>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</si>
  <si>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</si>
  <si>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</si>
  <si>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</si>
  <si>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</si>
  <si>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</si>
  <si>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</si>
  <si>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</si>
  <si>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</si>
  <si>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</si>
  <si>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</si>
  <si>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</si>
  <si>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</si>
  <si>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</si>
  <si>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</si>
  <si>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</si>
  <si>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</si>
  <si>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</si>
  <si>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</si>
  <si>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</si>
  <si>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</si>
  <si>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</si>
  <si>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</si>
  <si>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</si>
  <si>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</si>
  <si>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</si>
  <si>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</si>
  <si>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</si>
  <si>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</si>
  <si>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</si>
  <si>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</si>
  <si>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</si>
  <si>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</si>
  <si>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</si>
  <si>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</si>
  <si>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</si>
  <si>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</si>
  <si>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</si>
  <si>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</si>
  <si>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</si>
  <si>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</si>
  <si>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</si>
  <si>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</si>
  <si>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</si>
  <si>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</si>
  <si>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</si>
  <si>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</si>
  <si>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</si>
  <si>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</si>
  <si>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</si>
  <si>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</si>
  <si>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</si>
  <si>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</si>
  <si>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</si>
  <si>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</si>
  <si>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</si>
  <si>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</si>
  <si>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</si>
  <si>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</si>
  <si>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</si>
  <si>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</si>
  <si>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</si>
  <si>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</si>
  <si>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</si>
  <si>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</si>
  <si>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</si>
  <si>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</si>
  <si>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</si>
  <si>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</si>
  <si>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</si>
  <si>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</si>
  <si>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</si>
  <si>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</si>
  <si>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</si>
  <si>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</si>
  <si>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</si>
  <si>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</si>
  <si>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</si>
  <si>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</si>
  <si>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</si>
  <si>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</si>
  <si>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</si>
  <si>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</si>
  <si>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</si>
  <si>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</si>
  <si>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</si>
  <si>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</si>
  <si>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</si>
  <si>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</si>
  <si>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</si>
  <si>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</si>
  <si>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</si>
  <si>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</si>
  <si>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</si>
  <si>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</si>
  <si>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</si>
  <si>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</si>
  <si>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</si>
  <si>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</si>
  <si>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</si>
  <si>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</si>
  <si>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</si>
  <si>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</si>
  <si>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</si>
  <si>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</si>
  <si>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</si>
  <si>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</si>
  <si>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</si>
  <si>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</si>
  <si>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</si>
  <si>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</si>
  <si>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</si>
  <si>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</si>
  <si>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</si>
  <si>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</si>
  <si>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</si>
  <si>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</si>
  <si>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</si>
  <si>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</si>
  <si>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</si>
  <si>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</si>
  <si>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</si>
  <si>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</si>
  <si>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</si>
  <si>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</si>
  <si>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</si>
  <si>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</si>
  <si>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</si>
  <si>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</si>
  <si>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</si>
  <si>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</si>
  <si>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</si>
  <si>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</si>
  <si>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</si>
  <si>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</si>
  <si>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</si>
  <si>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</si>
  <si>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</si>
  <si>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</si>
  <si>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</si>
  <si>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</si>
  <si>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</si>
  <si>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</si>
  <si>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</si>
  <si>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</si>
  <si>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</si>
  <si>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</si>
  <si>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</si>
  <si>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</si>
  <si>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</si>
  <si>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</si>
  <si>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</si>
  <si>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</si>
  <si>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</si>
  <si>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</si>
  <si>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</si>
  <si>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</si>
  <si>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</si>
  <si>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</si>
  <si>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</si>
  <si>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</si>
  <si>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</si>
  <si>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</si>
  <si>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</si>
  <si>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</si>
  <si>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</si>
  <si>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</si>
  <si>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</si>
  <si>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</si>
  <si>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</si>
  <si>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</si>
  <si>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</si>
  <si>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</si>
  <si>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</si>
  <si>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</si>
  <si>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</si>
  <si>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</si>
  <si>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</si>
  <si>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</si>
  <si>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</si>
  <si>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</si>
  <si>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</si>
  <si>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</si>
  <si>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</si>
  <si>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</si>
  <si>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</si>
  <si>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</si>
  <si>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</si>
  <si>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</si>
  <si>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</si>
  <si>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</si>
  <si>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</si>
  <si>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</si>
  <si>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</si>
  <si>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</si>
  <si>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</si>
  <si>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</si>
  <si>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</si>
  <si>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</si>
  <si>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</si>
  <si>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</si>
  <si>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</si>
  <si>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</si>
  <si>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</si>
  <si>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</si>
  <si>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</si>
  <si>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</si>
  <si>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</si>
  <si>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23086</t>
  </si>
  <si>
    <t>TERNAT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</si>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</sst>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39CD6DA-5AE9-4507-B409-4ED7B5CD9B6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23086</v>
      </c>
      <c r="B6" s="384"/>
      <c r="C6" s="385"/>
    </row>
    <row r="7" spans="1:7" s="382" customFormat="1" ht="15.75" customHeight="1">
      <c r="A7" s="386" t="str">
        <f>txtMunicipality</f>
        <v>TERNAT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24142.853695036825</v>
      </c>
      <c r="D10" s="674">
        <f ca="1">tertiair!C16</f>
        <v>0</v>
      </c>
      <c r="E10" s="674">
        <f ca="1">tertiair!D16</f>
        <v>19450.929639033297</v>
      </c>
      <c r="F10" s="674">
        <f>tertiair!E16</f>
        <v>203.16918673177378</v>
      </c>
      <c r="G10" s="674">
        <f ca="1">tertiair!F16</f>
        <v>4412.9519614670498</v>
      </c>
      <c r="H10" s="674">
        <f>tertiair!G16</f>
        <v>0</v>
      </c>
      <c r="I10" s="674">
        <f>tertiair!H16</f>
        <v>0</v>
      </c>
      <c r="J10" s="674">
        <f>tertiair!I16</f>
        <v>0</v>
      </c>
      <c r="K10" s="674">
        <f>tertiair!J16</f>
        <v>0</v>
      </c>
      <c r="L10" s="674">
        <f>tertiair!K16</f>
        <v>0</v>
      </c>
      <c r="M10" s="674">
        <f ca="1">tertiair!L16</f>
        <v>0</v>
      </c>
      <c r="N10" s="674">
        <f>tertiair!M16</f>
        <v>0</v>
      </c>
      <c r="O10" s="674">
        <f ca="1">tertiair!N16</f>
        <v>792.14398329376286</v>
      </c>
      <c r="P10" s="674">
        <f>tertiair!O16</f>
        <v>0</v>
      </c>
      <c r="Q10" s="675">
        <f>tertiair!P16</f>
        <v>0</v>
      </c>
      <c r="R10" s="677">
        <f ca="1">SUM(C10:Q10)</f>
        <v>49002.048465562701</v>
      </c>
      <c r="S10" s="68"/>
    </row>
    <row r="11" spans="1:19" s="443" customFormat="1">
      <c r="A11" s="789" t="s">
        <v>214</v>
      </c>
      <c r="B11" s="794"/>
      <c r="C11" s="674">
        <f>huishoudens!B8</f>
        <v>28662.095866124622</v>
      </c>
      <c r="D11" s="674">
        <f>huishoudens!C8</f>
        <v>0</v>
      </c>
      <c r="E11" s="674">
        <f>huishoudens!D8</f>
        <v>54234.048858229595</v>
      </c>
      <c r="F11" s="674">
        <f>huishoudens!E8</f>
        <v>1596.1742501235597</v>
      </c>
      <c r="G11" s="674">
        <f>huishoudens!F8</f>
        <v>48662.718720172488</v>
      </c>
      <c r="H11" s="674">
        <f>huishoudens!G8</f>
        <v>0</v>
      </c>
      <c r="I11" s="674">
        <f>huishoudens!H8</f>
        <v>0</v>
      </c>
      <c r="J11" s="674">
        <f>huishoudens!I8</f>
        <v>0</v>
      </c>
      <c r="K11" s="674">
        <f>huishoudens!J8</f>
        <v>882.96807485592285</v>
      </c>
      <c r="L11" s="674">
        <f>huishoudens!K8</f>
        <v>0</v>
      </c>
      <c r="M11" s="674">
        <f>huishoudens!L8</f>
        <v>0</v>
      </c>
      <c r="N11" s="674">
        <f>huishoudens!M8</f>
        <v>0</v>
      </c>
      <c r="O11" s="674">
        <f>huishoudens!N8</f>
        <v>8987.7821768665162</v>
      </c>
      <c r="P11" s="674">
        <f>huishoudens!O8</f>
        <v>65.660000000000011</v>
      </c>
      <c r="Q11" s="675">
        <f>huishoudens!P8</f>
        <v>209.73333333333335</v>
      </c>
      <c r="R11" s="677">
        <f>SUM(C11:Q11)</f>
        <v>143301.18127970604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13064.051018532404</v>
      </c>
      <c r="D13" s="674">
        <f>industrie!C18</f>
        <v>0</v>
      </c>
      <c r="E13" s="674">
        <f>industrie!D18</f>
        <v>3091.940275935764</v>
      </c>
      <c r="F13" s="674">
        <f>industrie!E18</f>
        <v>114.02903611495032</v>
      </c>
      <c r="G13" s="674">
        <f>industrie!F18</f>
        <v>3206.41413276809</v>
      </c>
      <c r="H13" s="674">
        <f>industrie!G18</f>
        <v>0</v>
      </c>
      <c r="I13" s="674">
        <f>industrie!H18</f>
        <v>0</v>
      </c>
      <c r="J13" s="674">
        <f>industrie!I18</f>
        <v>0</v>
      </c>
      <c r="K13" s="674">
        <f>industrie!J18</f>
        <v>60.133968873264564</v>
      </c>
      <c r="L13" s="674">
        <f>industrie!K18</f>
        <v>0</v>
      </c>
      <c r="M13" s="674">
        <f>industrie!L18</f>
        <v>0</v>
      </c>
      <c r="N13" s="674">
        <f>industrie!M18</f>
        <v>0</v>
      </c>
      <c r="O13" s="674">
        <f>industrie!N18</f>
        <v>447.33747846884279</v>
      </c>
      <c r="P13" s="674">
        <f>industrie!O18</f>
        <v>0</v>
      </c>
      <c r="Q13" s="675">
        <f>industrie!P18</f>
        <v>0</v>
      </c>
      <c r="R13" s="677">
        <f>SUM(C13:Q13)</f>
        <v>19983.905910693316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65869.000579693849</v>
      </c>
      <c r="D16" s="707">
        <f t="shared" ref="D16:R16" ca="1" si="0">SUM(D9:D15)</f>
        <v>0</v>
      </c>
      <c r="E16" s="707">
        <f t="shared" ca="1" si="0"/>
        <v>76776.91877319866</v>
      </c>
      <c r="F16" s="707">
        <f t="shared" si="0"/>
        <v>1913.3724729702838</v>
      </c>
      <c r="G16" s="707">
        <f t="shared" ca="1" si="0"/>
        <v>56282.08481440763</v>
      </c>
      <c r="H16" s="707">
        <f t="shared" si="0"/>
        <v>0</v>
      </c>
      <c r="I16" s="707">
        <f t="shared" si="0"/>
        <v>0</v>
      </c>
      <c r="J16" s="707">
        <f t="shared" si="0"/>
        <v>0</v>
      </c>
      <c r="K16" s="707">
        <f t="shared" si="0"/>
        <v>943.10204372918747</v>
      </c>
      <c r="L16" s="707">
        <f t="shared" si="0"/>
        <v>0</v>
      </c>
      <c r="M16" s="707">
        <f t="shared" ca="1" si="0"/>
        <v>0</v>
      </c>
      <c r="N16" s="707">
        <f t="shared" si="0"/>
        <v>0</v>
      </c>
      <c r="O16" s="707">
        <f t="shared" ca="1" si="0"/>
        <v>10227.263638629121</v>
      </c>
      <c r="P16" s="707">
        <f t="shared" si="0"/>
        <v>65.660000000000011</v>
      </c>
      <c r="Q16" s="707">
        <f t="shared" si="0"/>
        <v>209.73333333333335</v>
      </c>
      <c r="R16" s="707">
        <f t="shared" ca="1" si="0"/>
        <v>212287.13565596205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9.1743517293328409</v>
      </c>
      <c r="D19" s="674">
        <f>transport!C54</f>
        <v>0</v>
      </c>
      <c r="E19" s="674">
        <f>transport!D54</f>
        <v>0</v>
      </c>
      <c r="F19" s="674">
        <f>transport!E54</f>
        <v>0</v>
      </c>
      <c r="G19" s="674">
        <f>transport!F54</f>
        <v>0</v>
      </c>
      <c r="H19" s="674">
        <f>transport!G54</f>
        <v>1829.8425402493945</v>
      </c>
      <c r="I19" s="674">
        <f>transport!H54</f>
        <v>0</v>
      </c>
      <c r="J19" s="674">
        <f>transport!I54</f>
        <v>0</v>
      </c>
      <c r="K19" s="674">
        <f>transport!J54</f>
        <v>0</v>
      </c>
      <c r="L19" s="674">
        <f>transport!K54</f>
        <v>0</v>
      </c>
      <c r="M19" s="674">
        <f>transport!L54</f>
        <v>0</v>
      </c>
      <c r="N19" s="674">
        <f>transport!M54</f>
        <v>80.877091387319567</v>
      </c>
      <c r="O19" s="674">
        <f>transport!N54</f>
        <v>0</v>
      </c>
      <c r="P19" s="674">
        <f>transport!O54</f>
        <v>0</v>
      </c>
      <c r="Q19" s="675">
        <f>transport!P54</f>
        <v>0</v>
      </c>
      <c r="R19" s="677">
        <f>SUM(C19:Q19)</f>
        <v>1919.8939833660468</v>
      </c>
      <c r="S19" s="68"/>
    </row>
    <row r="20" spans="1:19" s="443" customFormat="1">
      <c r="A20" s="789" t="s">
        <v>296</v>
      </c>
      <c r="B20" s="794"/>
      <c r="C20" s="674">
        <f>transport!B14</f>
        <v>9.6087051061866156</v>
      </c>
      <c r="D20" s="674">
        <f>transport!C14</f>
        <v>0</v>
      </c>
      <c r="E20" s="674">
        <f>transport!D14</f>
        <v>11.969312803447956</v>
      </c>
      <c r="F20" s="674">
        <f>transport!E14</f>
        <v>864.14092359596009</v>
      </c>
      <c r="G20" s="674">
        <f>transport!F14</f>
        <v>0</v>
      </c>
      <c r="H20" s="674">
        <f>transport!G14</f>
        <v>191778.59625325835</v>
      </c>
      <c r="I20" s="674">
        <f>transport!H14</f>
        <v>29626.265279351672</v>
      </c>
      <c r="J20" s="674">
        <f>transport!I14</f>
        <v>0</v>
      </c>
      <c r="K20" s="674">
        <f>transport!J14</f>
        <v>0</v>
      </c>
      <c r="L20" s="674">
        <f>transport!K14</f>
        <v>0</v>
      </c>
      <c r="M20" s="674">
        <f>transport!L14</f>
        <v>0</v>
      </c>
      <c r="N20" s="674">
        <f>transport!M14</f>
        <v>9890.3562813154113</v>
      </c>
      <c r="O20" s="674">
        <f>transport!N14</f>
        <v>0</v>
      </c>
      <c r="P20" s="674">
        <f>transport!O14</f>
        <v>0</v>
      </c>
      <c r="Q20" s="675">
        <f>transport!P14</f>
        <v>0</v>
      </c>
      <c r="R20" s="677">
        <f>SUM(C20:Q20)</f>
        <v>232180.93675543103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18.783056835519456</v>
      </c>
      <c r="D22" s="792">
        <f t="shared" ref="D22:R22" si="1">SUM(D18:D21)</f>
        <v>0</v>
      </c>
      <c r="E22" s="792">
        <f t="shared" si="1"/>
        <v>11.969312803447956</v>
      </c>
      <c r="F22" s="792">
        <f t="shared" si="1"/>
        <v>864.14092359596009</v>
      </c>
      <c r="G22" s="792">
        <f t="shared" si="1"/>
        <v>0</v>
      </c>
      <c r="H22" s="792">
        <f t="shared" si="1"/>
        <v>193608.43879350775</v>
      </c>
      <c r="I22" s="792">
        <f t="shared" si="1"/>
        <v>29626.265279351672</v>
      </c>
      <c r="J22" s="792">
        <f t="shared" si="1"/>
        <v>0</v>
      </c>
      <c r="K22" s="792">
        <f t="shared" si="1"/>
        <v>0</v>
      </c>
      <c r="L22" s="792">
        <f t="shared" si="1"/>
        <v>0</v>
      </c>
      <c r="M22" s="792">
        <f t="shared" si="1"/>
        <v>0</v>
      </c>
      <c r="N22" s="792">
        <f t="shared" si="1"/>
        <v>9971.2333727027308</v>
      </c>
      <c r="O22" s="792">
        <f t="shared" si="1"/>
        <v>0</v>
      </c>
      <c r="P22" s="792">
        <f t="shared" si="1"/>
        <v>0</v>
      </c>
      <c r="Q22" s="792">
        <f t="shared" si="1"/>
        <v>0</v>
      </c>
      <c r="R22" s="792">
        <f t="shared" si="1"/>
        <v>234100.83073879709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403.21860832817299</v>
      </c>
      <c r="D24" s="674">
        <f>+landbouw!C8</f>
        <v>0</v>
      </c>
      <c r="E24" s="674">
        <f>+landbouw!D8</f>
        <v>108.71391583330703</v>
      </c>
      <c r="F24" s="674">
        <f>+landbouw!E8</f>
        <v>3.7985894557812294</v>
      </c>
      <c r="G24" s="674">
        <f>+landbouw!F8</f>
        <v>1315.8361354787307</v>
      </c>
      <c r="H24" s="674">
        <f>+landbouw!G8</f>
        <v>0</v>
      </c>
      <c r="I24" s="674">
        <f>+landbouw!H8</f>
        <v>0</v>
      </c>
      <c r="J24" s="674">
        <f>+landbouw!I8</f>
        <v>0</v>
      </c>
      <c r="K24" s="674">
        <f>+landbouw!J8</f>
        <v>49.880103105129166</v>
      </c>
      <c r="L24" s="674">
        <f>+landbouw!K8</f>
        <v>0</v>
      </c>
      <c r="M24" s="674">
        <f>+landbouw!L8</f>
        <v>0</v>
      </c>
      <c r="N24" s="674">
        <f>+landbouw!M8</f>
        <v>0</v>
      </c>
      <c r="O24" s="674">
        <f>+landbouw!N8</f>
        <v>0</v>
      </c>
      <c r="P24" s="674">
        <f>+landbouw!O8</f>
        <v>0</v>
      </c>
      <c r="Q24" s="675">
        <f>+landbouw!P8</f>
        <v>0</v>
      </c>
      <c r="R24" s="677">
        <f>SUM(C24:Q24)</f>
        <v>1881.447352201121</v>
      </c>
      <c r="S24" s="68"/>
    </row>
    <row r="25" spans="1:19" s="443" customFormat="1" ht="15" thickBot="1">
      <c r="A25" s="811" t="s">
        <v>873</v>
      </c>
      <c r="B25" s="977"/>
      <c r="C25" s="978">
        <f>IF(Onbekend_ele_kWh="---",0,Onbekend_ele_kWh)/1000+IF(REST_rest_ele_kWh="---",0,REST_rest_ele_kWh)/1000</f>
        <v>841.36970040164204</v>
      </c>
      <c r="D25" s="978"/>
      <c r="E25" s="978">
        <f>IF(onbekend_gas_kWh="---",0,onbekend_gas_kWh)/1000+IF(REST_rest_gas_kWh="---",0,REST_rest_gas_kWh)/1000</f>
        <v>2232.84092585907</v>
      </c>
      <c r="F25" s="978"/>
      <c r="G25" s="978"/>
      <c r="H25" s="978"/>
      <c r="I25" s="978"/>
      <c r="J25" s="978"/>
      <c r="K25" s="978"/>
      <c r="L25" s="978"/>
      <c r="M25" s="978"/>
      <c r="N25" s="978"/>
      <c r="O25" s="978"/>
      <c r="P25" s="978"/>
      <c r="Q25" s="979"/>
      <c r="R25" s="677">
        <f>SUM(C25:Q25)</f>
        <v>3074.2106262607122</v>
      </c>
      <c r="S25" s="68"/>
    </row>
    <row r="26" spans="1:19" s="443" customFormat="1" ht="15.75" thickBot="1">
      <c r="A26" s="680" t="s">
        <v>874</v>
      </c>
      <c r="B26" s="797"/>
      <c r="C26" s="792">
        <f>SUM(C24:C25)</f>
        <v>1244.588308729815</v>
      </c>
      <c r="D26" s="792">
        <f t="shared" ref="D26:R26" si="2">SUM(D24:D25)</f>
        <v>0</v>
      </c>
      <c r="E26" s="792">
        <f t="shared" si="2"/>
        <v>2341.5548416923771</v>
      </c>
      <c r="F26" s="792">
        <f t="shared" si="2"/>
        <v>3.7985894557812294</v>
      </c>
      <c r="G26" s="792">
        <f t="shared" si="2"/>
        <v>1315.8361354787307</v>
      </c>
      <c r="H26" s="792">
        <f t="shared" si="2"/>
        <v>0</v>
      </c>
      <c r="I26" s="792">
        <f t="shared" si="2"/>
        <v>0</v>
      </c>
      <c r="J26" s="792">
        <f t="shared" si="2"/>
        <v>0</v>
      </c>
      <c r="K26" s="792">
        <f t="shared" si="2"/>
        <v>49.880103105129166</v>
      </c>
      <c r="L26" s="792">
        <f t="shared" si="2"/>
        <v>0</v>
      </c>
      <c r="M26" s="792">
        <f t="shared" si="2"/>
        <v>0</v>
      </c>
      <c r="N26" s="792">
        <f t="shared" si="2"/>
        <v>0</v>
      </c>
      <c r="O26" s="792">
        <f t="shared" si="2"/>
        <v>0</v>
      </c>
      <c r="P26" s="792">
        <f t="shared" si="2"/>
        <v>0</v>
      </c>
      <c r="Q26" s="792">
        <f t="shared" si="2"/>
        <v>0</v>
      </c>
      <c r="R26" s="792">
        <f t="shared" si="2"/>
        <v>4955.6579784618334</v>
      </c>
      <c r="S26" s="68"/>
    </row>
    <row r="27" spans="1:19" s="443" customFormat="1" ht="17.25" thickTop="1" thickBot="1">
      <c r="A27" s="681" t="s">
        <v>109</v>
      </c>
      <c r="B27" s="784"/>
      <c r="C27" s="682">
        <f ca="1">C22+C16+C26</f>
        <v>67132.371945259176</v>
      </c>
      <c r="D27" s="682">
        <f t="shared" ref="D27:R27" ca="1" si="3">D22+D16+D26</f>
        <v>0</v>
      </c>
      <c r="E27" s="682">
        <f t="shared" ca="1" si="3"/>
        <v>79130.442927694472</v>
      </c>
      <c r="F27" s="682">
        <f t="shared" si="3"/>
        <v>2781.3119860220254</v>
      </c>
      <c r="G27" s="682">
        <f t="shared" ca="1" si="3"/>
        <v>57597.920949886364</v>
      </c>
      <c r="H27" s="682">
        <f t="shared" si="3"/>
        <v>193608.43879350775</v>
      </c>
      <c r="I27" s="682">
        <f t="shared" si="3"/>
        <v>29626.265279351672</v>
      </c>
      <c r="J27" s="682">
        <f t="shared" si="3"/>
        <v>0</v>
      </c>
      <c r="K27" s="682">
        <f t="shared" si="3"/>
        <v>992.98214683431661</v>
      </c>
      <c r="L27" s="682">
        <f t="shared" si="3"/>
        <v>0</v>
      </c>
      <c r="M27" s="682">
        <f t="shared" ca="1" si="3"/>
        <v>0</v>
      </c>
      <c r="N27" s="682">
        <f t="shared" si="3"/>
        <v>9971.2333727027308</v>
      </c>
      <c r="O27" s="682">
        <f t="shared" ca="1" si="3"/>
        <v>10227.263638629121</v>
      </c>
      <c r="P27" s="682">
        <f t="shared" si="3"/>
        <v>65.660000000000011</v>
      </c>
      <c r="Q27" s="682">
        <f t="shared" si="3"/>
        <v>209.73333333333335</v>
      </c>
      <c r="R27" s="682">
        <f t="shared" ca="1" si="3"/>
        <v>451343.62437322096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5088.640361747789</v>
      </c>
      <c r="D40" s="674">
        <f ca="1">tertiair!C20</f>
        <v>0</v>
      </c>
      <c r="E40" s="674">
        <f ca="1">tertiair!D20</f>
        <v>3929.0877870847262</v>
      </c>
      <c r="F40" s="674">
        <f>tertiair!E20</f>
        <v>46.119405388112646</v>
      </c>
      <c r="G40" s="674">
        <f ca="1">tertiair!F20</f>
        <v>1178.2581737117023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10242.105727932329</v>
      </c>
    </row>
    <row r="41" spans="1:18">
      <c r="A41" s="802" t="s">
        <v>214</v>
      </c>
      <c r="B41" s="809"/>
      <c r="C41" s="674">
        <f ca="1">huishoudens!B12</f>
        <v>6041.1705972699328</v>
      </c>
      <c r="D41" s="674">
        <f ca="1">huishoudens!C12</f>
        <v>0</v>
      </c>
      <c r="E41" s="674">
        <f>huishoudens!D12</f>
        <v>10955.277869362379</v>
      </c>
      <c r="F41" s="674">
        <f>huishoudens!E12</f>
        <v>362.33155477804803</v>
      </c>
      <c r="G41" s="674">
        <f>huishoudens!F12</f>
        <v>12992.945898286054</v>
      </c>
      <c r="H41" s="674">
        <f>huishoudens!G12</f>
        <v>0</v>
      </c>
      <c r="I41" s="674">
        <f>huishoudens!H12</f>
        <v>0</v>
      </c>
      <c r="J41" s="674">
        <f>huishoudens!I12</f>
        <v>0</v>
      </c>
      <c r="K41" s="674">
        <f>huishoudens!J12</f>
        <v>312.57069849899665</v>
      </c>
      <c r="L41" s="674">
        <f>huishoudens!K12</f>
        <v>0</v>
      </c>
      <c r="M41" s="674">
        <f>huishoudens!L12</f>
        <v>0</v>
      </c>
      <c r="N41" s="674">
        <f>huishoudens!M12</f>
        <v>0</v>
      </c>
      <c r="O41" s="674">
        <f>huishoudens!N12</f>
        <v>0</v>
      </c>
      <c r="P41" s="674">
        <f>huishoudens!O12</f>
        <v>0</v>
      </c>
      <c r="Q41" s="749">
        <f>huishoudens!P12</f>
        <v>0</v>
      </c>
      <c r="R41" s="830">
        <f t="shared" ca="1" si="4"/>
        <v>30664.296618195411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2753.5376778803325</v>
      </c>
      <c r="D43" s="674">
        <f ca="1">industrie!C22</f>
        <v>0</v>
      </c>
      <c r="E43" s="674">
        <f>industrie!D22</f>
        <v>624.57193573902441</v>
      </c>
      <c r="F43" s="674">
        <f>industrie!E22</f>
        <v>25.884591198093723</v>
      </c>
      <c r="G43" s="674">
        <f>industrie!F22</f>
        <v>856.11257344908006</v>
      </c>
      <c r="H43" s="674">
        <f>industrie!G22</f>
        <v>0</v>
      </c>
      <c r="I43" s="674">
        <f>industrie!H22</f>
        <v>0</v>
      </c>
      <c r="J43" s="674">
        <f>industrie!I22</f>
        <v>0</v>
      </c>
      <c r="K43" s="674">
        <f>industrie!J22</f>
        <v>21.287424981135654</v>
      </c>
      <c r="L43" s="674">
        <f>industrie!K22</f>
        <v>0</v>
      </c>
      <c r="M43" s="674">
        <f>industrie!L22</f>
        <v>0</v>
      </c>
      <c r="N43" s="674">
        <f>industrie!M22</f>
        <v>0</v>
      </c>
      <c r="O43" s="674">
        <f>industrie!N22</f>
        <v>0</v>
      </c>
      <c r="P43" s="674">
        <f>industrie!O22</f>
        <v>0</v>
      </c>
      <c r="Q43" s="749">
        <f>industrie!P22</f>
        <v>0</v>
      </c>
      <c r="R43" s="829">
        <f t="shared" ca="1" si="4"/>
        <v>4281.3942032476662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13883.348636898056</v>
      </c>
      <c r="D46" s="707">
        <f t="shared" ref="D46:Q46" ca="1" si="5">SUM(D39:D45)</f>
        <v>0</v>
      </c>
      <c r="E46" s="707">
        <f t="shared" ca="1" si="5"/>
        <v>15508.93759218613</v>
      </c>
      <c r="F46" s="707">
        <f t="shared" si="5"/>
        <v>434.3355513642544</v>
      </c>
      <c r="G46" s="707">
        <f t="shared" ca="1" si="5"/>
        <v>15027.316645446836</v>
      </c>
      <c r="H46" s="707">
        <f t="shared" si="5"/>
        <v>0</v>
      </c>
      <c r="I46" s="707">
        <f t="shared" si="5"/>
        <v>0</v>
      </c>
      <c r="J46" s="707">
        <f t="shared" si="5"/>
        <v>0</v>
      </c>
      <c r="K46" s="707">
        <f t="shared" si="5"/>
        <v>333.85812348013229</v>
      </c>
      <c r="L46" s="707">
        <f t="shared" si="5"/>
        <v>0</v>
      </c>
      <c r="M46" s="707">
        <f t="shared" ca="1" si="5"/>
        <v>0</v>
      </c>
      <c r="N46" s="707">
        <f t="shared" si="5"/>
        <v>0</v>
      </c>
      <c r="O46" s="707">
        <f t="shared" ca="1" si="5"/>
        <v>0</v>
      </c>
      <c r="P46" s="707">
        <f t="shared" si="5"/>
        <v>0</v>
      </c>
      <c r="Q46" s="707">
        <f t="shared" si="5"/>
        <v>0</v>
      </c>
      <c r="R46" s="707">
        <f ca="1">SUM(R39:R45)</f>
        <v>45187.796549375402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1.9336975277430026</v>
      </c>
      <c r="D49" s="674">
        <f ca="1">transport!C58</f>
        <v>0</v>
      </c>
      <c r="E49" s="674">
        <f>transport!D58</f>
        <v>0</v>
      </c>
      <c r="F49" s="674">
        <f>transport!E58</f>
        <v>0</v>
      </c>
      <c r="G49" s="674">
        <f>transport!F58</f>
        <v>0</v>
      </c>
      <c r="H49" s="674">
        <f>transport!G58</f>
        <v>488.56795824658838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490.50165577433137</v>
      </c>
    </row>
    <row r="50" spans="1:18">
      <c r="A50" s="805" t="s">
        <v>296</v>
      </c>
      <c r="B50" s="815"/>
      <c r="C50" s="984">
        <f ca="1">transport!B18</f>
        <v>2.0252471081131951</v>
      </c>
      <c r="D50" s="984">
        <f>transport!C18</f>
        <v>0</v>
      </c>
      <c r="E50" s="984">
        <f>transport!D18</f>
        <v>2.417801186296487</v>
      </c>
      <c r="F50" s="984">
        <f>transport!E18</f>
        <v>196.15998965628296</v>
      </c>
      <c r="G50" s="984">
        <f>transport!F18</f>
        <v>0</v>
      </c>
      <c r="H50" s="984">
        <f>transport!G18</f>
        <v>51204.885199619981</v>
      </c>
      <c r="I50" s="984">
        <f>transport!H18</f>
        <v>7376.9400545585659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58782.42829212924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3.9589446358561977</v>
      </c>
      <c r="D52" s="707">
        <f t="shared" ref="D52:Q52" ca="1" si="6">SUM(D48:D51)</f>
        <v>0</v>
      </c>
      <c r="E52" s="707">
        <f t="shared" si="6"/>
        <v>2.417801186296487</v>
      </c>
      <c r="F52" s="707">
        <f t="shared" si="6"/>
        <v>196.15998965628296</v>
      </c>
      <c r="G52" s="707">
        <f t="shared" si="6"/>
        <v>0</v>
      </c>
      <c r="H52" s="707">
        <f t="shared" si="6"/>
        <v>51693.45315786657</v>
      </c>
      <c r="I52" s="707">
        <f t="shared" si="6"/>
        <v>7376.9400545585659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59272.929947903569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84.987239324087071</v>
      </c>
      <c r="D54" s="984">
        <f ca="1">+landbouw!C12</f>
        <v>0</v>
      </c>
      <c r="E54" s="984">
        <f>+landbouw!D12</f>
        <v>21.960210998328019</v>
      </c>
      <c r="F54" s="984">
        <f>+landbouw!E12</f>
        <v>0.86227980646233915</v>
      </c>
      <c r="G54" s="984">
        <f>+landbouw!F12</f>
        <v>351.32824817282113</v>
      </c>
      <c r="H54" s="984">
        <f>+landbouw!G12</f>
        <v>0</v>
      </c>
      <c r="I54" s="984">
        <f>+landbouw!H12</f>
        <v>0</v>
      </c>
      <c r="J54" s="984">
        <f>+landbouw!I12</f>
        <v>0</v>
      </c>
      <c r="K54" s="984">
        <f>+landbouw!J12</f>
        <v>17.657556499215723</v>
      </c>
      <c r="L54" s="984">
        <f>+landbouw!K12</f>
        <v>0</v>
      </c>
      <c r="M54" s="984">
        <f>+landbouw!L12</f>
        <v>0</v>
      </c>
      <c r="N54" s="984">
        <f>+landbouw!M12</f>
        <v>0</v>
      </c>
      <c r="O54" s="984">
        <f>+landbouw!N12</f>
        <v>0</v>
      </c>
      <c r="P54" s="984">
        <f>+landbouw!O12</f>
        <v>0</v>
      </c>
      <c r="Q54" s="985">
        <f>+landbouw!P12</f>
        <v>0</v>
      </c>
      <c r="R54" s="706">
        <f ca="1">SUM(C54:Q54)</f>
        <v>476.79553480091431</v>
      </c>
    </row>
    <row r="55" spans="1:18" ht="15" thickBot="1">
      <c r="A55" s="805" t="s">
        <v>873</v>
      </c>
      <c r="B55" s="815"/>
      <c r="C55" s="984">
        <f ca="1">C25*'EF ele_warmte'!B12</f>
        <v>177.33727216744046</v>
      </c>
      <c r="D55" s="984"/>
      <c r="E55" s="984">
        <f>E25*EF_CO2_aardgas</f>
        <v>451.0338670235322</v>
      </c>
      <c r="F55" s="984"/>
      <c r="G55" s="984"/>
      <c r="H55" s="984"/>
      <c r="I55" s="984"/>
      <c r="J55" s="984"/>
      <c r="K55" s="984"/>
      <c r="L55" s="984"/>
      <c r="M55" s="984"/>
      <c r="N55" s="984"/>
      <c r="O55" s="984"/>
      <c r="P55" s="984"/>
      <c r="Q55" s="985"/>
      <c r="R55" s="706">
        <f ca="1">SUM(C55:Q55)</f>
        <v>628.3711391909726</v>
      </c>
    </row>
    <row r="56" spans="1:18" ht="15.75" thickBot="1">
      <c r="A56" s="803" t="s">
        <v>874</v>
      </c>
      <c r="B56" s="816"/>
      <c r="C56" s="707">
        <f ca="1">SUM(C54:C55)</f>
        <v>262.32451149152752</v>
      </c>
      <c r="D56" s="707">
        <f t="shared" ref="D56:Q56" ca="1" si="7">SUM(D54:D55)</f>
        <v>0</v>
      </c>
      <c r="E56" s="707">
        <f t="shared" si="7"/>
        <v>472.99407802186022</v>
      </c>
      <c r="F56" s="707">
        <f t="shared" si="7"/>
        <v>0.86227980646233915</v>
      </c>
      <c r="G56" s="707">
        <f t="shared" si="7"/>
        <v>351.32824817282113</v>
      </c>
      <c r="H56" s="707">
        <f t="shared" si="7"/>
        <v>0</v>
      </c>
      <c r="I56" s="707">
        <f t="shared" si="7"/>
        <v>0</v>
      </c>
      <c r="J56" s="707">
        <f t="shared" si="7"/>
        <v>0</v>
      </c>
      <c r="K56" s="707">
        <f t="shared" si="7"/>
        <v>17.657556499215723</v>
      </c>
      <c r="L56" s="707">
        <f t="shared" si="7"/>
        <v>0</v>
      </c>
      <c r="M56" s="707">
        <f t="shared" si="7"/>
        <v>0</v>
      </c>
      <c r="N56" s="707">
        <f t="shared" si="7"/>
        <v>0</v>
      </c>
      <c r="O56" s="707">
        <f t="shared" si="7"/>
        <v>0</v>
      </c>
      <c r="P56" s="707">
        <f t="shared" si="7"/>
        <v>0</v>
      </c>
      <c r="Q56" s="708">
        <f t="shared" si="7"/>
        <v>0</v>
      </c>
      <c r="R56" s="709">
        <f ca="1">SUM(R54:R55)</f>
        <v>1105.1666739918869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14149.632093025441</v>
      </c>
      <c r="D61" s="715">
        <f t="shared" ref="D61:Q61" ca="1" si="8">D46+D52+D56</f>
        <v>0</v>
      </c>
      <c r="E61" s="715">
        <f t="shared" ca="1" si="8"/>
        <v>15984.349471394287</v>
      </c>
      <c r="F61" s="715">
        <f t="shared" si="8"/>
        <v>631.35782082699961</v>
      </c>
      <c r="G61" s="715">
        <f t="shared" ca="1" si="8"/>
        <v>15378.644893619658</v>
      </c>
      <c r="H61" s="715">
        <f t="shared" si="8"/>
        <v>51693.45315786657</v>
      </c>
      <c r="I61" s="715">
        <f t="shared" si="8"/>
        <v>7376.9400545585659</v>
      </c>
      <c r="J61" s="715">
        <f t="shared" si="8"/>
        <v>0</v>
      </c>
      <c r="K61" s="715">
        <f t="shared" si="8"/>
        <v>351.51567997934802</v>
      </c>
      <c r="L61" s="715">
        <f t="shared" si="8"/>
        <v>0</v>
      </c>
      <c r="M61" s="715">
        <f t="shared" ca="1" si="8"/>
        <v>0</v>
      </c>
      <c r="N61" s="715">
        <f t="shared" si="8"/>
        <v>0</v>
      </c>
      <c r="O61" s="715">
        <f t="shared" ca="1" si="8"/>
        <v>0</v>
      </c>
      <c r="P61" s="715">
        <f t="shared" si="8"/>
        <v>0</v>
      </c>
      <c r="Q61" s="715">
        <f t="shared" si="8"/>
        <v>0</v>
      </c>
      <c r="R61" s="715">
        <f ca="1">R46+R52+R56</f>
        <v>105565.89317127086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0.21077211608973506</v>
      </c>
      <c r="D63" s="759">
        <f t="shared" ca="1" si="9"/>
        <v>0</v>
      </c>
      <c r="E63" s="986">
        <f t="shared" ca="1" si="9"/>
        <v>0.20200000000000004</v>
      </c>
      <c r="F63" s="759">
        <f t="shared" si="9"/>
        <v>0.22699999999999995</v>
      </c>
      <c r="G63" s="759">
        <f t="shared" ca="1" si="9"/>
        <v>0.26699999999999996</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3106.8873614336699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3106.8873614336699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28662.095866124622</v>
      </c>
      <c r="C4" s="447">
        <f>huishoudens!C8</f>
        <v>0</v>
      </c>
      <c r="D4" s="447">
        <f>huishoudens!D8</f>
        <v>54234.048858229595</v>
      </c>
      <c r="E4" s="447">
        <f>huishoudens!E8</f>
        <v>1596.1742501235597</v>
      </c>
      <c r="F4" s="447">
        <f>huishoudens!F8</f>
        <v>48662.718720172488</v>
      </c>
      <c r="G4" s="447">
        <f>huishoudens!G8</f>
        <v>0</v>
      </c>
      <c r="H4" s="447">
        <f>huishoudens!H8</f>
        <v>0</v>
      </c>
      <c r="I4" s="447">
        <f>huishoudens!I8</f>
        <v>0</v>
      </c>
      <c r="J4" s="447">
        <f>huishoudens!J8</f>
        <v>882.96807485592285</v>
      </c>
      <c r="K4" s="447">
        <f>huishoudens!K8</f>
        <v>0</v>
      </c>
      <c r="L4" s="447">
        <f>huishoudens!L8</f>
        <v>0</v>
      </c>
      <c r="M4" s="447">
        <f>huishoudens!M8</f>
        <v>0</v>
      </c>
      <c r="N4" s="447">
        <f>huishoudens!N8</f>
        <v>8987.7821768665162</v>
      </c>
      <c r="O4" s="447">
        <f>huishoudens!O8</f>
        <v>65.660000000000011</v>
      </c>
      <c r="P4" s="448">
        <f>huishoudens!P8</f>
        <v>209.73333333333335</v>
      </c>
      <c r="Q4" s="449">
        <f>SUM(B4:P4)</f>
        <v>143301.18127970604</v>
      </c>
    </row>
    <row r="5" spans="1:17">
      <c r="A5" s="446" t="s">
        <v>149</v>
      </c>
      <c r="B5" s="447">
        <f ca="1">tertiair!B16</f>
        <v>23158.797695036825</v>
      </c>
      <c r="C5" s="447">
        <f ca="1">tertiair!C16</f>
        <v>0</v>
      </c>
      <c r="D5" s="447">
        <f ca="1">tertiair!D16</f>
        <v>19450.929639033297</v>
      </c>
      <c r="E5" s="447">
        <f>tertiair!E16</f>
        <v>203.16918673177378</v>
      </c>
      <c r="F5" s="447">
        <f ca="1">tertiair!F16</f>
        <v>4412.9519614670498</v>
      </c>
      <c r="G5" s="447">
        <f>tertiair!G16</f>
        <v>0</v>
      </c>
      <c r="H5" s="447">
        <f>tertiair!H16</f>
        <v>0</v>
      </c>
      <c r="I5" s="447">
        <f>tertiair!I16</f>
        <v>0</v>
      </c>
      <c r="J5" s="447">
        <f>tertiair!J16</f>
        <v>0</v>
      </c>
      <c r="K5" s="447">
        <f>tertiair!K16</f>
        <v>0</v>
      </c>
      <c r="L5" s="447">
        <f ca="1">tertiair!L16</f>
        <v>0</v>
      </c>
      <c r="M5" s="447">
        <f>tertiair!M16</f>
        <v>0</v>
      </c>
      <c r="N5" s="447">
        <f ca="1">tertiair!N16</f>
        <v>792.14398329376286</v>
      </c>
      <c r="O5" s="447">
        <f>tertiair!O16</f>
        <v>0</v>
      </c>
      <c r="P5" s="448">
        <f>tertiair!P16</f>
        <v>0</v>
      </c>
      <c r="Q5" s="446">
        <f t="shared" ref="Q5:Q14" ca="1" si="0">SUM(B5:P5)</f>
        <v>48017.992465562704</v>
      </c>
    </row>
    <row r="6" spans="1:17">
      <c r="A6" s="446" t="s">
        <v>187</v>
      </c>
      <c r="B6" s="447">
        <f>'openbare verlichting'!B8</f>
        <v>984.05600000000004</v>
      </c>
      <c r="C6" s="447"/>
      <c r="D6" s="447"/>
      <c r="E6" s="447"/>
      <c r="F6" s="447"/>
      <c r="G6" s="447"/>
      <c r="H6" s="447"/>
      <c r="I6" s="447"/>
      <c r="J6" s="447"/>
      <c r="K6" s="447"/>
      <c r="L6" s="447"/>
      <c r="M6" s="447"/>
      <c r="N6" s="447"/>
      <c r="O6" s="447"/>
      <c r="P6" s="448"/>
      <c r="Q6" s="446">
        <f t="shared" si="0"/>
        <v>984.05600000000004</v>
      </c>
    </row>
    <row r="7" spans="1:17">
      <c r="A7" s="446" t="s">
        <v>105</v>
      </c>
      <c r="B7" s="447">
        <f>landbouw!B8</f>
        <v>403.21860832817299</v>
      </c>
      <c r="C7" s="447">
        <f>landbouw!C8</f>
        <v>0</v>
      </c>
      <c r="D7" s="447">
        <f>landbouw!D8</f>
        <v>108.71391583330703</v>
      </c>
      <c r="E7" s="447">
        <f>landbouw!E8</f>
        <v>3.7985894557812294</v>
      </c>
      <c r="F7" s="447">
        <f>landbouw!F8</f>
        <v>1315.8361354787307</v>
      </c>
      <c r="G7" s="447">
        <f>landbouw!G8</f>
        <v>0</v>
      </c>
      <c r="H7" s="447">
        <f>landbouw!H8</f>
        <v>0</v>
      </c>
      <c r="I7" s="447">
        <f>landbouw!I8</f>
        <v>0</v>
      </c>
      <c r="J7" s="447">
        <f>landbouw!J8</f>
        <v>49.880103105129166</v>
      </c>
      <c r="K7" s="447">
        <f>landbouw!K8</f>
        <v>0</v>
      </c>
      <c r="L7" s="447">
        <f>landbouw!L8</f>
        <v>0</v>
      </c>
      <c r="M7" s="447">
        <f>landbouw!M8</f>
        <v>0</v>
      </c>
      <c r="N7" s="447">
        <f>landbouw!N8</f>
        <v>0</v>
      </c>
      <c r="O7" s="447">
        <f>landbouw!O8</f>
        <v>0</v>
      </c>
      <c r="P7" s="448">
        <f>landbouw!P8</f>
        <v>0</v>
      </c>
      <c r="Q7" s="446">
        <f t="shared" si="0"/>
        <v>1881.447352201121</v>
      </c>
    </row>
    <row r="8" spans="1:17">
      <c r="A8" s="446" t="s">
        <v>665</v>
      </c>
      <c r="B8" s="447">
        <f>industrie!B18</f>
        <v>13064.051018532404</v>
      </c>
      <c r="C8" s="447">
        <f>industrie!C18</f>
        <v>0</v>
      </c>
      <c r="D8" s="447">
        <f>industrie!D18</f>
        <v>3091.940275935764</v>
      </c>
      <c r="E8" s="447">
        <f>industrie!E18</f>
        <v>114.02903611495032</v>
      </c>
      <c r="F8" s="447">
        <f>industrie!F18</f>
        <v>3206.41413276809</v>
      </c>
      <c r="G8" s="447">
        <f>industrie!G18</f>
        <v>0</v>
      </c>
      <c r="H8" s="447">
        <f>industrie!H18</f>
        <v>0</v>
      </c>
      <c r="I8" s="447">
        <f>industrie!I18</f>
        <v>0</v>
      </c>
      <c r="J8" s="447">
        <f>industrie!J18</f>
        <v>60.133968873264564</v>
      </c>
      <c r="K8" s="447">
        <f>industrie!K18</f>
        <v>0</v>
      </c>
      <c r="L8" s="447">
        <f>industrie!L18</f>
        <v>0</v>
      </c>
      <c r="M8" s="447">
        <f>industrie!M18</f>
        <v>0</v>
      </c>
      <c r="N8" s="447">
        <f>industrie!N18</f>
        <v>447.33747846884279</v>
      </c>
      <c r="O8" s="447">
        <f>industrie!O18</f>
        <v>0</v>
      </c>
      <c r="P8" s="448">
        <f>industrie!P18</f>
        <v>0</v>
      </c>
      <c r="Q8" s="446">
        <f t="shared" si="0"/>
        <v>19983.905910693316</v>
      </c>
    </row>
    <row r="9" spans="1:17" s="452" customFormat="1">
      <c r="A9" s="450" t="s">
        <v>562</v>
      </c>
      <c r="B9" s="451">
        <f>transport!B14</f>
        <v>9.6087051061866156</v>
      </c>
      <c r="C9" s="451">
        <f>transport!C14</f>
        <v>0</v>
      </c>
      <c r="D9" s="451">
        <f>transport!D14</f>
        <v>11.969312803447956</v>
      </c>
      <c r="E9" s="451">
        <f>transport!E14</f>
        <v>864.14092359596009</v>
      </c>
      <c r="F9" s="451">
        <f>transport!F14</f>
        <v>0</v>
      </c>
      <c r="G9" s="451">
        <f>transport!G14</f>
        <v>191778.59625325835</v>
      </c>
      <c r="H9" s="451">
        <f>transport!H14</f>
        <v>29626.265279351672</v>
      </c>
      <c r="I9" s="451">
        <f>transport!I14</f>
        <v>0</v>
      </c>
      <c r="J9" s="451">
        <f>transport!J14</f>
        <v>0</v>
      </c>
      <c r="K9" s="451">
        <f>transport!K14</f>
        <v>0</v>
      </c>
      <c r="L9" s="451">
        <f>transport!L14</f>
        <v>0</v>
      </c>
      <c r="M9" s="451">
        <f>transport!M14</f>
        <v>9890.3562813154113</v>
      </c>
      <c r="N9" s="451">
        <f>transport!N14</f>
        <v>0</v>
      </c>
      <c r="O9" s="451">
        <f>transport!O14</f>
        <v>0</v>
      </c>
      <c r="P9" s="451">
        <f>transport!P14</f>
        <v>0</v>
      </c>
      <c r="Q9" s="450">
        <f>SUM(B9:P9)</f>
        <v>232180.93675543103</v>
      </c>
    </row>
    <row r="10" spans="1:17">
      <c r="A10" s="446" t="s">
        <v>552</v>
      </c>
      <c r="B10" s="447">
        <f>transport!B54</f>
        <v>9.1743517293328409</v>
      </c>
      <c r="C10" s="447">
        <f>transport!C54</f>
        <v>0</v>
      </c>
      <c r="D10" s="447">
        <f>transport!D54</f>
        <v>0</v>
      </c>
      <c r="E10" s="447">
        <f>transport!E54</f>
        <v>0</v>
      </c>
      <c r="F10" s="447">
        <f>transport!F54</f>
        <v>0</v>
      </c>
      <c r="G10" s="447">
        <f>transport!G54</f>
        <v>1829.8425402493945</v>
      </c>
      <c r="H10" s="447">
        <f>transport!H54</f>
        <v>0</v>
      </c>
      <c r="I10" s="447">
        <f>transport!I54</f>
        <v>0</v>
      </c>
      <c r="J10" s="447">
        <f>transport!J54</f>
        <v>0</v>
      </c>
      <c r="K10" s="447">
        <f>transport!K54</f>
        <v>0</v>
      </c>
      <c r="L10" s="447">
        <f>transport!L54</f>
        <v>0</v>
      </c>
      <c r="M10" s="447">
        <f>transport!M54</f>
        <v>80.877091387319567</v>
      </c>
      <c r="N10" s="447">
        <f>transport!N54</f>
        <v>0</v>
      </c>
      <c r="O10" s="447">
        <f>transport!O54</f>
        <v>0</v>
      </c>
      <c r="P10" s="448">
        <f>transport!P54</f>
        <v>0</v>
      </c>
      <c r="Q10" s="446">
        <f t="shared" si="0"/>
        <v>1919.8939833660468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841.36970040164204</v>
      </c>
      <c r="C14" s="454"/>
      <c r="D14" s="454">
        <f>'SEAP template'!E25</f>
        <v>2232.84092585907</v>
      </c>
      <c r="E14" s="454"/>
      <c r="F14" s="454"/>
      <c r="G14" s="454"/>
      <c r="H14" s="454"/>
      <c r="I14" s="454"/>
      <c r="J14" s="454"/>
      <c r="K14" s="454"/>
      <c r="L14" s="454"/>
      <c r="M14" s="454"/>
      <c r="N14" s="454"/>
      <c r="O14" s="454"/>
      <c r="P14" s="455"/>
      <c r="Q14" s="446">
        <f t="shared" si="0"/>
        <v>3074.2106262607122</v>
      </c>
    </row>
    <row r="15" spans="1:17" s="459" customFormat="1">
      <c r="A15" s="456" t="s">
        <v>556</v>
      </c>
      <c r="B15" s="457">
        <f ca="1">SUM(B4:B14)</f>
        <v>67132.37194525919</v>
      </c>
      <c r="C15" s="457">
        <f t="shared" ref="C15:Q15" ca="1" si="1">SUM(C4:C14)</f>
        <v>0</v>
      </c>
      <c r="D15" s="457">
        <f t="shared" ca="1" si="1"/>
        <v>79130.442927694472</v>
      </c>
      <c r="E15" s="457">
        <f t="shared" si="1"/>
        <v>2781.3119860220249</v>
      </c>
      <c r="F15" s="457">
        <f t="shared" ca="1" si="1"/>
        <v>57597.920949886364</v>
      </c>
      <c r="G15" s="457">
        <f t="shared" si="1"/>
        <v>193608.43879350775</v>
      </c>
      <c r="H15" s="457">
        <f t="shared" si="1"/>
        <v>29626.265279351672</v>
      </c>
      <c r="I15" s="457">
        <f t="shared" si="1"/>
        <v>0</v>
      </c>
      <c r="J15" s="457">
        <f t="shared" si="1"/>
        <v>992.98214683431661</v>
      </c>
      <c r="K15" s="457">
        <f t="shared" si="1"/>
        <v>0</v>
      </c>
      <c r="L15" s="457">
        <f t="shared" ca="1" si="1"/>
        <v>0</v>
      </c>
      <c r="M15" s="457">
        <f t="shared" si="1"/>
        <v>9971.2333727027308</v>
      </c>
      <c r="N15" s="457">
        <f t="shared" ca="1" si="1"/>
        <v>10227.263638629121</v>
      </c>
      <c r="O15" s="457">
        <f t="shared" si="1"/>
        <v>65.660000000000011</v>
      </c>
      <c r="P15" s="457">
        <f t="shared" si="1"/>
        <v>209.73333333333335</v>
      </c>
      <c r="Q15" s="457">
        <f t="shared" ca="1" si="1"/>
        <v>451343.62437322101</v>
      </c>
    </row>
    <row r="17" spans="1:17">
      <c r="A17" s="460" t="s">
        <v>557</v>
      </c>
      <c r="B17" s="764">
        <f ca="1">huishoudens!B10</f>
        <v>0.21077211608973501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6041.1705972699328</v>
      </c>
      <c r="C22" s="447">
        <f t="shared" ref="C22:C32" ca="1" si="3">C4*$C$17</f>
        <v>0</v>
      </c>
      <c r="D22" s="447">
        <f t="shared" ref="D22:D32" si="4">D4*$D$17</f>
        <v>10955.277869362379</v>
      </c>
      <c r="E22" s="447">
        <f t="shared" ref="E22:E32" si="5">E4*$E$17</f>
        <v>362.33155477804803</v>
      </c>
      <c r="F22" s="447">
        <f t="shared" ref="F22:F32" si="6">F4*$F$17</f>
        <v>12992.945898286054</v>
      </c>
      <c r="G22" s="447">
        <f t="shared" ref="G22:G32" si="7">G4*$G$17</f>
        <v>0</v>
      </c>
      <c r="H22" s="447">
        <f t="shared" ref="H22:H32" si="8">H4*$H$17</f>
        <v>0</v>
      </c>
      <c r="I22" s="447">
        <f t="shared" ref="I22:I32" si="9">I4*$I$17</f>
        <v>0</v>
      </c>
      <c r="J22" s="447">
        <f t="shared" ref="J22:J32" si="10">J4*$J$17</f>
        <v>312.57069849899665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30664.296618195411</v>
      </c>
    </row>
    <row r="23" spans="1:17">
      <c r="A23" s="446" t="s">
        <v>149</v>
      </c>
      <c r="B23" s="447">
        <f t="shared" ca="1" si="2"/>
        <v>4881.2287962769888</v>
      </c>
      <c r="C23" s="447">
        <f t="shared" ca="1" si="3"/>
        <v>0</v>
      </c>
      <c r="D23" s="447">
        <f t="shared" ca="1" si="4"/>
        <v>3929.0877870847262</v>
      </c>
      <c r="E23" s="447">
        <f t="shared" si="5"/>
        <v>46.119405388112646</v>
      </c>
      <c r="F23" s="447">
        <f t="shared" ca="1" si="6"/>
        <v>1178.2581737117023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10034.694162461528</v>
      </c>
    </row>
    <row r="24" spans="1:17">
      <c r="A24" s="446" t="s">
        <v>187</v>
      </c>
      <c r="B24" s="447">
        <f t="shared" ca="1" si="2"/>
        <v>207.41156547080027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207.41156547080027</v>
      </c>
    </row>
    <row r="25" spans="1:17">
      <c r="A25" s="446" t="s">
        <v>105</v>
      </c>
      <c r="B25" s="447">
        <f t="shared" ca="1" si="2"/>
        <v>84.987239324087071</v>
      </c>
      <c r="C25" s="447">
        <f t="shared" ca="1" si="3"/>
        <v>0</v>
      </c>
      <c r="D25" s="447">
        <f t="shared" si="4"/>
        <v>21.960210998328019</v>
      </c>
      <c r="E25" s="447">
        <f t="shared" si="5"/>
        <v>0.86227980646233915</v>
      </c>
      <c r="F25" s="447">
        <f t="shared" si="6"/>
        <v>351.32824817282113</v>
      </c>
      <c r="G25" s="447">
        <f t="shared" si="7"/>
        <v>0</v>
      </c>
      <c r="H25" s="447">
        <f t="shared" si="8"/>
        <v>0</v>
      </c>
      <c r="I25" s="447">
        <f t="shared" si="9"/>
        <v>0</v>
      </c>
      <c r="J25" s="447">
        <f t="shared" si="10"/>
        <v>17.657556499215723</v>
      </c>
      <c r="K25" s="447">
        <f t="shared" si="11"/>
        <v>0</v>
      </c>
      <c r="L25" s="447">
        <f t="shared" si="12"/>
        <v>0</v>
      </c>
      <c r="M25" s="447">
        <f t="shared" si="13"/>
        <v>0</v>
      </c>
      <c r="N25" s="447">
        <f t="shared" si="14"/>
        <v>0</v>
      </c>
      <c r="O25" s="447">
        <f t="shared" si="15"/>
        <v>0</v>
      </c>
      <c r="P25" s="448">
        <f t="shared" si="16"/>
        <v>0</v>
      </c>
      <c r="Q25" s="446">
        <f t="shared" ca="1" si="17"/>
        <v>476.79553480091431</v>
      </c>
    </row>
    <row r="26" spans="1:17">
      <c r="A26" s="446" t="s">
        <v>665</v>
      </c>
      <c r="B26" s="447">
        <f t="shared" ca="1" si="2"/>
        <v>2753.5376778803325</v>
      </c>
      <c r="C26" s="447">
        <f t="shared" ca="1" si="3"/>
        <v>0</v>
      </c>
      <c r="D26" s="447">
        <f t="shared" si="4"/>
        <v>624.57193573902441</v>
      </c>
      <c r="E26" s="447">
        <f t="shared" si="5"/>
        <v>25.884591198093723</v>
      </c>
      <c r="F26" s="447">
        <f t="shared" si="6"/>
        <v>856.11257344908006</v>
      </c>
      <c r="G26" s="447">
        <f t="shared" si="7"/>
        <v>0</v>
      </c>
      <c r="H26" s="447">
        <f t="shared" si="8"/>
        <v>0</v>
      </c>
      <c r="I26" s="447">
        <f t="shared" si="9"/>
        <v>0</v>
      </c>
      <c r="J26" s="447">
        <f t="shared" si="10"/>
        <v>21.287424981135654</v>
      </c>
      <c r="K26" s="447">
        <f t="shared" si="11"/>
        <v>0</v>
      </c>
      <c r="L26" s="447">
        <f t="shared" si="12"/>
        <v>0</v>
      </c>
      <c r="M26" s="447">
        <f t="shared" si="13"/>
        <v>0</v>
      </c>
      <c r="N26" s="447">
        <f t="shared" si="14"/>
        <v>0</v>
      </c>
      <c r="O26" s="447">
        <f t="shared" si="15"/>
        <v>0</v>
      </c>
      <c r="P26" s="448">
        <f t="shared" si="16"/>
        <v>0</v>
      </c>
      <c r="Q26" s="446">
        <f t="shared" ca="1" si="17"/>
        <v>4281.3942032476662</v>
      </c>
    </row>
    <row r="27" spans="1:17" s="452" customFormat="1">
      <c r="A27" s="450" t="s">
        <v>562</v>
      </c>
      <c r="B27" s="758">
        <f t="shared" ca="1" si="2"/>
        <v>2.0252471081131951</v>
      </c>
      <c r="C27" s="451">
        <f t="shared" ca="1" si="3"/>
        <v>0</v>
      </c>
      <c r="D27" s="451">
        <f t="shared" si="4"/>
        <v>2.417801186296487</v>
      </c>
      <c r="E27" s="451">
        <f t="shared" si="5"/>
        <v>196.15998965628296</v>
      </c>
      <c r="F27" s="451">
        <f t="shared" si="6"/>
        <v>0</v>
      </c>
      <c r="G27" s="451">
        <f t="shared" si="7"/>
        <v>51204.885199619981</v>
      </c>
      <c r="H27" s="451">
        <f t="shared" si="8"/>
        <v>7376.9400545585659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58782.42829212924</v>
      </c>
    </row>
    <row r="28" spans="1:17">
      <c r="A28" s="446" t="s">
        <v>552</v>
      </c>
      <c r="B28" s="447">
        <f t="shared" ca="1" si="2"/>
        <v>1.9336975277430026</v>
      </c>
      <c r="C28" s="447">
        <f t="shared" ca="1" si="3"/>
        <v>0</v>
      </c>
      <c r="D28" s="447">
        <f t="shared" si="4"/>
        <v>0</v>
      </c>
      <c r="E28" s="447">
        <f t="shared" si="5"/>
        <v>0</v>
      </c>
      <c r="F28" s="447">
        <f t="shared" si="6"/>
        <v>0</v>
      </c>
      <c r="G28" s="447">
        <f t="shared" si="7"/>
        <v>488.56795824658838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490.50165577433137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177.33727216744046</v>
      </c>
      <c r="C32" s="447">
        <f t="shared" ca="1" si="3"/>
        <v>0</v>
      </c>
      <c r="D32" s="447">
        <f t="shared" si="4"/>
        <v>451.0338670235322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628.3711391909726</v>
      </c>
    </row>
    <row r="33" spans="1:17" s="459" customFormat="1">
      <c r="A33" s="456" t="s">
        <v>556</v>
      </c>
      <c r="B33" s="457">
        <f ca="1">SUM(B22:B32)</f>
        <v>14149.632093025441</v>
      </c>
      <c r="C33" s="457">
        <f t="shared" ref="C33:Q33" ca="1" si="18">SUM(C22:C32)</f>
        <v>0</v>
      </c>
      <c r="D33" s="457">
        <f t="shared" ca="1" si="18"/>
        <v>15984.349471394287</v>
      </c>
      <c r="E33" s="457">
        <f t="shared" si="18"/>
        <v>631.35782082699961</v>
      </c>
      <c r="F33" s="457">
        <f t="shared" ca="1" si="18"/>
        <v>15378.644893619658</v>
      </c>
      <c r="G33" s="457">
        <f t="shared" si="18"/>
        <v>51693.45315786657</v>
      </c>
      <c r="H33" s="457">
        <f t="shared" si="18"/>
        <v>7376.9400545585659</v>
      </c>
      <c r="I33" s="457">
        <f t="shared" si="18"/>
        <v>0</v>
      </c>
      <c r="J33" s="457">
        <f t="shared" si="18"/>
        <v>351.51567997934802</v>
      </c>
      <c r="K33" s="457">
        <f t="shared" si="18"/>
        <v>0</v>
      </c>
      <c r="L33" s="457">
        <f t="shared" ca="1" si="18"/>
        <v>0</v>
      </c>
      <c r="M33" s="457">
        <f t="shared" si="18"/>
        <v>0</v>
      </c>
      <c r="N33" s="457">
        <f t="shared" ca="1" si="18"/>
        <v>0</v>
      </c>
      <c r="O33" s="457">
        <f t="shared" si="18"/>
        <v>0</v>
      </c>
      <c r="P33" s="457">
        <f t="shared" si="18"/>
        <v>0</v>
      </c>
      <c r="Q33" s="457">
        <f t="shared" ca="1" si="18"/>
        <v>105565.89317127087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3106.8873614336699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3106.8873614336699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0.21077211608973501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0.21077211608973501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0.21077211608973501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0.21077211608973501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6079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986</v>
      </c>
      <c r="C14" s="327"/>
      <c r="D14" s="327"/>
      <c r="E14" s="327"/>
      <c r="F14" s="327"/>
    </row>
    <row r="15" spans="1:6">
      <c r="A15" s="1293" t="s">
        <v>177</v>
      </c>
      <c r="B15" s="1294">
        <v>7</v>
      </c>
      <c r="C15" s="327"/>
      <c r="D15" s="327"/>
      <c r="E15" s="327"/>
      <c r="F15" s="327"/>
    </row>
    <row r="16" spans="1:6">
      <c r="A16" s="1293" t="s">
        <v>6</v>
      </c>
      <c r="B16" s="1294">
        <v>270</v>
      </c>
      <c r="C16" s="327"/>
      <c r="D16" s="327"/>
      <c r="E16" s="327"/>
      <c r="F16" s="327"/>
    </row>
    <row r="17" spans="1:6">
      <c r="A17" s="1293" t="s">
        <v>7</v>
      </c>
      <c r="B17" s="1294">
        <v>219</v>
      </c>
      <c r="C17" s="327"/>
      <c r="D17" s="327"/>
      <c r="E17" s="327"/>
      <c r="F17" s="327"/>
    </row>
    <row r="18" spans="1:6">
      <c r="A18" s="1293" t="s">
        <v>8</v>
      </c>
      <c r="B18" s="1294">
        <v>336</v>
      </c>
      <c r="C18" s="327"/>
      <c r="D18" s="327"/>
      <c r="E18" s="327"/>
      <c r="F18" s="327"/>
    </row>
    <row r="19" spans="1:6">
      <c r="A19" s="1293" t="s">
        <v>9</v>
      </c>
      <c r="B19" s="1294">
        <v>294</v>
      </c>
      <c r="C19" s="327"/>
      <c r="D19" s="327"/>
      <c r="E19" s="327"/>
      <c r="F19" s="327"/>
    </row>
    <row r="20" spans="1:6">
      <c r="A20" s="1293" t="s">
        <v>10</v>
      </c>
      <c r="B20" s="1294">
        <v>256</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85</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132</v>
      </c>
      <c r="C29" s="327"/>
      <c r="D29" s="327"/>
      <c r="E29" s="327"/>
      <c r="F29" s="327"/>
    </row>
    <row r="30" spans="1:6">
      <c r="A30" s="1288" t="s">
        <v>956</v>
      </c>
      <c r="B30" s="1296">
        <v>28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6522.4142060144004</v>
      </c>
    </row>
    <row r="39" spans="1:6">
      <c r="A39" s="1293" t="s">
        <v>29</v>
      </c>
      <c r="B39" s="1293" t="s">
        <v>30</v>
      </c>
      <c r="C39" s="1294">
        <v>3157</v>
      </c>
      <c r="D39" s="1294">
        <v>60126439.975864299</v>
      </c>
      <c r="E39" s="1294">
        <v>5996</v>
      </c>
      <c r="F39" s="1294">
        <v>26449502.3872387</v>
      </c>
    </row>
    <row r="40" spans="1:6">
      <c r="A40" s="1293" t="s">
        <v>29</v>
      </c>
      <c r="B40" s="1293" t="s">
        <v>28</v>
      </c>
      <c r="C40" s="1294">
        <v>0</v>
      </c>
      <c r="D40" s="1294">
        <v>0</v>
      </c>
      <c r="E40" s="1294">
        <v>0</v>
      </c>
      <c r="F40" s="1294">
        <v>0</v>
      </c>
    </row>
    <row r="41" spans="1:6">
      <c r="A41" s="1293" t="s">
        <v>31</v>
      </c>
      <c r="B41" s="1293" t="s">
        <v>32</v>
      </c>
      <c r="C41" s="1294">
        <v>16</v>
      </c>
      <c r="D41" s="1294">
        <v>492086.57682302798</v>
      </c>
      <c r="E41" s="1294">
        <v>71</v>
      </c>
      <c r="F41" s="1294">
        <v>1075366.9214903801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21340.6547544065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37</v>
      </c>
      <c r="D48" s="1294">
        <v>2935785.1259882399</v>
      </c>
      <c r="E48" s="1294">
        <v>64</v>
      </c>
      <c r="F48" s="1294">
        <v>11868090.8793517</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99252.562935918206</v>
      </c>
    </row>
    <row r="51" spans="1:6">
      <c r="A51" s="1293" t="s">
        <v>41</v>
      </c>
      <c r="B51" s="1293" t="s">
        <v>42</v>
      </c>
      <c r="C51" s="1294">
        <v>0</v>
      </c>
      <c r="D51" s="1294">
        <v>0</v>
      </c>
      <c r="E51" s="1294">
        <v>20</v>
      </c>
      <c r="F51" s="1294">
        <v>212370.35101151999</v>
      </c>
    </row>
    <row r="52" spans="1:6">
      <c r="A52" s="1293" t="s">
        <v>41</v>
      </c>
      <c r="B52" s="1293" t="s">
        <v>28</v>
      </c>
      <c r="C52" s="1294">
        <v>7</v>
      </c>
      <c r="D52" s="1294">
        <v>120525.405580163</v>
      </c>
      <c r="E52" s="1294">
        <v>11</v>
      </c>
      <c r="F52" s="1294">
        <v>190848.25731665301</v>
      </c>
    </row>
    <row r="53" spans="1:6">
      <c r="A53" s="1293" t="s">
        <v>43</v>
      </c>
      <c r="B53" s="1293" t="s">
        <v>44</v>
      </c>
      <c r="C53" s="1294">
        <v>74</v>
      </c>
      <c r="D53" s="1294">
        <v>2232840.9258590699</v>
      </c>
      <c r="E53" s="1294">
        <v>146</v>
      </c>
      <c r="F53" s="1294">
        <v>841369.70040164201</v>
      </c>
    </row>
    <row r="54" spans="1:6">
      <c r="A54" s="1293" t="s">
        <v>45</v>
      </c>
      <c r="B54" s="1293" t="s">
        <v>46</v>
      </c>
      <c r="C54" s="1294">
        <v>0</v>
      </c>
      <c r="D54" s="1294">
        <v>0</v>
      </c>
      <c r="E54" s="1294">
        <v>1</v>
      </c>
      <c r="F54" s="1294">
        <v>984056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476848.55762655498</v>
      </c>
      <c r="E57" s="1294">
        <v>36</v>
      </c>
      <c r="F57" s="1294">
        <v>312688.70944529102</v>
      </c>
    </row>
    <row r="58" spans="1:6">
      <c r="A58" s="1293" t="s">
        <v>48</v>
      </c>
      <c r="B58" s="1293" t="s">
        <v>50</v>
      </c>
      <c r="C58" s="1294">
        <v>7</v>
      </c>
      <c r="D58" s="1294">
        <v>244818.742116059</v>
      </c>
      <c r="E58" s="1294">
        <v>19</v>
      </c>
      <c r="F58" s="1294">
        <v>122126.60715451901</v>
      </c>
    </row>
    <row r="59" spans="1:6">
      <c r="A59" s="1293" t="s">
        <v>48</v>
      </c>
      <c r="B59" s="1293" t="s">
        <v>51</v>
      </c>
      <c r="C59" s="1294">
        <v>50</v>
      </c>
      <c r="D59" s="1294">
        <v>2750513.3364250902</v>
      </c>
      <c r="E59" s="1294">
        <v>137</v>
      </c>
      <c r="F59" s="1294">
        <v>7346326.1628954904</v>
      </c>
    </row>
    <row r="60" spans="1:6">
      <c r="A60" s="1293" t="s">
        <v>48</v>
      </c>
      <c r="B60" s="1293" t="s">
        <v>52</v>
      </c>
      <c r="C60" s="1294">
        <v>40</v>
      </c>
      <c r="D60" s="1294">
        <v>1969804.60954229</v>
      </c>
      <c r="E60" s="1294">
        <v>59</v>
      </c>
      <c r="F60" s="1294">
        <v>1496516.4965476301</v>
      </c>
    </row>
    <row r="61" spans="1:6">
      <c r="A61" s="1293" t="s">
        <v>48</v>
      </c>
      <c r="B61" s="1293" t="s">
        <v>53</v>
      </c>
      <c r="C61" s="1294">
        <v>98</v>
      </c>
      <c r="D61" s="1294">
        <v>6258932.1280434001</v>
      </c>
      <c r="E61" s="1294">
        <v>232</v>
      </c>
      <c r="F61" s="1294">
        <v>4828073.2436378999</v>
      </c>
    </row>
    <row r="62" spans="1:6">
      <c r="A62" s="1293" t="s">
        <v>48</v>
      </c>
      <c r="B62" s="1293" t="s">
        <v>54</v>
      </c>
      <c r="C62" s="1294">
        <v>0</v>
      </c>
      <c r="D62" s="1294">
        <v>0</v>
      </c>
      <c r="E62" s="1294">
        <v>7</v>
      </c>
      <c r="F62" s="1294">
        <v>358253.497492522</v>
      </c>
    </row>
    <row r="63" spans="1:6">
      <c r="A63" s="1293" t="s">
        <v>48</v>
      </c>
      <c r="B63" s="1293" t="s">
        <v>28</v>
      </c>
      <c r="C63" s="1294">
        <v>150</v>
      </c>
      <c r="D63" s="1294">
        <v>9863306.1728467103</v>
      </c>
      <c r="E63" s="1294">
        <v>203</v>
      </c>
      <c r="F63" s="1294">
        <v>8694812.9778634701</v>
      </c>
    </row>
    <row r="64" spans="1:6">
      <c r="A64" s="1293" t="s">
        <v>55</v>
      </c>
      <c r="B64" s="1293" t="s">
        <v>56</v>
      </c>
      <c r="C64" s="1294">
        <v>0</v>
      </c>
      <c r="D64" s="1294">
        <v>0</v>
      </c>
      <c r="E64" s="1294">
        <v>0</v>
      </c>
      <c r="F64" s="1294">
        <v>0</v>
      </c>
    </row>
    <row r="65" spans="1:6">
      <c r="A65" s="1293" t="s">
        <v>55</v>
      </c>
      <c r="B65" s="1293" t="s">
        <v>28</v>
      </c>
      <c r="C65" s="1294">
        <v>4</v>
      </c>
      <c r="D65" s="1294">
        <v>82555.497720195606</v>
      </c>
      <c r="E65" s="1294">
        <v>3</v>
      </c>
      <c r="F65" s="1294">
        <v>6881.7029075999999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2590832.9962731199</v>
      </c>
      <c r="E68" s="1296">
        <v>20</v>
      </c>
      <c r="F68" s="1296">
        <v>1262776.5801452899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26185603</v>
      </c>
      <c r="E73" s="445"/>
      <c r="F73" s="327"/>
    </row>
    <row r="74" spans="1:6">
      <c r="A74" s="1293" t="s">
        <v>63</v>
      </c>
      <c r="B74" s="1293" t="s">
        <v>749</v>
      </c>
      <c r="C74" s="1306" t="s">
        <v>743</v>
      </c>
      <c r="D74" s="1294">
        <v>4174009.6859081313</v>
      </c>
      <c r="E74" s="445"/>
      <c r="F74" s="327"/>
    </row>
    <row r="75" spans="1:6">
      <c r="A75" s="1293" t="s">
        <v>64</v>
      </c>
      <c r="B75" s="1293" t="s">
        <v>748</v>
      </c>
      <c r="C75" s="1306" t="s">
        <v>744</v>
      </c>
      <c r="D75" s="1294">
        <v>51297165</v>
      </c>
      <c r="E75" s="445"/>
      <c r="F75" s="327"/>
    </row>
    <row r="76" spans="1:6">
      <c r="A76" s="1293" t="s">
        <v>64</v>
      </c>
      <c r="B76" s="1293" t="s">
        <v>749</v>
      </c>
      <c r="C76" s="1306" t="s">
        <v>745</v>
      </c>
      <c r="D76" s="1294">
        <v>2877385.6859081313</v>
      </c>
      <c r="E76" s="445"/>
      <c r="F76" s="327"/>
    </row>
    <row r="77" spans="1:6">
      <c r="A77" s="1293" t="s">
        <v>65</v>
      </c>
      <c r="B77" s="1293" t="s">
        <v>748</v>
      </c>
      <c r="C77" s="1306" t="s">
        <v>746</v>
      </c>
      <c r="D77" s="1294">
        <v>151835746</v>
      </c>
      <c r="E77" s="445"/>
      <c r="F77" s="327"/>
    </row>
    <row r="78" spans="1:6">
      <c r="A78" s="1288" t="s">
        <v>65</v>
      </c>
      <c r="B78" s="1288" t="s">
        <v>749</v>
      </c>
      <c r="C78" s="1288" t="s">
        <v>747</v>
      </c>
      <c r="D78" s="1296">
        <v>17304248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505442.62818373722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2212.5934788859236</v>
      </c>
      <c r="C91" s="327"/>
      <c r="D91" s="327"/>
      <c r="E91" s="327"/>
      <c r="F91" s="327"/>
    </row>
    <row r="92" spans="1:6">
      <c r="A92" s="1288" t="s">
        <v>68</v>
      </c>
      <c r="B92" s="1289">
        <v>894.29388254774653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1691</v>
      </c>
      <c r="C97" s="327"/>
      <c r="D97" s="327"/>
      <c r="E97" s="327"/>
      <c r="F97" s="327"/>
    </row>
    <row r="98" spans="1:6">
      <c r="A98" s="1293" t="s">
        <v>71</v>
      </c>
      <c r="B98" s="1294">
        <v>2</v>
      </c>
      <c r="C98" s="327"/>
      <c r="D98" s="327"/>
      <c r="E98" s="327"/>
      <c r="F98" s="327"/>
    </row>
    <row r="99" spans="1:6">
      <c r="A99" s="1293" t="s">
        <v>72</v>
      </c>
      <c r="B99" s="1294">
        <v>122</v>
      </c>
      <c r="C99" s="327"/>
      <c r="D99" s="327"/>
      <c r="E99" s="327"/>
      <c r="F99" s="327"/>
    </row>
    <row r="100" spans="1:6">
      <c r="A100" s="1293" t="s">
        <v>73</v>
      </c>
      <c r="B100" s="1294">
        <v>513</v>
      </c>
      <c r="C100" s="327"/>
      <c r="D100" s="327"/>
      <c r="E100" s="327"/>
      <c r="F100" s="327"/>
    </row>
    <row r="101" spans="1:6">
      <c r="A101" s="1293" t="s">
        <v>74</v>
      </c>
      <c r="B101" s="1294">
        <v>54</v>
      </c>
      <c r="C101" s="327"/>
      <c r="D101" s="327"/>
      <c r="E101" s="327"/>
      <c r="F101" s="327"/>
    </row>
    <row r="102" spans="1:6">
      <c r="A102" s="1293" t="s">
        <v>75</v>
      </c>
      <c r="B102" s="1294">
        <v>63</v>
      </c>
      <c r="C102" s="327"/>
      <c r="D102" s="327"/>
      <c r="E102" s="327"/>
      <c r="F102" s="327"/>
    </row>
    <row r="103" spans="1:6">
      <c r="A103" s="1293" t="s">
        <v>76</v>
      </c>
      <c r="B103" s="1294">
        <v>128</v>
      </c>
      <c r="C103" s="327"/>
      <c r="D103" s="327"/>
      <c r="E103" s="327"/>
      <c r="F103" s="327"/>
    </row>
    <row r="104" spans="1:6">
      <c r="A104" s="1293" t="s">
        <v>77</v>
      </c>
      <c r="B104" s="1294">
        <v>2909</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6</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67132.371945259176</v>
      </c>
      <c r="C3" s="44" t="s">
        <v>163</v>
      </c>
      <c r="D3" s="44"/>
      <c r="E3" s="157"/>
      <c r="F3" s="44"/>
      <c r="G3" s="44"/>
      <c r="H3" s="44"/>
      <c r="I3" s="44"/>
      <c r="J3" s="44"/>
      <c r="K3" s="97"/>
    </row>
    <row r="4" spans="1:11">
      <c r="A4" s="352" t="s">
        <v>164</v>
      </c>
      <c r="B4" s="50">
        <f>IF(ISERROR('SEAP template'!B78+'SEAP template'!C78),0,'SEAP template'!B78+'SEAP template'!C78)</f>
        <v>3106.8873614336699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0.21077211608973501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984.05600000000004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984.05600000000004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0.21077211608973501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207.41156547080027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26449.502387238699</v>
      </c>
      <c r="C5" s="18">
        <f>IF(ISERROR('Eigen informatie GS &amp; warmtenet'!B57),0,'Eigen informatie GS &amp; warmtenet'!B57)</f>
        <v>0</v>
      </c>
      <c r="D5" s="31">
        <f>(SUM(HH_hh_gas_kWh,HH_rest_gas_kWh)/1000)*0.902</f>
        <v>54234.048858229595</v>
      </c>
      <c r="E5" s="18">
        <f>B32*B41</f>
        <v>1596.1742501235597</v>
      </c>
      <c r="F5" s="18">
        <f>B36*B45</f>
        <v>48662.718720172488</v>
      </c>
      <c r="G5" s="19"/>
      <c r="H5" s="18"/>
      <c r="I5" s="18"/>
      <c r="J5" s="18">
        <f>B35*B44+C35*C44</f>
        <v>882.96807485592285</v>
      </c>
      <c r="K5" s="18"/>
      <c r="L5" s="18"/>
      <c r="M5" s="18"/>
      <c r="N5" s="18">
        <f>B34*B43+C34*C43</f>
        <v>8987.7821768665162</v>
      </c>
      <c r="O5" s="18">
        <f>B52*B53*B54</f>
        <v>65.660000000000011</v>
      </c>
      <c r="P5" s="18">
        <f>B60*B61*B62/1000-B60*B61*B62/1000/B63</f>
        <v>209.73333333333335</v>
      </c>
    </row>
    <row r="6" spans="1:16">
      <c r="A6" s="17" t="s">
        <v>622</v>
      </c>
      <c r="B6" s="766">
        <f>kWh_PV_kleiner_dan_10kW</f>
        <v>2212.5934788859236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28662.095866124622</v>
      </c>
      <c r="C8" s="22">
        <f>C5</f>
        <v>0</v>
      </c>
      <c r="D8" s="22">
        <f>D5</f>
        <v>54234.048858229595</v>
      </c>
      <c r="E8" s="22">
        <f>E5</f>
        <v>1596.1742501235597</v>
      </c>
      <c r="F8" s="22">
        <f>F5</f>
        <v>48662.718720172488</v>
      </c>
      <c r="G8" s="22"/>
      <c r="H8" s="22"/>
      <c r="I8" s="22"/>
      <c r="J8" s="22">
        <f>J5</f>
        <v>882.96807485592285</v>
      </c>
      <c r="K8" s="22"/>
      <c r="L8" s="22">
        <f>L5</f>
        <v>0</v>
      </c>
      <c r="M8" s="22">
        <f>M5</f>
        <v>0</v>
      </c>
      <c r="N8" s="22">
        <f>N5</f>
        <v>8987.7821768665162</v>
      </c>
      <c r="O8" s="22">
        <f>O5</f>
        <v>65.660000000000011</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0.21077211608973501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6041.1705972699328</v>
      </c>
      <c r="C12" s="24">
        <f ca="1">C10*C8</f>
        <v>0</v>
      </c>
      <c r="D12" s="24">
        <f>D8*D10</f>
        <v>10955.277869362379</v>
      </c>
      <c r="E12" s="24">
        <f>E10*E8</f>
        <v>362.33155477804803</v>
      </c>
      <c r="F12" s="24">
        <f>F10*F8</f>
        <v>12992.945898286054</v>
      </c>
      <c r="G12" s="24"/>
      <c r="H12" s="24"/>
      <c r="I12" s="24"/>
      <c r="J12" s="24">
        <f>J10*J8</f>
        <v>312.57069849899665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6079</v>
      </c>
      <c r="C26" s="37"/>
      <c r="D26" s="228"/>
    </row>
    <row r="27" spans="1:5" s="16" customFormat="1">
      <c r="A27" s="230" t="s">
        <v>648</v>
      </c>
      <c r="B27" s="38">
        <f>SUM(HH_hh_gas_aantal,HH_rest_gas_aantal)</f>
        <v>3157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2999.15</v>
      </c>
      <c r="C31" s="35" t="s">
        <v>104</v>
      </c>
      <c r="D31" s="174"/>
    </row>
    <row r="32" spans="1:5">
      <c r="A32" s="171" t="s">
        <v>72</v>
      </c>
      <c r="B32" s="34">
        <f>IF((B21*($B$26-($B$27-0.05*$B$27)-$B$60))&lt;0,0,B21*($B$26-($B$27-0.05*$B$27)-$B$60))</f>
        <v>75.418003214738434</v>
      </c>
      <c r="C32" s="35" t="s">
        <v>104</v>
      </c>
      <c r="D32" s="174"/>
    </row>
    <row r="33" spans="1:6">
      <c r="A33" s="171" t="s">
        <v>73</v>
      </c>
      <c r="B33" s="34">
        <f>IF((B22*($B$26-($B$27-0.05*$B$27)-$B$60))&lt;0,0,B22*($B$26-($B$27-0.05*$B$27)-$B$60))</f>
        <v>507.65161484883669</v>
      </c>
      <c r="C33" s="35" t="s">
        <v>104</v>
      </c>
      <c r="D33" s="174"/>
    </row>
    <row r="34" spans="1:6">
      <c r="A34" s="171" t="s">
        <v>74</v>
      </c>
      <c r="B34" s="34">
        <f>IF((B24*($B$26-($B$27-0.05*$B$27)-$B$60))&lt;0,0,B24*($B$26-($B$27-0.05*$B$27)-$B$60))</f>
        <v>128.75114985214523</v>
      </c>
      <c r="C34" s="34">
        <f>B26*C24</f>
        <v>1243.1696499002903</v>
      </c>
      <c r="D34" s="233"/>
    </row>
    <row r="35" spans="1:6">
      <c r="A35" s="171" t="s">
        <v>76</v>
      </c>
      <c r="B35" s="34">
        <f>IF((B19*($B$26-($B$27-0.05*$B$27)-$B$60))&lt;0,0,B19*($B$26-($B$27-0.05*$B$27)-$B$60))</f>
        <v>47.865603069107152</v>
      </c>
      <c r="C35" s="34">
        <f>B35/2</f>
        <v>23.932801534553576</v>
      </c>
      <c r="D35" s="233"/>
    </row>
    <row r="36" spans="1:6">
      <c r="A36" s="171" t="s">
        <v>77</v>
      </c>
      <c r="B36" s="34">
        <f>IF((B18*($B$26-($B$27-0.05*$B$27)-$B$60))&lt;0,0,B18*($B$26-($B$27-0.05*$B$27)-$B$60))</f>
        <v>2309.1636290151714</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23158.797695036825</v>
      </c>
      <c r="C5" s="18">
        <f>IF(ISERROR('Eigen informatie GS &amp; warmtenet'!B58),0,'Eigen informatie GS &amp; warmtenet'!B58)</f>
        <v>0</v>
      </c>
      <c r="D5" s="31">
        <f>SUM(D6:D12)</f>
        <v>19450.929639033297</v>
      </c>
      <c r="E5" s="18">
        <f>SUM(E6:E12)</f>
        <v>203.16918673177378</v>
      </c>
      <c r="F5" s="18">
        <f>SUM(F6:F12)</f>
        <v>4412.9519614670498</v>
      </c>
      <c r="G5" s="19"/>
      <c r="H5" s="18"/>
      <c r="I5" s="18"/>
      <c r="J5" s="18">
        <f>SUM(J6:J12)</f>
        <v>0</v>
      </c>
      <c r="K5" s="18"/>
      <c r="L5" s="18"/>
      <c r="M5" s="18"/>
      <c r="N5" s="18">
        <f>SUM(N6:N12)</f>
        <v>792.14398329376286</v>
      </c>
      <c r="O5" s="18">
        <f>B38*B39*B40</f>
        <v>0</v>
      </c>
      <c r="P5" s="18">
        <f>B46*B47*B48/1000-B46*B47*B48/1000/B49</f>
        <v>0</v>
      </c>
      <c r="R5" s="33"/>
    </row>
    <row r="6" spans="1:18">
      <c r="A6" s="33" t="s">
        <v>53</v>
      </c>
      <c r="B6" s="38">
        <f>B26</f>
        <v>4828.0732436379003</v>
      </c>
      <c r="C6" s="34"/>
      <c r="D6" s="38">
        <f>IF(ISERROR(TER_kantoor_gas_kWh/1000),0,TER_kantoor_gas_kWh/1000)*0.902</f>
        <v>5645.5567794951476</v>
      </c>
      <c r="E6" s="34">
        <f>$C$26*'E Balans VL '!I12/100/3.6*1000000</f>
        <v>7.923846726653383</v>
      </c>
      <c r="F6" s="34">
        <f>$C$26*('E Balans VL '!L12+'E Balans VL '!N12)/100/3.6*1000000</f>
        <v>569.1162370303947</v>
      </c>
      <c r="G6" s="35"/>
      <c r="H6" s="34"/>
      <c r="I6" s="34"/>
      <c r="J6" s="34">
        <f>$C$26*('E Balans VL '!D12+'E Balans VL '!E12)/100/3.6*1000000</f>
        <v>0</v>
      </c>
      <c r="K6" s="34"/>
      <c r="L6" s="34"/>
      <c r="M6" s="34"/>
      <c r="N6" s="34">
        <f>$C$26*'E Balans VL '!Y12/100/3.6*1000000</f>
        <v>0.9754893360785114</v>
      </c>
      <c r="O6" s="34"/>
      <c r="P6" s="34"/>
      <c r="R6" s="33"/>
    </row>
    <row r="7" spans="1:18">
      <c r="A7" s="33" t="s">
        <v>52</v>
      </c>
      <c r="B7" s="38">
        <f t="shared" ref="B7:B12" si="0">B27</f>
        <v>1496.5164965476301</v>
      </c>
      <c r="C7" s="34"/>
      <c r="D7" s="38">
        <f>IF(ISERROR(TER_horeca_gas_kWh/1000),0,TER_horeca_gas_kWh/1000)*0.902</f>
        <v>1776.7637578071456</v>
      </c>
      <c r="E7" s="34">
        <f>$C$27*'E Balans VL '!I9/100/3.6*1000000</f>
        <v>77.658377145720493</v>
      </c>
      <c r="F7" s="34">
        <f>$C$27*('E Balans VL '!L9+'E Balans VL '!N9)/100/3.6*1000000</f>
        <v>341.50615038992095</v>
      </c>
      <c r="G7" s="35"/>
      <c r="H7" s="34"/>
      <c r="I7" s="34"/>
      <c r="J7" s="34">
        <f>$C$27*('E Balans VL '!D9+'E Balans VL '!E9)/100/3.6*1000000</f>
        <v>0</v>
      </c>
      <c r="K7" s="34"/>
      <c r="L7" s="34"/>
      <c r="M7" s="34"/>
      <c r="N7" s="34">
        <f>$C$27*'E Balans VL '!Y9/100/3.6*1000000</f>
        <v>0.15803145622682516</v>
      </c>
      <c r="O7" s="34"/>
      <c r="P7" s="34"/>
      <c r="R7" s="33"/>
    </row>
    <row r="8" spans="1:18">
      <c r="A8" s="6" t="s">
        <v>51</v>
      </c>
      <c r="B8" s="38">
        <f t="shared" si="0"/>
        <v>7346.3261628954906</v>
      </c>
      <c r="C8" s="34"/>
      <c r="D8" s="38">
        <f>IF(ISERROR(TER_handel_gas_kWh/1000),0,TER_handel_gas_kWh/1000)*0.902</f>
        <v>2480.9630294554313</v>
      </c>
      <c r="E8" s="34">
        <f>$C$28*'E Balans VL '!I13/100/3.6*1000000</f>
        <v>39.560869130693327</v>
      </c>
      <c r="F8" s="34">
        <f>$C$28*('E Balans VL '!L13+'E Balans VL '!N13)/100/3.6*1000000</f>
        <v>1498.1342177651929</v>
      </c>
      <c r="G8" s="35"/>
      <c r="H8" s="34"/>
      <c r="I8" s="34"/>
      <c r="J8" s="34">
        <f>$C$28*('E Balans VL '!D13+'E Balans VL '!E13)/100/3.6*1000000</f>
        <v>0</v>
      </c>
      <c r="K8" s="34"/>
      <c r="L8" s="34"/>
      <c r="M8" s="34"/>
      <c r="N8" s="34">
        <f>$C$28*'E Balans VL '!Y13/100/3.6*1000000</f>
        <v>36.529400524382119</v>
      </c>
      <c r="O8" s="34"/>
      <c r="P8" s="34"/>
      <c r="R8" s="33"/>
    </row>
    <row r="9" spans="1:18">
      <c r="A9" s="33" t="s">
        <v>50</v>
      </c>
      <c r="B9" s="38">
        <f t="shared" si="0"/>
        <v>122.12660715451901</v>
      </c>
      <c r="C9" s="34"/>
      <c r="D9" s="38">
        <f>IF(ISERROR(TER_gezond_gas_kWh/1000),0,TER_gezond_gas_kWh/1000)*0.902</f>
        <v>220.82650538868523</v>
      </c>
      <c r="E9" s="34">
        <f>$C$29*'E Balans VL '!I10/100/3.6*1000000</f>
        <v>0.12102885650815712</v>
      </c>
      <c r="F9" s="34">
        <f>$C$29*('E Balans VL '!L10+'E Balans VL '!N10)/100/3.6*1000000</f>
        <v>42.374412518215706</v>
      </c>
      <c r="G9" s="35"/>
      <c r="H9" s="34"/>
      <c r="I9" s="34"/>
      <c r="J9" s="34">
        <f>$C$29*('E Balans VL '!D10+'E Balans VL '!E10)/100/3.6*1000000</f>
        <v>0</v>
      </c>
      <c r="K9" s="34"/>
      <c r="L9" s="34"/>
      <c r="M9" s="34"/>
      <c r="N9" s="34">
        <f>$C$29*'E Balans VL '!Y10/100/3.6*1000000</f>
        <v>1.0523543940732352</v>
      </c>
      <c r="O9" s="34"/>
      <c r="P9" s="34"/>
      <c r="R9" s="33"/>
    </row>
    <row r="10" spans="1:18">
      <c r="A10" s="33" t="s">
        <v>49</v>
      </c>
      <c r="B10" s="38">
        <f t="shared" si="0"/>
        <v>312.68870944529101</v>
      </c>
      <c r="C10" s="34"/>
      <c r="D10" s="38">
        <f>IF(ISERROR(TER_ander_gas_kWh/1000),0,TER_ander_gas_kWh/1000)*0.902</f>
        <v>430.1173989791526</v>
      </c>
      <c r="E10" s="34">
        <f>$C$30*'E Balans VL '!I14/100/3.6*1000000</f>
        <v>2.558106153371277</v>
      </c>
      <c r="F10" s="34">
        <f>$C$30*('E Balans VL '!L14+'E Balans VL '!N14)/100/3.6*1000000</f>
        <v>91.417448557206043</v>
      </c>
      <c r="G10" s="35"/>
      <c r="H10" s="34"/>
      <c r="I10" s="34"/>
      <c r="J10" s="34">
        <f>$C$30*('E Balans VL '!D14+'E Balans VL '!E14)/100/3.6*1000000</f>
        <v>0</v>
      </c>
      <c r="K10" s="34"/>
      <c r="L10" s="34"/>
      <c r="M10" s="34"/>
      <c r="N10" s="34">
        <f>$C$30*'E Balans VL '!Y14/100/3.6*1000000</f>
        <v>180.3803571245972</v>
      </c>
      <c r="O10" s="34"/>
      <c r="P10" s="34"/>
      <c r="R10" s="33"/>
    </row>
    <row r="11" spans="1:18">
      <c r="A11" s="33" t="s">
        <v>54</v>
      </c>
      <c r="B11" s="38">
        <f t="shared" si="0"/>
        <v>358.253497492522</v>
      </c>
      <c r="C11" s="34"/>
      <c r="D11" s="38">
        <f>IF(ISERROR(TER_onderwijs_gas_kWh/1000),0,TER_onderwijs_gas_kWh/1000)*0.902</f>
        <v>0</v>
      </c>
      <c r="E11" s="34">
        <f>$C$31*'E Balans VL '!I11/100/3.6*1000000</f>
        <v>0.22081233963856597</v>
      </c>
      <c r="F11" s="34">
        <f>$C$31*('E Balans VL '!L11+'E Balans VL '!N11)/100/3.6*1000000</f>
        <v>138.50660392753176</v>
      </c>
      <c r="G11" s="35"/>
      <c r="H11" s="34"/>
      <c r="I11" s="34"/>
      <c r="J11" s="34">
        <f>$C$31*('E Balans VL '!D11+'E Balans VL '!E11)/100/3.6*1000000</f>
        <v>0</v>
      </c>
      <c r="K11" s="34"/>
      <c r="L11" s="34"/>
      <c r="M11" s="34"/>
      <c r="N11" s="34">
        <f>$C$31*'E Balans VL '!Y11/100/3.6*1000000</f>
        <v>1.1653218552578561</v>
      </c>
      <c r="O11" s="34"/>
      <c r="P11" s="34"/>
      <c r="R11" s="33"/>
    </row>
    <row r="12" spans="1:18">
      <c r="A12" s="33" t="s">
        <v>249</v>
      </c>
      <c r="B12" s="38">
        <f t="shared" si="0"/>
        <v>8694.8129778634702</v>
      </c>
      <c r="C12" s="34"/>
      <c r="D12" s="38">
        <f>IF(ISERROR(TER_rest_gas_kWh/1000),0,TER_rest_gas_kWh/1000)*0.902</f>
        <v>8896.7021679077334</v>
      </c>
      <c r="E12" s="34">
        <f>$C$32*'E Balans VL '!I8/100/3.6*1000000</f>
        <v>75.126146379188555</v>
      </c>
      <c r="F12" s="34">
        <f>$C$32*('E Balans VL '!L8+'E Balans VL '!N8)/100/3.6*1000000</f>
        <v>1731.8968912785886</v>
      </c>
      <c r="G12" s="35"/>
      <c r="H12" s="34"/>
      <c r="I12" s="34"/>
      <c r="J12" s="34">
        <f>$C$32*('E Balans VL '!D8+'E Balans VL '!E8)/100/3.6*1000000</f>
        <v>0</v>
      </c>
      <c r="K12" s="34"/>
      <c r="L12" s="34"/>
      <c r="M12" s="34"/>
      <c r="N12" s="34">
        <f>$C$32*'E Balans VL '!Y8/100/3.6*1000000</f>
        <v>571.88302860314718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23158.797695036825</v>
      </c>
      <c r="C16" s="22">
        <f t="shared" ca="1" si="1"/>
        <v>0</v>
      </c>
      <c r="D16" s="22">
        <f t="shared" ca="1" si="1"/>
        <v>19450.929639033297</v>
      </c>
      <c r="E16" s="22">
        <f t="shared" si="1"/>
        <v>203.16918673177378</v>
      </c>
      <c r="F16" s="22">
        <f t="shared" ca="1" si="1"/>
        <v>4412.9519614670498</v>
      </c>
      <c r="G16" s="22">
        <f t="shared" si="1"/>
        <v>0</v>
      </c>
      <c r="H16" s="22">
        <f t="shared" si="1"/>
        <v>0</v>
      </c>
      <c r="I16" s="22">
        <f t="shared" si="1"/>
        <v>0</v>
      </c>
      <c r="J16" s="22">
        <f t="shared" si="1"/>
        <v>0</v>
      </c>
      <c r="K16" s="22">
        <f t="shared" si="1"/>
        <v>0</v>
      </c>
      <c r="L16" s="22">
        <f t="shared" ca="1" si="1"/>
        <v>0</v>
      </c>
      <c r="M16" s="22">
        <f t="shared" si="1"/>
        <v>0</v>
      </c>
      <c r="N16" s="22">
        <f t="shared" ca="1" si="1"/>
        <v>792.14398329376286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0.21077211608973501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4881.2287962769888</v>
      </c>
      <c r="C20" s="24">
        <f t="shared" ref="C20:P20" ca="1" si="2">C16*C18</f>
        <v>0</v>
      </c>
      <c r="D20" s="24">
        <f t="shared" ca="1" si="2"/>
        <v>3929.0877870847262</v>
      </c>
      <c r="E20" s="24">
        <f t="shared" si="2"/>
        <v>46.119405388112646</v>
      </c>
      <c r="F20" s="24">
        <f t="shared" ca="1" si="2"/>
        <v>1178.2581737117023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4828.0732436379003</v>
      </c>
      <c r="C26" s="40">
        <f>IF(ISERROR(B26*3.6/1000000/'E Balans VL '!Z12*100),0,B26*3.6/1000000/'E Balans VL '!Z12*100)</f>
        <v>0.10259309406610111</v>
      </c>
      <c r="D26" s="236" t="s">
        <v>685</v>
      </c>
      <c r="F26" s="6"/>
    </row>
    <row r="27" spans="1:18">
      <c r="A27" s="231" t="s">
        <v>52</v>
      </c>
      <c r="B27" s="34">
        <f>IF(ISERROR(TER_horeca_ele_kWh/1000),0,TER_horeca_ele_kWh/1000)</f>
        <v>1496.5164965476301</v>
      </c>
      <c r="C27" s="40">
        <f>IF(ISERROR(B27*3.6/1000000/'E Balans VL '!Z9*100),0,B27*3.6/1000000/'E Balans VL '!Z9*100)</f>
        <v>0.11778742079018026</v>
      </c>
      <c r="D27" s="236" t="s">
        <v>685</v>
      </c>
      <c r="F27" s="6"/>
    </row>
    <row r="28" spans="1:18">
      <c r="A28" s="171" t="s">
        <v>51</v>
      </c>
      <c r="B28" s="34">
        <f>IF(ISERROR(TER_handel_ele_kWh/1000),0,TER_handel_ele_kWh/1000)</f>
        <v>7346.3261628954906</v>
      </c>
      <c r="C28" s="40">
        <f>IF(ISERROR(B28*3.6/1000000/'E Balans VL '!Z13*100),0,B28*3.6/1000000/'E Balans VL '!Z13*100)</f>
        <v>0.20577452742124672</v>
      </c>
      <c r="D28" s="236" t="s">
        <v>685</v>
      </c>
      <c r="F28" s="6"/>
    </row>
    <row r="29" spans="1:18">
      <c r="A29" s="231" t="s">
        <v>50</v>
      </c>
      <c r="B29" s="34">
        <f>IF(ISERROR(TER_gezond_ele_kWh/1000),0,TER_gezond_ele_kWh/1000)</f>
        <v>122.12660715451901</v>
      </c>
      <c r="C29" s="40">
        <f>IF(ISERROR(B29*3.6/1000000/'E Balans VL '!Z10*100),0,B29*3.6/1000000/'E Balans VL '!Z10*100)</f>
        <v>1.5623686014931621E-2</v>
      </c>
      <c r="D29" s="236" t="s">
        <v>685</v>
      </c>
      <c r="F29" s="6"/>
    </row>
    <row r="30" spans="1:18">
      <c r="A30" s="231" t="s">
        <v>49</v>
      </c>
      <c r="B30" s="34">
        <f>IF(ISERROR(TER_ander_ele_kWh/1000),0,TER_ander_ele_kWh/1000)</f>
        <v>312.68870944529101</v>
      </c>
      <c r="C30" s="40">
        <f>IF(ISERROR(B30*3.6/1000000/'E Balans VL '!Z14*100),0,B30*3.6/1000000/'E Balans VL '!Z14*100)</f>
        <v>2.3386480705415602E-2</v>
      </c>
      <c r="D30" s="236" t="s">
        <v>685</v>
      </c>
      <c r="F30" s="6"/>
    </row>
    <row r="31" spans="1:18">
      <c r="A31" s="231" t="s">
        <v>54</v>
      </c>
      <c r="B31" s="34">
        <f>IF(ISERROR(TER_onderwijs_ele_kWh/1000),0,TER_onderwijs_ele_kWh/1000)</f>
        <v>358.253497492522</v>
      </c>
      <c r="C31" s="40">
        <f>IF(ISERROR(B31*3.6/1000000/'E Balans VL '!Z11*100),0,B31*3.6/1000000/'E Balans VL '!Z11*100)</f>
        <v>7.5645690052441164E-2</v>
      </c>
      <c r="D31" s="236" t="s">
        <v>685</v>
      </c>
    </row>
    <row r="32" spans="1:18">
      <c r="A32" s="231" t="s">
        <v>249</v>
      </c>
      <c r="B32" s="34">
        <f>IF(ISERROR(TER_rest_ele_kWh/1000),0,TER_rest_ele_kWh/1000)</f>
        <v>8694.8129778634702</v>
      </c>
      <c r="C32" s="40">
        <f>IF(ISERROR(B32*3.6/1000000/'E Balans VL '!Z8*100),0,B32*3.6/1000000/'E Balans VL '!Z8*100)</f>
        <v>7.1627278633342437E-2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13064.051018532404</v>
      </c>
      <c r="C5" s="18">
        <f>IF(ISERROR('Eigen informatie GS &amp; warmtenet'!B59),0,'Eigen informatie GS &amp; warmtenet'!B59)</f>
        <v>0</v>
      </c>
      <c r="D5" s="31">
        <f>SUM(D6:D15)</f>
        <v>3091.940275935764</v>
      </c>
      <c r="E5" s="18">
        <f>SUM(E6:E15)</f>
        <v>114.02903611495032</v>
      </c>
      <c r="F5" s="18">
        <f>SUM(F6:F15)</f>
        <v>3206.41413276809</v>
      </c>
      <c r="G5" s="19"/>
      <c r="H5" s="18"/>
      <c r="I5" s="18"/>
      <c r="J5" s="18">
        <f>SUM(J6:J15)</f>
        <v>60.133968873264564</v>
      </c>
      <c r="K5" s="18"/>
      <c r="L5" s="18"/>
      <c r="M5" s="18"/>
      <c r="N5" s="18">
        <f>SUM(N6:N15)</f>
        <v>447.33747846884279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21.340654754406501</v>
      </c>
      <c r="C8" s="34"/>
      <c r="D8" s="38">
        <f>IF( ISERROR(IND_metaal_Gas_kWH/1000),0,IND_metaal_Gas_kWH/1000)*0.902</f>
        <v>0</v>
      </c>
      <c r="E8" s="34">
        <f>C30*'E Balans VL '!I18/100/3.6*1000000</f>
        <v>0.19434549699874154</v>
      </c>
      <c r="F8" s="34">
        <f>C30*'E Balans VL '!L18/100/3.6*1000000+C30*'E Balans VL '!N18/100/3.6*1000000</f>
        <v>2.8146702983904799</v>
      </c>
      <c r="G8" s="35"/>
      <c r="H8" s="34"/>
      <c r="I8" s="34"/>
      <c r="J8" s="41">
        <f>C30*'E Balans VL '!D18/100/3.6*1000000+C30*'E Balans VL '!E18/100/3.6*1000000</f>
        <v>0.34995575245731814</v>
      </c>
      <c r="K8" s="34"/>
      <c r="L8" s="34"/>
      <c r="M8" s="34"/>
      <c r="N8" s="34">
        <f>C30*'E Balans VL '!Y18/100/3.6*1000000</f>
        <v>7.3339352837540506E-2</v>
      </c>
      <c r="O8" s="34"/>
      <c r="P8" s="34"/>
      <c r="R8" s="33"/>
    </row>
    <row r="9" spans="1:18">
      <c r="A9" s="6" t="s">
        <v>32</v>
      </c>
      <c r="B9" s="38">
        <f t="shared" si="0"/>
        <v>1075.36692149038</v>
      </c>
      <c r="C9" s="34"/>
      <c r="D9" s="38">
        <f>IF( ISERROR(IND_andere_gas_kWh/1000),0,IND_andere_gas_kWh/1000)*0.902</f>
        <v>443.86209229437128</v>
      </c>
      <c r="E9" s="34">
        <f>C31*'E Balans VL '!I19/100/3.6*1000000</f>
        <v>6.2157815065088124</v>
      </c>
      <c r="F9" s="34">
        <f>C31*'E Balans VL '!L19/100/3.6*1000000+C31*'E Balans VL '!N19/100/3.6*1000000</f>
        <v>855.50613065424977</v>
      </c>
      <c r="G9" s="35"/>
      <c r="H9" s="34"/>
      <c r="I9" s="34"/>
      <c r="J9" s="41">
        <f>C31*'E Balans VL '!D19/100/3.6*1000000+C31*'E Balans VL '!E19/100/3.6*1000000</f>
        <v>0.10171776593554918</v>
      </c>
      <c r="K9" s="34"/>
      <c r="L9" s="34"/>
      <c r="M9" s="34"/>
      <c r="N9" s="34">
        <f>C31*'E Balans VL '!Y19/100/3.6*1000000</f>
        <v>81.475318160926193</v>
      </c>
      <c r="O9" s="34"/>
      <c r="P9" s="34"/>
      <c r="R9" s="33"/>
    </row>
    <row r="10" spans="1:18">
      <c r="A10" s="6" t="s">
        <v>40</v>
      </c>
      <c r="B10" s="38">
        <f t="shared" si="0"/>
        <v>99.252562935918206</v>
      </c>
      <c r="C10" s="34"/>
      <c r="D10" s="38">
        <f>IF( ISERROR(IND_voed_gas_kWh/1000),0,IND_voed_gas_kWh/1000)*0.902</f>
        <v>0</v>
      </c>
      <c r="E10" s="34">
        <f>C32*'E Balans VL '!I20/100/3.6*1000000</f>
        <v>0.9759123533830889</v>
      </c>
      <c r="F10" s="34">
        <f>C32*'E Balans VL '!L20/100/3.6*1000000+C32*'E Balans VL '!N20/100/3.6*1000000</f>
        <v>11.023292622442673</v>
      </c>
      <c r="G10" s="35"/>
      <c r="H10" s="34"/>
      <c r="I10" s="34"/>
      <c r="J10" s="41">
        <f>C32*'E Balans VL '!D20/100/3.6*1000000+C32*'E Balans VL '!E20/100/3.6*1000000</f>
        <v>3.9119940848278574E-4</v>
      </c>
      <c r="K10" s="34"/>
      <c r="L10" s="34"/>
      <c r="M10" s="34"/>
      <c r="N10" s="34">
        <f>C32*'E Balans VL '!Y20/100/3.6*1000000</f>
        <v>1.469696990443736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11868.090879351699</v>
      </c>
      <c r="C15" s="34"/>
      <c r="D15" s="38">
        <f>IF( ISERROR(IND_rest_gas_kWh/1000),0,IND_rest_gas_kWh/1000)*0.902</f>
        <v>2648.0781836413926</v>
      </c>
      <c r="E15" s="34">
        <f>C37*'E Balans VL '!I15/100/3.6*1000000</f>
        <v>106.64299675805967</v>
      </c>
      <c r="F15" s="34">
        <f>C37*'E Balans VL '!L15/100/3.6*1000000+C37*'E Balans VL '!N15/100/3.6*1000000</f>
        <v>2337.0700391930068</v>
      </c>
      <c r="G15" s="35"/>
      <c r="H15" s="34"/>
      <c r="I15" s="34"/>
      <c r="J15" s="41">
        <f>C37*'E Balans VL '!D15/100/3.6*1000000+C37*'E Balans VL '!E15/100/3.6*1000000</f>
        <v>59.681904155463215</v>
      </c>
      <c r="K15" s="34"/>
      <c r="L15" s="34"/>
      <c r="M15" s="34"/>
      <c r="N15" s="34">
        <f>C37*'E Balans VL '!Y15/100/3.6*1000000</f>
        <v>364.31912396463531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13064.051018532404</v>
      </c>
      <c r="C18" s="22">
        <f>C5+C16</f>
        <v>0</v>
      </c>
      <c r="D18" s="22">
        <f>MAX((D5+D16),0)</f>
        <v>3091.940275935764</v>
      </c>
      <c r="E18" s="22">
        <f>MAX((E5+E16),0)</f>
        <v>114.02903611495032</v>
      </c>
      <c r="F18" s="22">
        <f>MAX((F5+F16),0)</f>
        <v>3206.41413276809</v>
      </c>
      <c r="G18" s="22"/>
      <c r="H18" s="22"/>
      <c r="I18" s="22"/>
      <c r="J18" s="22">
        <f>MAX((J5+J16),0)</f>
        <v>60.133968873264564</v>
      </c>
      <c r="K18" s="22"/>
      <c r="L18" s="22">
        <f>MAX((L5+L16),0)</f>
        <v>0</v>
      </c>
      <c r="M18" s="22"/>
      <c r="N18" s="22">
        <f>MAX((N5+N16),0)</f>
        <v>447.33747846884279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0.21077211608973501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2753.5376778803325</v>
      </c>
      <c r="C22" s="24">
        <f ca="1">C18*C20</f>
        <v>0</v>
      </c>
      <c r="D22" s="24">
        <f>D18*D20</f>
        <v>624.57193573902441</v>
      </c>
      <c r="E22" s="24">
        <f>E18*E20</f>
        <v>25.884591198093723</v>
      </c>
      <c r="F22" s="24">
        <f>F18*F20</f>
        <v>856.11257344908006</v>
      </c>
      <c r="G22" s="24"/>
      <c r="H22" s="24"/>
      <c r="I22" s="24"/>
      <c r="J22" s="24">
        <f>J18*J20</f>
        <v>21.287424981135654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21.340654754406501</v>
      </c>
      <c r="C30" s="40">
        <f>IF(ISERROR(B30*3.6/1000000/'E Balans VL '!Z18*100),0,B30*3.6/1000000/'E Balans VL '!Z18*100)</f>
        <v>1.1874647333487399E-3</v>
      </c>
      <c r="D30" s="236" t="s">
        <v>685</v>
      </c>
    </row>
    <row r="31" spans="1:18">
      <c r="A31" s="6" t="s">
        <v>32</v>
      </c>
      <c r="B31" s="38">
        <f>IF( ISERROR(IND_ander_ele_kWh/1000),0,IND_ander_ele_kWh/1000)</f>
        <v>1075.36692149038</v>
      </c>
      <c r="C31" s="40">
        <f>IF(ISERROR(B31*3.6/1000000/'E Balans VL '!Z19*100),0,B31*3.6/1000000/'E Balans VL '!Z19*100)</f>
        <v>4.9990983941020764E-2</v>
      </c>
      <c r="D31" s="236" t="s">
        <v>685</v>
      </c>
    </row>
    <row r="32" spans="1:18">
      <c r="A32" s="171" t="s">
        <v>40</v>
      </c>
      <c r="B32" s="38">
        <f>IF( ISERROR(IND_voed_ele_kWh/1000),0,IND_voed_ele_kWh/1000)</f>
        <v>99.252562935918206</v>
      </c>
      <c r="C32" s="40">
        <f>IF(ISERROR(B32*3.6/1000000/'E Balans VL '!Z20*100),0,B32*3.6/1000000/'E Balans VL '!Z20*100)</f>
        <v>3.508377650744755E-3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11868.090879351699</v>
      </c>
      <c r="C37" s="40">
        <f>IF(ISERROR(B37*3.6/1000000/'E Balans VL '!Z15*100),0,B37*3.6/1000000/'E Balans VL '!Z15*100)</f>
        <v>8.9621617960407934E-2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403.21860832817299</v>
      </c>
      <c r="C5" s="18">
        <f>'Eigen informatie GS &amp; warmtenet'!B60</f>
        <v>0</v>
      </c>
      <c r="D5" s="31">
        <f>IF(ISERROR(SUM(LB_lb_gas_kWh,LB_rest_gas_kWh)/1000),0,SUM(LB_lb_gas_kWh,LB_rest_gas_kWh)/1000)*0.902</f>
        <v>108.71391583330703</v>
      </c>
      <c r="E5" s="18">
        <f>B17*'E Balans VL '!I25/3.6*1000000/100</f>
        <v>3.7985894557812294</v>
      </c>
      <c r="F5" s="18">
        <f>B17*('E Balans VL '!L25/3.6*1000000+'E Balans VL '!N25/3.6*1000000)/100</f>
        <v>1315.8361354787307</v>
      </c>
      <c r="G5" s="19"/>
      <c r="H5" s="18"/>
      <c r="I5" s="18"/>
      <c r="J5" s="18">
        <f>('E Balans VL '!D25+'E Balans VL '!E25)/3.6*1000000*landbouw!B17/100</f>
        <v>49.880103105129166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403.21860832817299</v>
      </c>
      <c r="C8" s="22">
        <f>C5+C6</f>
        <v>0</v>
      </c>
      <c r="D8" s="22">
        <f>MAX((D5+D6),0)</f>
        <v>108.71391583330703</v>
      </c>
      <c r="E8" s="22">
        <f>MAX((E5+E6),0)</f>
        <v>3.7985894557812294</v>
      </c>
      <c r="F8" s="22">
        <f>MAX((F5+F6),0)</f>
        <v>1315.8361354787307</v>
      </c>
      <c r="G8" s="22"/>
      <c r="H8" s="22"/>
      <c r="I8" s="22"/>
      <c r="J8" s="22">
        <f>MAX((J5+J6),0)</f>
        <v>49.880103105129166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0.21077211608973501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84.987239324087071</v>
      </c>
      <c r="C12" s="24">
        <f ca="1">C8*C10</f>
        <v>0</v>
      </c>
      <c r="D12" s="24">
        <f>D8*D10</f>
        <v>21.960210998328019</v>
      </c>
      <c r="E12" s="24">
        <f>E8*E10</f>
        <v>0.86227980646233915</v>
      </c>
      <c r="F12" s="24">
        <f>F8*F10</f>
        <v>351.32824817282113</v>
      </c>
      <c r="G12" s="24"/>
      <c r="H12" s="24"/>
      <c r="I12" s="24"/>
      <c r="J12" s="24">
        <f>J8*J10</f>
        <v>17.657556499215723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5.4589356340243991E-2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86.992580221302561</v>
      </c>
      <c r="C26" s="246">
        <f>B26*'GWP N2O_CH4'!B5</f>
        <v>1826.8441846473538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11.587715192174056</v>
      </c>
      <c r="C27" s="246">
        <f>B27*'GWP N2O_CH4'!B5</f>
        <v>243.34201903565517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1.279368449594644</v>
      </c>
      <c r="C28" s="246">
        <f>B28*'GWP N2O_CH4'!B4</f>
        <v>396.60421937433966</v>
      </c>
      <c r="D28" s="51"/>
    </row>
    <row r="29" spans="1:4">
      <c r="A29" s="42" t="s">
        <v>266</v>
      </c>
      <c r="B29" s="246">
        <f>B34*'ha_N2O bodem landbouw'!B4</f>
        <v>5.4381497461825008</v>
      </c>
      <c r="C29" s="246">
        <f>B29*'GWP N2O_CH4'!B4</f>
        <v>1685.8264213165753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1.4681292370641585E-3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3.4591338382271816E-5</v>
      </c>
      <c r="C5" s="433" t="s">
        <v>204</v>
      </c>
      <c r="D5" s="418">
        <f>SUM(D6:D11)</f>
        <v>4.3089526092412642E-5</v>
      </c>
      <c r="E5" s="418">
        <f>SUM(E6:E11)</f>
        <v>3.1109073249454564E-3</v>
      </c>
      <c r="F5" s="431" t="s">
        <v>204</v>
      </c>
      <c r="G5" s="418">
        <f>SUM(G6:G11)</f>
        <v>0.69040294651173006</v>
      </c>
      <c r="H5" s="418">
        <f>SUM(H6:H11)</f>
        <v>0.10665455500566602</v>
      </c>
      <c r="I5" s="433" t="s">
        <v>204</v>
      </c>
      <c r="J5" s="433" t="s">
        <v>204</v>
      </c>
      <c r="K5" s="433" t="s">
        <v>204</v>
      </c>
      <c r="L5" s="433" t="s">
        <v>204</v>
      </c>
      <c r="M5" s="418">
        <f>SUM(M6:M11)</f>
        <v>3.5605282612735482E-2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3.6765454743482752E-6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4.2820043965179667E-6</v>
      </c>
      <c r="E6" s="421">
        <f>vkm_GW_PW*SUMIFS(TableVerdeelsleutelVkm[LPG],TableVerdeelsleutelVkm[Voertuigtype],"Lichte voertuigen")*SUMIFS(TableECFTransport[EnergieConsumptieFactor (PJ per km)],TableECFTransport[Index],CONCATENATE($A6,"_LPG_LPG"))</f>
        <v>2.7780544175226633E-4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4.3342871924630787E-2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1.0445625276276894E-2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2.4070387526982104E-3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2.4432450125843269E-7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4.0416664468708875E-2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1.0845231299107085E-6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1.7984097222620637E-3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7.519879313144312E-6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1.4304104363738191E-5</v>
      </c>
      <c r="E8" s="421">
        <f>vkm_NGW_PW*SUMIFS(TableVerdeelsleutelVkm[LPG],TableVerdeelsleutelVkm[Voertuigtype],"Lichte voertuigen")*SUMIFS(TableECFTransport[EnergieConsumptieFactor (PJ per km)],TableECFTransport[Index],CONCATENATE($A8,"_LPG_LPG"))</f>
        <v>8.7925843043448304E-4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0.12914351004456145</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3.3262166399694072E-2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7.2699234980129583E-3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1.6842697442967328E-7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3.5728116347687737E-2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9.0240167190399513E-7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1.5897820463835002E-3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2.1969262753637837E-5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2.4503417332156482E-5</v>
      </c>
      <c r="E10" s="421">
        <f>vkm_SW_PW*SUMIFS(TableVerdeelsleutelVkm[LPG],TableVerdeelsleutelVkm[Voertuigtype],"Lichte voertuigen")*SUMIFS(TableECFTransport[EnergieConsumptieFactor (PJ per km)],TableECFTransport[Index],CONCATENATE($A10,"_LPG_LPG"))</f>
        <v>1.9538434527587071E-3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0.28481948072500046</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6.2940148669312843E-2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1.5556244055001438E-2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1.0128993654532897E-6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0.15695230300114066</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4.6277355803907385E-6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6.9838845383773124E-3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9.6087051061866156</v>
      </c>
      <c r="C14" s="22"/>
      <c r="D14" s="22">
        <f t="shared" ref="D14:M14" si="0">((D5)*10^9/3600)+D12</f>
        <v>11.969312803447956</v>
      </c>
      <c r="E14" s="22">
        <f t="shared" si="0"/>
        <v>864.14092359596009</v>
      </c>
      <c r="F14" s="22"/>
      <c r="G14" s="22">
        <f t="shared" si="0"/>
        <v>191778.59625325835</v>
      </c>
      <c r="H14" s="22">
        <f t="shared" si="0"/>
        <v>29626.265279351672</v>
      </c>
      <c r="I14" s="22"/>
      <c r="J14" s="22"/>
      <c r="K14" s="22"/>
      <c r="L14" s="22"/>
      <c r="M14" s="22">
        <f t="shared" si="0"/>
        <v>9890.3562813154113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0.21077211608973501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2.0252471081131951</v>
      </c>
      <c r="C18" s="24"/>
      <c r="D18" s="24">
        <f t="shared" ref="D18:M18" si="1">D14*D16</f>
        <v>2.417801186296487</v>
      </c>
      <c r="E18" s="24">
        <f t="shared" si="1"/>
        <v>196.15998965628296</v>
      </c>
      <c r="F18" s="24"/>
      <c r="G18" s="24">
        <f t="shared" si="1"/>
        <v>51204.885199619981</v>
      </c>
      <c r="H18" s="24">
        <f t="shared" si="1"/>
        <v>7376.9400545585659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3.3027666225598229E-5</v>
      </c>
      <c r="C50" s="316">
        <f t="shared" ref="C50:P50" si="2">SUM(C51:C52)</f>
        <v>0</v>
      </c>
      <c r="D50" s="316">
        <f t="shared" si="2"/>
        <v>0</v>
      </c>
      <c r="E50" s="316">
        <f t="shared" si="2"/>
        <v>0</v>
      </c>
      <c r="F50" s="316">
        <f t="shared" si="2"/>
        <v>0</v>
      </c>
      <c r="G50" s="316">
        <f t="shared" si="2"/>
        <v>6.5874331448978205E-3</v>
      </c>
      <c r="H50" s="316">
        <f t="shared" si="2"/>
        <v>0</v>
      </c>
      <c r="I50" s="316">
        <f t="shared" si="2"/>
        <v>0</v>
      </c>
      <c r="J50" s="316">
        <f t="shared" si="2"/>
        <v>0</v>
      </c>
      <c r="K50" s="316">
        <f t="shared" si="2"/>
        <v>0</v>
      </c>
      <c r="L50" s="316">
        <f t="shared" si="2"/>
        <v>0</v>
      </c>
      <c r="M50" s="316">
        <f t="shared" si="2"/>
        <v>2.9115752899435044E-4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3.3027666225598229E-5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6.5874331448978205E-3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2.9115752899435044E-4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9.1743517293328409</v>
      </c>
      <c r="C54" s="22">
        <f t="shared" ref="C54:P54" si="3">(C50)*10^9/3600</f>
        <v>0</v>
      </c>
      <c r="D54" s="22">
        <f t="shared" si="3"/>
        <v>0</v>
      </c>
      <c r="E54" s="22">
        <f t="shared" si="3"/>
        <v>0</v>
      </c>
      <c r="F54" s="22">
        <f t="shared" si="3"/>
        <v>0</v>
      </c>
      <c r="G54" s="22">
        <f t="shared" si="3"/>
        <v>1829.8425402493945</v>
      </c>
      <c r="H54" s="22">
        <f t="shared" si="3"/>
        <v>0</v>
      </c>
      <c r="I54" s="22">
        <f t="shared" si="3"/>
        <v>0</v>
      </c>
      <c r="J54" s="22">
        <f t="shared" si="3"/>
        <v>0</v>
      </c>
      <c r="K54" s="22">
        <f t="shared" si="3"/>
        <v>0</v>
      </c>
      <c r="L54" s="22">
        <f t="shared" si="3"/>
        <v>0</v>
      </c>
      <c r="M54" s="22">
        <f t="shared" si="3"/>
        <v>80.877091387319567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0.21077211608973501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1.9336975277430026</v>
      </c>
      <c r="C58" s="24">
        <f t="shared" ref="C58:P58" ca="1" si="4">C54*C56</f>
        <v>0</v>
      </c>
      <c r="D58" s="24">
        <f t="shared" si="4"/>
        <v>0</v>
      </c>
      <c r="E58" s="24">
        <f t="shared" si="4"/>
        <v>0</v>
      </c>
      <c r="F58" s="24">
        <f t="shared" si="4"/>
        <v>0</v>
      </c>
      <c r="G58" s="24">
        <f t="shared" si="4"/>
        <v>488.56795824658838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3106.8873614336699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3106.8873614336699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2021-11-11T13:31:55Z</dcterms:modified>
</cp:coreProperties>
</file>