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38E79A1-7D7A-4CD2-99D3-207B4A76718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<sst xmlns="http://schemas.openxmlformats.org/spreadsheetml/2006/main" count="2553" uniqueCount="959">
  <si>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</si>
  <si>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</si>
  <si>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</si>
  <si>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</si>
  <si>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</si>
  <si>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</si>
  <si>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</si>
  <si>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</si>
  <si>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</si>
  <si>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</si>
  <si>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</si>
  <si>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</si>
  <si>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</si>
  <si>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</si>
  <si>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</si>
  <si>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</si>
  <si>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</si>
  <si>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</si>
  <si>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</si>
  <si>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</si>
  <si>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</si>
  <si>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</si>
  <si>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</si>
  <si>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</si>
  <si>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</si>
  <si>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</si>
  <si>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</si>
  <si>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</si>
  <si>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</si>
  <si>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</si>
  <si>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</si>
  <si>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</si>
  <si>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</si>
  <si>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</si>
  <si>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</si>
  <si>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</si>
  <si>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</si>
  <si>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</si>
  <si>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</si>
  <si>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</si>
  <si>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</si>
  <si>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</si>
  <si>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</si>
  <si>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</si>
  <si>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</si>
  <si>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</si>
  <si>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</si>
  <si>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</si>
  <si>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</si>
  <si>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</si>
  <si>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</si>
  <si>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</si>
  <si>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</si>
  <si>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</si>
  <si>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</si>
  <si>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</si>
  <si>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</si>
  <si>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</si>
  <si>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</si>
  <si>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</si>
  <si>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</si>
  <si>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</si>
  <si>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</si>
  <si>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</si>
  <si>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</si>
  <si>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</si>
  <si>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</si>
  <si>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</si>
  <si>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</si>
  <si>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</si>
  <si>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</si>
  <si>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</si>
  <si>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</si>
  <si>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</si>
  <si>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</si>
  <si>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</si>
  <si>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</si>
  <si>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</si>
  <si>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</si>
  <si>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</si>
  <si>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</si>
  <si>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</si>
  <si>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</si>
  <si>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</si>
  <si>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</si>
  <si>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</si>
  <si>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</si>
  <si>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</si>
  <si>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</si>
  <si>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</si>
  <si>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</si>
  <si>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</si>
  <si>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</si>
  <si>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</si>
  <si>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</si>
  <si>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</si>
  <si>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</si>
  <si>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</si>
  <si>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</si>
  <si>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</si>
  <si>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</si>
  <si>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</si>
  <si>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</si>
  <si>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</si>
  <si>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</si>
  <si>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</si>
  <si>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</si>
  <si>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</si>
  <si>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</si>
  <si>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</si>
  <si>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</si>
  <si>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</si>
  <si>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</si>
  <si>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</si>
  <si>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</si>
  <si>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</si>
  <si>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</si>
  <si>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</si>
  <si>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</si>
  <si>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</si>
  <si>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</si>
  <si>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</si>
  <si>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</si>
  <si>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</si>
  <si>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</si>
  <si>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</si>
  <si>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</si>
  <si>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</si>
  <si>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</si>
  <si>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</si>
  <si>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</si>
  <si>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</si>
  <si>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</si>
  <si>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</si>
  <si>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</si>
  <si>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</si>
  <si>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</si>
  <si>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</si>
  <si>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</si>
  <si>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</si>
  <si>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</si>
  <si>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</si>
  <si>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</si>
  <si>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</si>
  <si>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</si>
  <si>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</si>
  <si>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</si>
  <si>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</si>
  <si>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</si>
  <si>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</si>
  <si>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</si>
  <si>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</si>
  <si>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</si>
  <si>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</si>
  <si>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</si>
  <si>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</si>
  <si>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</si>
  <si>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</si>
  <si>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</si>
  <si>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</si>
  <si>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</si>
  <si>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</si>
  <si>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</si>
  <si>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</si>
  <si>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</si>
  <si>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</si>
  <si>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</si>
  <si>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</si>
  <si>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</si>
  <si>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</si>
  <si>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</si>
  <si>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</si>
  <si>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</si>
  <si>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</si>
  <si>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</si>
  <si>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</si>
  <si>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</si>
  <si>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</si>
  <si>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</si>
  <si>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</si>
  <si>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</si>
  <si>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</si>
  <si>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</si>
  <si>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</si>
  <si>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</si>
  <si>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</si>
  <si>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</si>
  <si>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</si>
  <si>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</si>
  <si>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</si>
  <si>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</si>
  <si>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</si>
  <si>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</si>
  <si>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</si>
  <si>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</si>
  <si>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</si>
  <si>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</si>
  <si>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</si>
  <si>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</si>
  <si>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</si>
  <si>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</si>
  <si>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</si>
  <si>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</si>
  <si>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</si>
  <si>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</si>
  <si>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</si>
  <si>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</si>
  <si>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</si>
  <si>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</si>
  <si>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</si>
  <si>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</si>
  <si>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</si>
  <si>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</si>
  <si>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</si>
  <si>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</si>
  <si>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</si>
  <si>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</si>
  <si>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</si>
  <si>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</si>
  <si>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</si>
  <si>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</si>
  <si>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</si>
  <si>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</si>
  <si>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</si>
  <si>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</si>
  <si>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</si>
  <si>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</si>
  <si>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</si>
  <si>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</si>
  <si>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</si>
  <si>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</si>
  <si>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</si>
  <si>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</si>
  <si>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</si>
  <si>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</si>
  <si>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</si>
  <si>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</si>
  <si>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</si>
  <si>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</si>
  <si>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</si>
  <si>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</si>
  <si>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</si>
  <si>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</si>
  <si>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</si>
  <si>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</si>
  <si>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</si>
  <si>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</si>
  <si>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</si>
  <si>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</si>
  <si>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</si>
  <si>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</si>
  <si>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</si>
  <si>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</si>
  <si>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</si>
  <si>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</si>
  <si>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</si>
  <si>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</si>
  <si>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</si>
  <si>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</si>
  <si>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</si>
  <si>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</si>
  <si>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</si>
  <si>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</si>
  <si>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</si>
  <si>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</si>
  <si>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</si>
  <si>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</si>
  <si>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</si>
  <si>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</si>
  <si>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</si>
  <si>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</si>
  <si>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</si>
  <si>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</si>
  <si>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</si>
  <si>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</si>
  <si>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</si>
  <si>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</si>
  <si>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</si>
  <si>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</si>
  <si>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</si>
  <si>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</si>
  <si>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</si>
  <si>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</si>
  <si>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</si>
  <si>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</si>
  <si>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</si>
  <si>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</si>
  <si>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</si>
  <si>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</si>
  <si>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</si>
  <si>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</si>
  <si>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</si>
  <si>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</si>
  <si>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</si>
  <si>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</si>
  <si>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</si>
  <si>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</si>
  <si>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</si>
  <si>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</si>
  <si>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</si>
  <si>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</si>
  <si>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</si>
  <si>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</si>
  <si>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</si>
  <si>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</si>
  <si>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</si>
  <si>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</si>
  <si>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</si>
  <si>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</si>
  <si>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</si>
  <si>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</si>
  <si>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</si>
  <si>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</si>
  <si>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</si>
  <si>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</si>
  <si>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</si>
  <si>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</si>
  <si>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</si>
  <si>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</si>
  <si>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</si>
  <si>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</si>
  <si>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</si>
  <si>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</si>
  <si>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</si>
  <si>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</si>
  <si>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</si>
  <si>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</si>
  <si>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</si>
  <si>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</si>
  <si>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</si>
  <si>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</si>
  <si>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</si>
  <si>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</si>
  <si>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</si>
  <si>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</si>
  <si>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</si>
  <si>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</si>
  <si>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</si>
  <si>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</si>
  <si>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</si>
  <si>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</si>
  <si>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</si>
  <si>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</si>
  <si>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</si>
  <si>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</si>
  <si>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</si>
  <si>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</si>
  <si>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</si>
  <si>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</si>
  <si>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</si>
  <si>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</si>
  <si>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</si>
  <si>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</si>
  <si>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</si>
  <si>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</si>
  <si>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</si>
  <si>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</si>
  <si>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</si>
  <si>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</si>
  <si>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</si>
  <si>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</si>
  <si>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</si>
  <si>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</si>
  <si>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</si>
  <si>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</si>
  <si>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</si>
  <si>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</si>
  <si>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</si>
  <si>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</si>
  <si>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</si>
  <si>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</si>
  <si>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</si>
  <si>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</si>
  <si>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</si>
  <si>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</si>
  <si>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</si>
  <si>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</si>
  <si>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</si>
  <si>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</si>
  <si>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</si>
  <si>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</si>
  <si>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</si>
  <si>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</si>
  <si>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</si>
  <si>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</si>
  <si>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</si>
  <si>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</si>
  <si>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</si>
  <si>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</si>
  <si>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</si>
  <si>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</si>
  <si>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</si>
  <si>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</si>
  <si>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</si>
  <si>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</si>
  <si>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</si>
  <si>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</si>
  <si>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</si>
  <si>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</si>
  <si>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</si>
  <si>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</si>
  <si>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</si>
  <si>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</si>
  <si>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</si>
  <si>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</si>
  <si>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</si>
  <si>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</si>
  <si>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</si>
  <si>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</si>
  <si>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</si>
  <si>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</si>
  <si>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</si>
  <si>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</si>
  <si>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</si>
  <si>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</si>
  <si>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</si>
  <si>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</si>
  <si>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</si>
  <si>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</si>
  <si>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</si>
  <si>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</si>
  <si>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</si>
  <si>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</si>
  <si>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</si>
  <si>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</si>
  <si>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</si>
  <si>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</si>
  <si>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</si>
  <si>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</si>
  <si>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</si>
  <si>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</si>
  <si>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</si>
  <si>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</si>
  <si>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</si>
  <si>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</si>
  <si>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</si>
  <si>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</si>
  <si>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</si>
  <si>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</si>
  <si>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</si>
  <si>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</si>
  <si>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</si>
  <si>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</si>
  <si>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</si>
  <si>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</si>
  <si>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</si>
  <si>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</si>
  <si>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</si>
  <si>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</si>
  <si>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</si>
  <si>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</si>
  <si>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</si>
  <si>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</si>
  <si>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</si>
  <si>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</si>
  <si>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</si>
  <si>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</si>
  <si>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</si>
  <si>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</si>
  <si>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</si>
  <si>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</si>
  <si>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</si>
  <si>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</si>
  <si>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</si>
  <si>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</si>
  <si>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</si>
  <si>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</si>
  <si>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</si>
  <si>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</si>
  <si>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</si>
  <si>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</si>
  <si>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</si>
  <si>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</si>
  <si>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</si>
  <si>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</si>
  <si>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</si>
  <si>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</si>
  <si>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</si>
  <si>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</si>
  <si>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</si>
  <si>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</si>
  <si>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</si>
  <si>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</si>
  <si>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</si>
  <si>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</si>
  <si>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</si>
  <si>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</si>
  <si>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</si>
  <si>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</si>
  <si>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</si>
  <si>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</si>
  <si>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</si>
  <si>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</si>
  <si>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</si>
  <si>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</si>
  <si>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</si>
  <si>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</si>
  <si>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</si>
  <si>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</si>
  <si>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</si>
  <si>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</si>
  <si>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</si>
  <si>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</si>
  <si>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</si>
  <si>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</si>
  <si>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</si>
  <si>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</si>
  <si>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</si>
  <si>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</si>
  <si>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</si>
  <si>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</si>
  <si>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</si>
  <si>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</si>
  <si>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</si>
  <si>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</si>
  <si>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</si>
  <si>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</si>
  <si>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</si>
  <si>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</si>
  <si>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</si>
  <si>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</si>
  <si>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</si>
  <si>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</si>
  <si>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</si>
  <si>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</si>
  <si>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</si>
  <si>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</si>
  <si>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</si>
  <si>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</si>
  <si>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</si>
  <si>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</si>
  <si>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</si>
  <si>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</si>
  <si>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</si>
  <si>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</si>
  <si>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</si>
  <si>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</si>
  <si>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</si>
  <si>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</si>
  <si>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</si>
  <si>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</si>
  <si>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</si>
  <si>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</si>
  <si>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</si>
  <si>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</si>
  <si>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</si>
  <si>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</si>
  <si>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</si>
  <si>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</si>
  <si>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</si>
  <si>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</si>
  <si>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</si>
  <si>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</si>
  <si>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</si>
  <si>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</si>
  <si>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</si>
  <si>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</si>
  <si>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</si>
  <si>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</si>
  <si>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</si>
  <si>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</si>
  <si>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</si>
  <si>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</si>
  <si>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</si>
  <si>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</si>
  <si>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</si>
  <si>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</si>
  <si>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</si>
  <si>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</si>
  <si>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</si>
  <si>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</si>
  <si>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</si>
  <si>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</si>
  <si>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</si>
  <si>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</si>
  <si>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</si>
  <si>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</si>
  <si>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</si>
  <si>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</si>
  <si>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</si>
  <si>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</si>
  <si>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</si>
  <si>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</si>
  <si>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</si>
  <si>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</si>
  <si>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</si>
  <si>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</si>
  <si>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</si>
  <si>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</si>
  <si>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</si>
  <si>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</si>
  <si>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</si>
  <si>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</si>
  <si>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</si>
  <si>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</si>
  <si>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</si>
  <si>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</si>
  <si>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</si>
  <si>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</si>
  <si>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</si>
  <si>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</si>
  <si>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</si>
  <si>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</si>
  <si>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</si>
  <si>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</si>
  <si>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</si>
  <si>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</si>
  <si>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</si>
  <si>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</si>
  <si>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</si>
  <si>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</si>
  <si>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</si>
  <si>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</si>
  <si>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</si>
  <si>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</si>
  <si>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</si>
  <si>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</si>
  <si>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</si>
  <si>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</si>
  <si>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</si>
  <si>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</si>
  <si>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</si>
  <si>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</si>
  <si>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</si>
  <si>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</si>
  <si>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</si>
  <si>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</si>
  <si>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</si>
  <si>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</si>
  <si>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</si>
  <si>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</si>
  <si>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</si>
  <si>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</si>
  <si>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</si>
  <si>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</si>
  <si>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</si>
  <si>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</si>
  <si>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</si>
  <si>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</si>
  <si>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</si>
  <si>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</si>
  <si>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</si>
  <si>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</si>
  <si>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</si>
  <si>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</si>
  <si>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</si>
  <si>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</si>
  <si>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</si>
  <si>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</si>
  <si>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</si>
  <si>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</si>
  <si>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</si>
  <si>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</si>
  <si>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</si>
  <si>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</si>
  <si>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</si>
  <si>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</si>
  <si>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</si>
  <si>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</si>
  <si>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</si>
  <si>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</si>
  <si>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</si>
  <si>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</si>
  <si>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</si>
  <si>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</si>
  <si>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</si>
  <si>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</si>
  <si>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</si>
  <si>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</si>
  <si>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</si>
  <si>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</si>
  <si>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</si>
  <si>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</si>
  <si>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</si>
  <si>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</si>
  <si>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</si>
  <si>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</si>
  <si>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</si>
  <si>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</si>
  <si>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</si>
  <si>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</si>
  <si>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</si>
  <si>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</si>
  <si>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</si>
  <si>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</si>
  <si>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</si>
  <si>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</si>
  <si>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</si>
  <si>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</si>
  <si>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</si>
  <si>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</si>
  <si>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</si>
  <si>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</si>
  <si>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</si>
  <si>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</si>
  <si>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</si>
  <si>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</si>
  <si>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</si>
  <si>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</si>
  <si>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</si>
  <si>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</si>
  <si>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</si>
  <si>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</si>
  <si>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</si>
  <si>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</si>
  <si>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</si>
  <si>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</si>
  <si>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</si>
  <si>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</si>
  <si>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</si>
  <si>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</si>
  <si>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</si>
  <si>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</si>
  <si>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</si>
  <si>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</si>
  <si>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</si>
  <si>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</si>
  <si>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</si>
  <si>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</si>
  <si>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</si>
  <si>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</si>
  <si>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</si>
  <si>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</si>
  <si>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</si>
  <si>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</si>
  <si>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</si>
  <si>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</si>
  <si>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</si>
  <si>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</si>
  <si>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</si>
  <si>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</si>
  <si>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</si>
  <si>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</si>
  <si>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</si>
  <si>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</si>
  <si>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</si>
  <si>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</si>
  <si>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</si>
  <si>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</si>
  <si>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</si>
  <si>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</si>
  <si>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</si>
  <si>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</si>
  <si>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</si>
  <si>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</si>
  <si>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</si>
  <si>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</si>
  <si>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</si>
  <si>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</si>
  <si>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</si>
  <si>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</si>
  <si>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</si>
  <si>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</si>
  <si>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</si>
  <si>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</si>
  <si>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</si>
  <si>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</si>
  <si>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</si>
  <si>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</si>
  <si>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</si>
  <si>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</si>
  <si>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</si>
  <si>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</si>
  <si>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</si>
  <si>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</si>
  <si>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</si>
  <si>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</si>
  <si>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</si>
  <si>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</si>
  <si>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</si>
  <si>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</si>
  <si>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</si>
  <si>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</si>
  <si>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</si>
  <si>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</si>
  <si>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</si>
  <si>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</si>
  <si>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</si>
  <si>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</si>
  <si>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</si>
  <si>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</si>
  <si>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</si>
  <si>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</si>
  <si>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</si>
  <si>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</si>
  <si>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</si>
  <si>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</si>
  <si>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</si>
  <si>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</si>
  <si>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</si>
  <si>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</si>
  <si>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</si>
  <si>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</si>
  <si>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</si>
  <si>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</si>
  <si>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</si>
  <si>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</si>
  <si>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</si>
  <si>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</si>
  <si>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</si>
  <si>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</si>
  <si>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</si>
  <si>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</si>
  <si>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</si>
  <si>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</si>
  <si>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</si>
  <si>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</si>
  <si>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</si>
  <si>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</si>
  <si>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</si>
  <si>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</si>
  <si>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</si>
  <si>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</si>
  <si>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</si>
  <si>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</si>
  <si>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</si>
  <si>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</si>
  <si>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</si>
  <si>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</si>
  <si>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</si>
  <si>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</si>
  <si>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</si>
  <si>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</si>
  <si>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</si>
  <si>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</si>
  <si>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</si>
  <si>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</si>
  <si>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</si>
  <si>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</si>
  <si>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</si>
  <si>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</si>
  <si>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</si>
  <si>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</si>
  <si>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</si>
  <si>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</si>
  <si>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</si>
  <si>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</si>
  <si>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</si>
  <si>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</si>
  <si>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</si>
  <si>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</si>
  <si>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</si>
  <si>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</si>
  <si>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</si>
  <si>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</si>
  <si>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</si>
  <si>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</si>
  <si>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</si>
  <si>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</si>
  <si>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</si>
  <si>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</si>
  <si>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</si>
  <si>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</si>
  <si>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</si>
  <si>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</si>
  <si>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</si>
  <si>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</si>
  <si>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</si>
  <si>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</si>
  <si>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</si>
  <si>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</si>
  <si>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</si>
  <si>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</si>
  <si>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</si>
  <si>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</si>
  <si>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</si>
  <si>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</si>
  <si>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</si>
  <si>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</si>
  <si>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</si>
  <si>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</si>
  <si>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</si>
  <si>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</si>
  <si>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</si>
  <si>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</si>
  <si>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</si>
  <si>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</si>
  <si>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</si>
  <si>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</si>
  <si>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</si>
  <si>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</si>
  <si>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</si>
  <si>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</si>
  <si>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</si>
  <si>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</si>
  <si>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</si>
  <si>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</si>
  <si>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</si>
  <si>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</si>
  <si>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</si>
  <si>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</si>
  <si>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</si>
  <si>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</si>
  <si>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</si>
  <si>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</si>
  <si>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</si>
  <si>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</si>
  <si>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</si>
  <si>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</si>
  <si>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</si>
  <si>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</si>
  <si>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</si>
  <si>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</si>
  <si>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</si>
  <si>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</si>
  <si>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</si>
  <si>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</si>
  <si>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</si>
  <si>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</si>
  <si>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</si>
  <si>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</si>
  <si>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</si>
  <si>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</si>
  <si>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</si>
  <si>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</si>
  <si>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</si>
  <si>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</si>
  <si>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</si>
  <si>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</si>
  <si>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</si>
  <si>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</si>
  <si>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</si>
  <si>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</si>
  <si>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</si>
  <si>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</si>
  <si>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</si>
  <si>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</si>
  <si>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</si>
  <si>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</si>
  <si>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</si>
  <si>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</si>
  <si>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</si>
  <si>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</si>
  <si>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</si>
  <si>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</si>
  <si>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</si>
  <si>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</si>
  <si>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</si>
  <si>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</si>
  <si>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</si>
  <si>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</si>
  <si>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</si>
  <si>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</si>
  <si>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</si>
  <si>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</si>
  <si>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</si>
  <si>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</si>
  <si>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</si>
  <si>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</si>
  <si>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</si>
  <si>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</si>
  <si>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</si>
  <si>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</si>
  <si>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13044</t>
  </si>
  <si>
    <t>VORSELAAR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</si>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</sst>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185FE97-4C49-4034-8505-15CD7523D1B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13044</v>
      </c>
      <c r="B6" s="384"/>
      <c r="C6" s="385"/>
    </row>
    <row r="7" spans="1:7" s="382" customFormat="1" ht="15.75" customHeight="1">
      <c r="A7" s="386" t="str">
        <f>txtMunicipality</f>
        <v>VORSELAAR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4679.9002487731204</v>
      </c>
      <c r="D10" s="674">
        <f ca="1">tertiair!C16</f>
        <v>0</v>
      </c>
      <c r="E10" s="674">
        <f ca="1">tertiair!D16</f>
        <v>6297.3864331107579</v>
      </c>
      <c r="F10" s="674">
        <f>tertiair!E16</f>
        <v>46.650653827803687</v>
      </c>
      <c r="G10" s="674">
        <f ca="1">tertiair!F16</f>
        <v>1036.7446406128606</v>
      </c>
      <c r="H10" s="674">
        <f>tertiair!G16</f>
        <v>0</v>
      </c>
      <c r="I10" s="674">
        <f>tertiair!H16</f>
        <v>0</v>
      </c>
      <c r="J10" s="674">
        <f>tertiair!I16</f>
        <v>0</v>
      </c>
      <c r="K10" s="674">
        <f>tertiair!J16</f>
        <v>0</v>
      </c>
      <c r="L10" s="674">
        <f>tertiair!K16</f>
        <v>0</v>
      </c>
      <c r="M10" s="674">
        <f ca="1">tertiair!L16</f>
        <v>0</v>
      </c>
      <c r="N10" s="674">
        <f>tertiair!M16</f>
        <v>0</v>
      </c>
      <c r="O10" s="674">
        <f ca="1">tertiair!N16</f>
        <v>421.91343923215322</v>
      </c>
      <c r="P10" s="674">
        <f>tertiair!O16</f>
        <v>3.1266666666666669</v>
      </c>
      <c r="Q10" s="675">
        <f>tertiair!P16</f>
        <v>0</v>
      </c>
      <c r="R10" s="677">
        <f ca="1">SUM(C10:Q10)</f>
        <v>12485.722082223363</v>
      </c>
      <c r="S10" s="68"/>
    </row>
    <row r="11" spans="1:19" s="443" customFormat="1">
      <c r="A11" s="789" t="s">
        <v>214</v>
      </c>
      <c r="B11" s="794"/>
      <c r="C11" s="674">
        <f>huishoudens!B8</f>
        <v>12983.226354629596</v>
      </c>
      <c r="D11" s="674">
        <f>huishoudens!C8</f>
        <v>0</v>
      </c>
      <c r="E11" s="674">
        <f>huishoudens!D8</f>
        <v>36591.509420250768</v>
      </c>
      <c r="F11" s="674">
        <f>huishoudens!E8</f>
        <v>598.29553087219347</v>
      </c>
      <c r="G11" s="674">
        <f>huishoudens!F8</f>
        <v>18240.293707354358</v>
      </c>
      <c r="H11" s="674">
        <f>huishoudens!G8</f>
        <v>0</v>
      </c>
      <c r="I11" s="674">
        <f>huishoudens!H8</f>
        <v>0</v>
      </c>
      <c r="J11" s="674">
        <f>huishoudens!I8</f>
        <v>0</v>
      </c>
      <c r="K11" s="674">
        <f>huishoudens!J8</f>
        <v>330.96377356559236</v>
      </c>
      <c r="L11" s="674">
        <f>huishoudens!K8</f>
        <v>0</v>
      </c>
      <c r="M11" s="674">
        <f>huishoudens!L8</f>
        <v>0</v>
      </c>
      <c r="N11" s="674">
        <f>huishoudens!M8</f>
        <v>0</v>
      </c>
      <c r="O11" s="674">
        <f>huishoudens!N8</f>
        <v>4420.574731093885</v>
      </c>
      <c r="P11" s="674">
        <f>huishoudens!O8</f>
        <v>37.520000000000003</v>
      </c>
      <c r="Q11" s="675">
        <f>huishoudens!P8</f>
        <v>381.33333333333337</v>
      </c>
      <c r="R11" s="677">
        <f>SUM(C11:Q11)</f>
        <v>73583.716851099729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826.47400000000005</v>
      </c>
      <c r="D13" s="674">
        <f>industrie!C18</f>
        <v>0</v>
      </c>
      <c r="E13" s="674">
        <f>industrie!D18</f>
        <v>736.22615898829281</v>
      </c>
      <c r="F13" s="674">
        <f>industrie!E18</f>
        <v>6.3442438687099614</v>
      </c>
      <c r="G13" s="674">
        <f>industrie!F18</f>
        <v>369.003267629959</v>
      </c>
      <c r="H13" s="674">
        <f>industrie!G18</f>
        <v>0</v>
      </c>
      <c r="I13" s="674">
        <f>industrie!H18</f>
        <v>0</v>
      </c>
      <c r="J13" s="674">
        <f>industrie!I18</f>
        <v>0</v>
      </c>
      <c r="K13" s="674">
        <f>industrie!J18</f>
        <v>3.4230067757133922</v>
      </c>
      <c r="L13" s="674">
        <f>industrie!K18</f>
        <v>0</v>
      </c>
      <c r="M13" s="674">
        <f>industrie!L18</f>
        <v>0</v>
      </c>
      <c r="N13" s="674">
        <f>industrie!M18</f>
        <v>0</v>
      </c>
      <c r="O13" s="674">
        <f>industrie!N18</f>
        <v>35.51677235626061</v>
      </c>
      <c r="P13" s="674">
        <f>industrie!O18</f>
        <v>0</v>
      </c>
      <c r="Q13" s="675">
        <f>industrie!P18</f>
        <v>0</v>
      </c>
      <c r="R13" s="677">
        <f>SUM(C13:Q13)</f>
        <v>1976.9874496189361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18489.600603402716</v>
      </c>
      <c r="D16" s="707">
        <f t="shared" ref="D16:R16" ca="1" si="0">SUM(D9:D15)</f>
        <v>0</v>
      </c>
      <c r="E16" s="707">
        <f t="shared" ca="1" si="0"/>
        <v>43625.122012349813</v>
      </c>
      <c r="F16" s="707">
        <f t="shared" si="0"/>
        <v>651.29042856870717</v>
      </c>
      <c r="G16" s="707">
        <f t="shared" ca="1" si="0"/>
        <v>19646.04161559718</v>
      </c>
      <c r="H16" s="707">
        <f t="shared" si="0"/>
        <v>0</v>
      </c>
      <c r="I16" s="707">
        <f t="shared" si="0"/>
        <v>0</v>
      </c>
      <c r="J16" s="707">
        <f t="shared" si="0"/>
        <v>0</v>
      </c>
      <c r="K16" s="707">
        <f t="shared" si="0"/>
        <v>334.38678034130578</v>
      </c>
      <c r="L16" s="707">
        <f t="shared" si="0"/>
        <v>0</v>
      </c>
      <c r="M16" s="707">
        <f t="shared" ca="1" si="0"/>
        <v>0</v>
      </c>
      <c r="N16" s="707">
        <f t="shared" si="0"/>
        <v>0</v>
      </c>
      <c r="O16" s="707">
        <f t="shared" ca="1" si="0"/>
        <v>4878.0049426822989</v>
      </c>
      <c r="P16" s="707">
        <f t="shared" si="0"/>
        <v>40.646666666666668</v>
      </c>
      <c r="Q16" s="707">
        <f t="shared" si="0"/>
        <v>381.33333333333337</v>
      </c>
      <c r="R16" s="707">
        <f t="shared" ca="1" si="0"/>
        <v>88046.426382942023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3.8007930330340378</v>
      </c>
      <c r="D19" s="674">
        <f>transport!C54</f>
        <v>0</v>
      </c>
      <c r="E19" s="674">
        <f>transport!D54</f>
        <v>0</v>
      </c>
      <c r="F19" s="674">
        <f>transport!E54</f>
        <v>0</v>
      </c>
      <c r="G19" s="674">
        <f>transport!F54</f>
        <v>0</v>
      </c>
      <c r="H19" s="674">
        <f>transport!G54</f>
        <v>758.07566395047752</v>
      </c>
      <c r="I19" s="674">
        <f>transport!H54</f>
        <v>0</v>
      </c>
      <c r="J19" s="674">
        <f>transport!I54</f>
        <v>0</v>
      </c>
      <c r="K19" s="674">
        <f>transport!J54</f>
        <v>0</v>
      </c>
      <c r="L19" s="674">
        <f>transport!K54</f>
        <v>0</v>
      </c>
      <c r="M19" s="674">
        <f>transport!L54</f>
        <v>0</v>
      </c>
      <c r="N19" s="674">
        <f>transport!M54</f>
        <v>33.506136950706953</v>
      </c>
      <c r="O19" s="674">
        <f>transport!N54</f>
        <v>0</v>
      </c>
      <c r="P19" s="674">
        <f>transport!O54</f>
        <v>0</v>
      </c>
      <c r="Q19" s="675">
        <f>transport!P54</f>
        <v>0</v>
      </c>
      <c r="R19" s="677">
        <f>SUM(C19:Q19)</f>
        <v>795.38259393421845</v>
      </c>
      <c r="S19" s="68"/>
    </row>
    <row r="20" spans="1:19" s="443" customFormat="1">
      <c r="A20" s="789" t="s">
        <v>296</v>
      </c>
      <c r="B20" s="794"/>
      <c r="C20" s="674">
        <f>transport!B14</f>
        <v>2.2679575660916029</v>
      </c>
      <c r="D20" s="674">
        <f>transport!C14</f>
        <v>0</v>
      </c>
      <c r="E20" s="674">
        <f>transport!D14</f>
        <v>2.9836584459562792</v>
      </c>
      <c r="F20" s="674">
        <f>transport!E14</f>
        <v>204.59378007763587</v>
      </c>
      <c r="G20" s="674">
        <f>transport!F14</f>
        <v>0</v>
      </c>
      <c r="H20" s="674">
        <f>transport!G14</f>
        <v>50260.661556693325</v>
      </c>
      <c r="I20" s="674">
        <f>transport!H14</f>
        <v>7259.2625583775389</v>
      </c>
      <c r="J20" s="674">
        <f>transport!I14</f>
        <v>0</v>
      </c>
      <c r="K20" s="674">
        <f>transport!J14</f>
        <v>0</v>
      </c>
      <c r="L20" s="674">
        <f>transport!K14</f>
        <v>0</v>
      </c>
      <c r="M20" s="674">
        <f>transport!L14</f>
        <v>0</v>
      </c>
      <c r="N20" s="674">
        <f>transport!M14</f>
        <v>2568.8937815620652</v>
      </c>
      <c r="O20" s="674">
        <f>transport!N14</f>
        <v>0</v>
      </c>
      <c r="P20" s="674">
        <f>transport!O14</f>
        <v>0</v>
      </c>
      <c r="Q20" s="675">
        <f>transport!P14</f>
        <v>0</v>
      </c>
      <c r="R20" s="677">
        <f>SUM(C20:Q20)</f>
        <v>60298.663292722609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6.0687505991256412</v>
      </c>
      <c r="D22" s="792">
        <f t="shared" ref="D22:R22" si="1">SUM(D18:D21)</f>
        <v>0</v>
      </c>
      <c r="E22" s="792">
        <f t="shared" si="1"/>
        <v>2.9836584459562792</v>
      </c>
      <c r="F22" s="792">
        <f t="shared" si="1"/>
        <v>204.59378007763587</v>
      </c>
      <c r="G22" s="792">
        <f t="shared" si="1"/>
        <v>0</v>
      </c>
      <c r="H22" s="792">
        <f t="shared" si="1"/>
        <v>51018.737220643801</v>
      </c>
      <c r="I22" s="792">
        <f t="shared" si="1"/>
        <v>7259.2625583775389</v>
      </c>
      <c r="J22" s="792">
        <f t="shared" si="1"/>
        <v>0</v>
      </c>
      <c r="K22" s="792">
        <f t="shared" si="1"/>
        <v>0</v>
      </c>
      <c r="L22" s="792">
        <f t="shared" si="1"/>
        <v>0</v>
      </c>
      <c r="M22" s="792">
        <f t="shared" si="1"/>
        <v>0</v>
      </c>
      <c r="N22" s="792">
        <f t="shared" si="1"/>
        <v>2602.3999185127723</v>
      </c>
      <c r="O22" s="792">
        <f t="shared" si="1"/>
        <v>0</v>
      </c>
      <c r="P22" s="792">
        <f t="shared" si="1"/>
        <v>0</v>
      </c>
      <c r="Q22" s="792">
        <f t="shared" si="1"/>
        <v>0</v>
      </c>
      <c r="R22" s="792">
        <f t="shared" si="1"/>
        <v>61094.04588665683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693.77099999999996</v>
      </c>
      <c r="D24" s="674">
        <f>+landbouw!C8</f>
        <v>0</v>
      </c>
      <c r="E24" s="674">
        <f>+landbouw!D8</f>
        <v>832.34783270752882</v>
      </c>
      <c r="F24" s="674">
        <f>+landbouw!E8</f>
        <v>6.5357876618182509</v>
      </c>
      <c r="G24" s="674">
        <f>+landbouw!F8</f>
        <v>2264.0050153742636</v>
      </c>
      <c r="H24" s="674">
        <f>+landbouw!G8</f>
        <v>0</v>
      </c>
      <c r="I24" s="674">
        <f>+landbouw!H8</f>
        <v>0</v>
      </c>
      <c r="J24" s="674">
        <f>+landbouw!I8</f>
        <v>0</v>
      </c>
      <c r="K24" s="674">
        <f>+landbouw!J8</f>
        <v>85.82284720149579</v>
      </c>
      <c r="L24" s="674">
        <f>+landbouw!K8</f>
        <v>0</v>
      </c>
      <c r="M24" s="674">
        <f>+landbouw!L8</f>
        <v>0</v>
      </c>
      <c r="N24" s="674">
        <f>+landbouw!M8</f>
        <v>0</v>
      </c>
      <c r="O24" s="674">
        <f>+landbouw!N8</f>
        <v>0</v>
      </c>
      <c r="P24" s="674">
        <f>+landbouw!O8</f>
        <v>0</v>
      </c>
      <c r="Q24" s="675">
        <f>+landbouw!P8</f>
        <v>0</v>
      </c>
      <c r="R24" s="677">
        <f>SUM(C24:Q24)</f>
        <v>3882.4824829451063</v>
      </c>
      <c r="S24" s="68"/>
    </row>
    <row r="25" spans="1:19" s="443" customFormat="1" ht="15" thickBot="1">
      <c r="A25" s="811" t="s">
        <v>873</v>
      </c>
      <c r="B25" s="977"/>
      <c r="C25" s="978">
        <f>IF(Onbekend_ele_kWh="---",0,Onbekend_ele_kWh)/1000+IF(REST_rest_ele_kWh="---",0,REST_rest_ele_kWh)/1000</f>
        <v>875.43299999999999</v>
      </c>
      <c r="D25" s="978"/>
      <c r="E25" s="978">
        <f>IF(onbekend_gas_kWh="---",0,onbekend_gas_kWh)/1000+IF(REST_rest_gas_kWh="---",0,REST_rest_gas_kWh)/1000</f>
        <v>1010.66275247595</v>
      </c>
      <c r="F25" s="978"/>
      <c r="G25" s="978"/>
      <c r="H25" s="978"/>
      <c r="I25" s="978"/>
      <c r="J25" s="978"/>
      <c r="K25" s="978"/>
      <c r="L25" s="978"/>
      <c r="M25" s="978"/>
      <c r="N25" s="978"/>
      <c r="O25" s="978"/>
      <c r="P25" s="978"/>
      <c r="Q25" s="979"/>
      <c r="R25" s="677">
        <f>SUM(C25:Q25)</f>
        <v>1886.0957524759501</v>
      </c>
      <c r="S25" s="68"/>
    </row>
    <row r="26" spans="1:19" s="443" customFormat="1" ht="15.75" thickBot="1">
      <c r="A26" s="680" t="s">
        <v>874</v>
      </c>
      <c r="B26" s="797"/>
      <c r="C26" s="792">
        <f>SUM(C24:C25)</f>
        <v>1569.204</v>
      </c>
      <c r="D26" s="792">
        <f t="shared" ref="D26:R26" si="2">SUM(D24:D25)</f>
        <v>0</v>
      </c>
      <c r="E26" s="792">
        <f t="shared" si="2"/>
        <v>1843.0105851834787</v>
      </c>
      <c r="F26" s="792">
        <f t="shared" si="2"/>
        <v>6.5357876618182509</v>
      </c>
      <c r="G26" s="792">
        <f t="shared" si="2"/>
        <v>2264.0050153742636</v>
      </c>
      <c r="H26" s="792">
        <f t="shared" si="2"/>
        <v>0</v>
      </c>
      <c r="I26" s="792">
        <f t="shared" si="2"/>
        <v>0</v>
      </c>
      <c r="J26" s="792">
        <f t="shared" si="2"/>
        <v>0</v>
      </c>
      <c r="K26" s="792">
        <f t="shared" si="2"/>
        <v>85.82284720149579</v>
      </c>
      <c r="L26" s="792">
        <f t="shared" si="2"/>
        <v>0</v>
      </c>
      <c r="M26" s="792">
        <f t="shared" si="2"/>
        <v>0</v>
      </c>
      <c r="N26" s="792">
        <f t="shared" si="2"/>
        <v>0</v>
      </c>
      <c r="O26" s="792">
        <f t="shared" si="2"/>
        <v>0</v>
      </c>
      <c r="P26" s="792">
        <f t="shared" si="2"/>
        <v>0</v>
      </c>
      <c r="Q26" s="792">
        <f t="shared" si="2"/>
        <v>0</v>
      </c>
      <c r="R26" s="792">
        <f t="shared" si="2"/>
        <v>5768.5782354210569</v>
      </c>
      <c r="S26" s="68"/>
    </row>
    <row r="27" spans="1:19" s="443" customFormat="1" ht="17.25" thickTop="1" thickBot="1">
      <c r="A27" s="681" t="s">
        <v>109</v>
      </c>
      <c r="B27" s="784"/>
      <c r="C27" s="682">
        <f ca="1">C22+C16+C26</f>
        <v>20064.873354001844</v>
      </c>
      <c r="D27" s="682">
        <f t="shared" ref="D27:R27" ca="1" si="3">D22+D16+D26</f>
        <v>0</v>
      </c>
      <c r="E27" s="682">
        <f t="shared" ca="1" si="3"/>
        <v>45471.11625597925</v>
      </c>
      <c r="F27" s="682">
        <f t="shared" si="3"/>
        <v>862.41999630816133</v>
      </c>
      <c r="G27" s="682">
        <f t="shared" ca="1" si="3"/>
        <v>21910.046630971443</v>
      </c>
      <c r="H27" s="682">
        <f t="shared" si="3"/>
        <v>51018.737220643801</v>
      </c>
      <c r="I27" s="682">
        <f t="shared" si="3"/>
        <v>7259.2625583775389</v>
      </c>
      <c r="J27" s="682">
        <f t="shared" si="3"/>
        <v>0</v>
      </c>
      <c r="K27" s="682">
        <f t="shared" si="3"/>
        <v>420.20962754280157</v>
      </c>
      <c r="L27" s="682">
        <f t="shared" si="3"/>
        <v>0</v>
      </c>
      <c r="M27" s="682">
        <f t="shared" ca="1" si="3"/>
        <v>0</v>
      </c>
      <c r="N27" s="682">
        <f t="shared" si="3"/>
        <v>2602.3999185127723</v>
      </c>
      <c r="O27" s="682">
        <f t="shared" ca="1" si="3"/>
        <v>4878.0049426822989</v>
      </c>
      <c r="P27" s="682">
        <f t="shared" si="3"/>
        <v>40.646666666666668</v>
      </c>
      <c r="Q27" s="682">
        <f t="shared" si="3"/>
        <v>381.33333333333337</v>
      </c>
      <c r="R27" s="682">
        <f t="shared" ca="1" si="3"/>
        <v>154909.05050501993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932.83409118372072</v>
      </c>
      <c r="D40" s="674">
        <f ca="1">tertiair!C20</f>
        <v>0</v>
      </c>
      <c r="E40" s="674">
        <f ca="1">tertiair!D20</f>
        <v>1272.0720594883733</v>
      </c>
      <c r="F40" s="674">
        <f>tertiair!E20</f>
        <v>10.589698418911437</v>
      </c>
      <c r="G40" s="674">
        <f ca="1">tertiair!F20</f>
        <v>276.81081904363378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2492.306668134639</v>
      </c>
    </row>
    <row r="41" spans="1:18">
      <c r="A41" s="802" t="s">
        <v>214</v>
      </c>
      <c r="B41" s="809"/>
      <c r="C41" s="674">
        <f ca="1">huishoudens!B12</f>
        <v>2587.9175865614861</v>
      </c>
      <c r="D41" s="674">
        <f ca="1">huishoudens!C12</f>
        <v>0</v>
      </c>
      <c r="E41" s="674">
        <f>huishoudens!D12</f>
        <v>7391.4849028906556</v>
      </c>
      <c r="F41" s="674">
        <f>huishoudens!E12</f>
        <v>135.81308550798792</v>
      </c>
      <c r="G41" s="674">
        <f>huishoudens!F12</f>
        <v>4870.1584198636137</v>
      </c>
      <c r="H41" s="674">
        <f>huishoudens!G12</f>
        <v>0</v>
      </c>
      <c r="I41" s="674">
        <f>huishoudens!H12</f>
        <v>0</v>
      </c>
      <c r="J41" s="674">
        <f>huishoudens!I12</f>
        <v>0</v>
      </c>
      <c r="K41" s="674">
        <f>huishoudens!J12</f>
        <v>117.16117584221969</v>
      </c>
      <c r="L41" s="674">
        <f>huishoudens!K12</f>
        <v>0</v>
      </c>
      <c r="M41" s="674">
        <f>huishoudens!L12</f>
        <v>0</v>
      </c>
      <c r="N41" s="674">
        <f>huishoudens!M12</f>
        <v>0</v>
      </c>
      <c r="O41" s="674">
        <f>huishoudens!N12</f>
        <v>0</v>
      </c>
      <c r="P41" s="674">
        <f>huishoudens!O12</f>
        <v>0</v>
      </c>
      <c r="Q41" s="749">
        <f>huishoudens!P12</f>
        <v>0</v>
      </c>
      <c r="R41" s="830">
        <f t="shared" ca="1" si="4"/>
        <v>15102.535170665964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164.73922128555833</v>
      </c>
      <c r="D43" s="674">
        <f ca="1">industrie!C22</f>
        <v>0</v>
      </c>
      <c r="E43" s="674">
        <f>industrie!D22</f>
        <v>148.71768411563517</v>
      </c>
      <c r="F43" s="674">
        <f>industrie!E22</f>
        <v>1.4401433581971612</v>
      </c>
      <c r="G43" s="674">
        <f>industrie!F22</f>
        <v>98.523872457199062</v>
      </c>
      <c r="H43" s="674">
        <f>industrie!G22</f>
        <v>0</v>
      </c>
      <c r="I43" s="674">
        <f>industrie!H22</f>
        <v>0</v>
      </c>
      <c r="J43" s="674">
        <f>industrie!I22</f>
        <v>0</v>
      </c>
      <c r="K43" s="674">
        <f>industrie!J22</f>
        <v>1.2117443986025407</v>
      </c>
      <c r="L43" s="674">
        <f>industrie!K22</f>
        <v>0</v>
      </c>
      <c r="M43" s="674">
        <f>industrie!L22</f>
        <v>0</v>
      </c>
      <c r="N43" s="674">
        <f>industrie!M22</f>
        <v>0</v>
      </c>
      <c r="O43" s="674">
        <f>industrie!N22</f>
        <v>0</v>
      </c>
      <c r="P43" s="674">
        <f>industrie!O22</f>
        <v>0</v>
      </c>
      <c r="Q43" s="749">
        <f>industrie!P22</f>
        <v>0</v>
      </c>
      <c r="R43" s="829">
        <f t="shared" ca="1" si="4"/>
        <v>414.6326656151922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3685.4908990307654</v>
      </c>
      <c r="D46" s="707">
        <f t="shared" ref="D46:Q46" ca="1" si="5">SUM(D39:D45)</f>
        <v>0</v>
      </c>
      <c r="E46" s="707">
        <f t="shared" ca="1" si="5"/>
        <v>8812.2746464946649</v>
      </c>
      <c r="F46" s="707">
        <f t="shared" si="5"/>
        <v>147.84292728509652</v>
      </c>
      <c r="G46" s="707">
        <f t="shared" ca="1" si="5"/>
        <v>5245.493111364447</v>
      </c>
      <c r="H46" s="707">
        <f t="shared" si="5"/>
        <v>0</v>
      </c>
      <c r="I46" s="707">
        <f t="shared" si="5"/>
        <v>0</v>
      </c>
      <c r="J46" s="707">
        <f t="shared" si="5"/>
        <v>0</v>
      </c>
      <c r="K46" s="707">
        <f t="shared" si="5"/>
        <v>118.37292024082222</v>
      </c>
      <c r="L46" s="707">
        <f t="shared" si="5"/>
        <v>0</v>
      </c>
      <c r="M46" s="707">
        <f t="shared" ca="1" si="5"/>
        <v>0</v>
      </c>
      <c r="N46" s="707">
        <f t="shared" si="5"/>
        <v>0</v>
      </c>
      <c r="O46" s="707">
        <f t="shared" ca="1" si="5"/>
        <v>0</v>
      </c>
      <c r="P46" s="707">
        <f t="shared" si="5"/>
        <v>0</v>
      </c>
      <c r="Q46" s="707">
        <f t="shared" si="5"/>
        <v>0</v>
      </c>
      <c r="R46" s="707">
        <f ca="1">SUM(R39:R45)</f>
        <v>18009.474504415793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0.75760360825579831</v>
      </c>
      <c r="D49" s="674">
        <f ca="1">transport!C58</f>
        <v>0</v>
      </c>
      <c r="E49" s="674">
        <f>transport!D58</f>
        <v>0</v>
      </c>
      <c r="F49" s="674">
        <f>transport!E58</f>
        <v>0</v>
      </c>
      <c r="G49" s="674">
        <f>transport!F58</f>
        <v>0</v>
      </c>
      <c r="H49" s="674">
        <f>transport!G58</f>
        <v>202.40620227477751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203.16380588303332</v>
      </c>
    </row>
    <row r="50" spans="1:18">
      <c r="A50" s="805" t="s">
        <v>296</v>
      </c>
      <c r="B50" s="815"/>
      <c r="C50" s="984">
        <f ca="1">transport!B18</f>
        <v>0.45206692932460163</v>
      </c>
      <c r="D50" s="984">
        <f>transport!C18</f>
        <v>0</v>
      </c>
      <c r="E50" s="984">
        <f>transport!D18</f>
        <v>0.6026990060831684</v>
      </c>
      <c r="F50" s="984">
        <f>transport!E18</f>
        <v>46.442788077623341</v>
      </c>
      <c r="G50" s="984">
        <f>transport!F18</f>
        <v>0</v>
      </c>
      <c r="H50" s="984">
        <f>transport!G18</f>
        <v>13419.596635637119</v>
      </c>
      <c r="I50" s="984">
        <f>transport!H18</f>
        <v>1807.5563770360072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15274.650566686158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1.2096705375804</v>
      </c>
      <c r="D52" s="707">
        <f t="shared" ref="D52:Q52" ca="1" si="6">SUM(D48:D51)</f>
        <v>0</v>
      </c>
      <c r="E52" s="707">
        <f t="shared" si="6"/>
        <v>0.6026990060831684</v>
      </c>
      <c r="F52" s="707">
        <f t="shared" si="6"/>
        <v>46.442788077623341</v>
      </c>
      <c r="G52" s="707">
        <f t="shared" si="6"/>
        <v>0</v>
      </c>
      <c r="H52" s="707">
        <f t="shared" si="6"/>
        <v>13622.002837911896</v>
      </c>
      <c r="I52" s="707">
        <f t="shared" si="6"/>
        <v>1807.5563770360072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15477.814372569192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138.28782791776035</v>
      </c>
      <c r="D54" s="984">
        <f ca="1">+landbouw!C12</f>
        <v>0</v>
      </c>
      <c r="E54" s="984">
        <f>+landbouw!D12</f>
        <v>168.13426220692082</v>
      </c>
      <c r="F54" s="984">
        <f>+landbouw!E12</f>
        <v>1.483623799232743</v>
      </c>
      <c r="G54" s="984">
        <f>+landbouw!F12</f>
        <v>604.48933910492838</v>
      </c>
      <c r="H54" s="984">
        <f>+landbouw!G12</f>
        <v>0</v>
      </c>
      <c r="I54" s="984">
        <f>+landbouw!H12</f>
        <v>0</v>
      </c>
      <c r="J54" s="984">
        <f>+landbouw!I12</f>
        <v>0</v>
      </c>
      <c r="K54" s="984">
        <f>+landbouw!J12</f>
        <v>30.381287909329508</v>
      </c>
      <c r="L54" s="984">
        <f>+landbouw!K12</f>
        <v>0</v>
      </c>
      <c r="M54" s="984">
        <f>+landbouw!L12</f>
        <v>0</v>
      </c>
      <c r="N54" s="984">
        <f>+landbouw!M12</f>
        <v>0</v>
      </c>
      <c r="O54" s="984">
        <f>+landbouw!N12</f>
        <v>0</v>
      </c>
      <c r="P54" s="984">
        <f>+landbouw!O12</f>
        <v>0</v>
      </c>
      <c r="Q54" s="985">
        <f>+landbouw!P12</f>
        <v>0</v>
      </c>
      <c r="R54" s="706">
        <f ca="1">SUM(C54:Q54)</f>
        <v>942.77634093817187</v>
      </c>
    </row>
    <row r="55" spans="1:18" ht="15" thickBot="1">
      <c r="A55" s="805" t="s">
        <v>873</v>
      </c>
      <c r="B55" s="815"/>
      <c r="C55" s="984">
        <f ca="1">C25*'EF ele_warmte'!B12</f>
        <v>174.49810968969402</v>
      </c>
      <c r="D55" s="984"/>
      <c r="E55" s="984">
        <f>E25*EF_CO2_aardgas</f>
        <v>204.15387600014191</v>
      </c>
      <c r="F55" s="984"/>
      <c r="G55" s="984"/>
      <c r="H55" s="984"/>
      <c r="I55" s="984"/>
      <c r="J55" s="984"/>
      <c r="K55" s="984"/>
      <c r="L55" s="984"/>
      <c r="M55" s="984"/>
      <c r="N55" s="984"/>
      <c r="O55" s="984"/>
      <c r="P55" s="984"/>
      <c r="Q55" s="985"/>
      <c r="R55" s="706">
        <f ca="1">SUM(C55:Q55)</f>
        <v>378.6519856898359</v>
      </c>
    </row>
    <row r="56" spans="1:18" ht="15.75" thickBot="1">
      <c r="A56" s="803" t="s">
        <v>874</v>
      </c>
      <c r="B56" s="816"/>
      <c r="C56" s="707">
        <f ca="1">SUM(C54:C55)</f>
        <v>312.78593760745434</v>
      </c>
      <c r="D56" s="707">
        <f t="shared" ref="D56:Q56" ca="1" si="7">SUM(D54:D55)</f>
        <v>0</v>
      </c>
      <c r="E56" s="707">
        <f t="shared" si="7"/>
        <v>372.28813820706273</v>
      </c>
      <c r="F56" s="707">
        <f t="shared" si="7"/>
        <v>1.483623799232743</v>
      </c>
      <c r="G56" s="707">
        <f t="shared" si="7"/>
        <v>604.48933910492838</v>
      </c>
      <c r="H56" s="707">
        <f t="shared" si="7"/>
        <v>0</v>
      </c>
      <c r="I56" s="707">
        <f t="shared" si="7"/>
        <v>0</v>
      </c>
      <c r="J56" s="707">
        <f t="shared" si="7"/>
        <v>0</v>
      </c>
      <c r="K56" s="707">
        <f t="shared" si="7"/>
        <v>30.381287909329508</v>
      </c>
      <c r="L56" s="707">
        <f t="shared" si="7"/>
        <v>0</v>
      </c>
      <c r="M56" s="707">
        <f t="shared" si="7"/>
        <v>0</v>
      </c>
      <c r="N56" s="707">
        <f t="shared" si="7"/>
        <v>0</v>
      </c>
      <c r="O56" s="707">
        <f t="shared" si="7"/>
        <v>0</v>
      </c>
      <c r="P56" s="707">
        <f t="shared" si="7"/>
        <v>0</v>
      </c>
      <c r="Q56" s="708">
        <f t="shared" si="7"/>
        <v>0</v>
      </c>
      <c r="R56" s="709">
        <f ca="1">SUM(R54:R55)</f>
        <v>1321.4283266280077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3999.4865071757999</v>
      </c>
      <c r="D61" s="715">
        <f t="shared" ref="D61:Q61" ca="1" si="8">D46+D52+D56</f>
        <v>0</v>
      </c>
      <c r="E61" s="715">
        <f t="shared" ca="1" si="8"/>
        <v>9185.1654837078113</v>
      </c>
      <c r="F61" s="715">
        <f t="shared" si="8"/>
        <v>195.76933916195259</v>
      </c>
      <c r="G61" s="715">
        <f t="shared" ca="1" si="8"/>
        <v>5849.9824504693752</v>
      </c>
      <c r="H61" s="715">
        <f t="shared" si="8"/>
        <v>13622.002837911896</v>
      </c>
      <c r="I61" s="715">
        <f t="shared" si="8"/>
        <v>1807.5563770360072</v>
      </c>
      <c r="J61" s="715">
        <f t="shared" si="8"/>
        <v>0</v>
      </c>
      <c r="K61" s="715">
        <f t="shared" si="8"/>
        <v>148.75420815015173</v>
      </c>
      <c r="L61" s="715">
        <f t="shared" si="8"/>
        <v>0</v>
      </c>
      <c r="M61" s="715">
        <f t="shared" ca="1" si="8"/>
        <v>0</v>
      </c>
      <c r="N61" s="715">
        <f t="shared" si="8"/>
        <v>0</v>
      </c>
      <c r="O61" s="715">
        <f t="shared" ca="1" si="8"/>
        <v>0</v>
      </c>
      <c r="P61" s="715">
        <f t="shared" si="8"/>
        <v>0</v>
      </c>
      <c r="Q61" s="715">
        <f t="shared" si="8"/>
        <v>0</v>
      </c>
      <c r="R61" s="715">
        <f ca="1">R46+R52+R56</f>
        <v>34808.717203612992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0.19932777230204254</v>
      </c>
      <c r="D63" s="759">
        <f t="shared" ca="1" si="9"/>
        <v>0</v>
      </c>
      <c r="E63" s="986">
        <f t="shared" ca="1" si="9"/>
        <v>0.20200000000000007</v>
      </c>
      <c r="F63" s="759">
        <f t="shared" si="9"/>
        <v>0.22699999999999995</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1967.6493396317092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1967.6493396317092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12983.226354629596</v>
      </c>
      <c r="C4" s="447">
        <f>huishoudens!C8</f>
        <v>0</v>
      </c>
      <c r="D4" s="447">
        <f>huishoudens!D8</f>
        <v>36591.509420250768</v>
      </c>
      <c r="E4" s="447">
        <f>huishoudens!E8</f>
        <v>598.29553087219347</v>
      </c>
      <c r="F4" s="447">
        <f>huishoudens!F8</f>
        <v>18240.293707354358</v>
      </c>
      <c r="G4" s="447">
        <f>huishoudens!G8</f>
        <v>0</v>
      </c>
      <c r="H4" s="447">
        <f>huishoudens!H8</f>
        <v>0</v>
      </c>
      <c r="I4" s="447">
        <f>huishoudens!I8</f>
        <v>0</v>
      </c>
      <c r="J4" s="447">
        <f>huishoudens!J8</f>
        <v>330.96377356559236</v>
      </c>
      <c r="K4" s="447">
        <f>huishoudens!K8</f>
        <v>0</v>
      </c>
      <c r="L4" s="447">
        <f>huishoudens!L8</f>
        <v>0</v>
      </c>
      <c r="M4" s="447">
        <f>huishoudens!M8</f>
        <v>0</v>
      </c>
      <c r="N4" s="447">
        <f>huishoudens!N8</f>
        <v>4420.574731093885</v>
      </c>
      <c r="O4" s="447">
        <f>huishoudens!O8</f>
        <v>37.520000000000003</v>
      </c>
      <c r="P4" s="448">
        <f>huishoudens!P8</f>
        <v>381.33333333333337</v>
      </c>
      <c r="Q4" s="449">
        <f>SUM(B4:P4)</f>
        <v>73583.716851099729</v>
      </c>
    </row>
    <row r="5" spans="1:17">
      <c r="A5" s="446" t="s">
        <v>149</v>
      </c>
      <c r="B5" s="447">
        <f ca="1">tertiair!B16</f>
        <v>4057.5732487731202</v>
      </c>
      <c r="C5" s="447">
        <f ca="1">tertiair!C16</f>
        <v>0</v>
      </c>
      <c r="D5" s="447">
        <f ca="1">tertiair!D16</f>
        <v>6297.3864331107579</v>
      </c>
      <c r="E5" s="447">
        <f>tertiair!E16</f>
        <v>46.650653827803687</v>
      </c>
      <c r="F5" s="447">
        <f ca="1">tertiair!F16</f>
        <v>1036.7446406128606</v>
      </c>
      <c r="G5" s="447">
        <f>tertiair!G16</f>
        <v>0</v>
      </c>
      <c r="H5" s="447">
        <f>tertiair!H16</f>
        <v>0</v>
      </c>
      <c r="I5" s="447">
        <f>tertiair!I16</f>
        <v>0</v>
      </c>
      <c r="J5" s="447">
        <f>tertiair!J16</f>
        <v>0</v>
      </c>
      <c r="K5" s="447">
        <f>tertiair!K16</f>
        <v>0</v>
      </c>
      <c r="L5" s="447">
        <f ca="1">tertiair!L16</f>
        <v>0</v>
      </c>
      <c r="M5" s="447">
        <f>tertiair!M16</f>
        <v>0</v>
      </c>
      <c r="N5" s="447">
        <f ca="1">tertiair!N16</f>
        <v>421.91343923215322</v>
      </c>
      <c r="O5" s="447">
        <f>tertiair!O16</f>
        <v>3.1266666666666669</v>
      </c>
      <c r="P5" s="448">
        <f>tertiair!P16</f>
        <v>0</v>
      </c>
      <c r="Q5" s="446">
        <f t="shared" ref="Q5:Q14" ca="1" si="0">SUM(B5:P5)</f>
        <v>11863.395082223364</v>
      </c>
    </row>
    <row r="6" spans="1:17">
      <c r="A6" s="446" t="s">
        <v>187</v>
      </c>
      <c r="B6" s="447">
        <f>'openbare verlichting'!B8</f>
        <v>622.327</v>
      </c>
      <c r="C6" s="447"/>
      <c r="D6" s="447"/>
      <c r="E6" s="447"/>
      <c r="F6" s="447"/>
      <c r="G6" s="447"/>
      <c r="H6" s="447"/>
      <c r="I6" s="447"/>
      <c r="J6" s="447"/>
      <c r="K6" s="447"/>
      <c r="L6" s="447"/>
      <c r="M6" s="447"/>
      <c r="N6" s="447"/>
      <c r="O6" s="447"/>
      <c r="P6" s="448"/>
      <c r="Q6" s="446">
        <f t="shared" si="0"/>
        <v>622.327</v>
      </c>
    </row>
    <row r="7" spans="1:17">
      <c r="A7" s="446" t="s">
        <v>105</v>
      </c>
      <c r="B7" s="447">
        <f>landbouw!B8</f>
        <v>693.77099999999996</v>
      </c>
      <c r="C7" s="447">
        <f>landbouw!C8</f>
        <v>0</v>
      </c>
      <c r="D7" s="447">
        <f>landbouw!D8</f>
        <v>832.34783270752882</v>
      </c>
      <c r="E7" s="447">
        <f>landbouw!E8</f>
        <v>6.5357876618182509</v>
      </c>
      <c r="F7" s="447">
        <f>landbouw!F8</f>
        <v>2264.0050153742636</v>
      </c>
      <c r="G7" s="447">
        <f>landbouw!G8</f>
        <v>0</v>
      </c>
      <c r="H7" s="447">
        <f>landbouw!H8</f>
        <v>0</v>
      </c>
      <c r="I7" s="447">
        <f>landbouw!I8</f>
        <v>0</v>
      </c>
      <c r="J7" s="447">
        <f>landbouw!J8</f>
        <v>85.82284720149579</v>
      </c>
      <c r="K7" s="447">
        <f>landbouw!K8</f>
        <v>0</v>
      </c>
      <c r="L7" s="447">
        <f>landbouw!L8</f>
        <v>0</v>
      </c>
      <c r="M7" s="447">
        <f>landbouw!M8</f>
        <v>0</v>
      </c>
      <c r="N7" s="447">
        <f>landbouw!N8</f>
        <v>0</v>
      </c>
      <c r="O7" s="447">
        <f>landbouw!O8</f>
        <v>0</v>
      </c>
      <c r="P7" s="448">
        <f>landbouw!P8</f>
        <v>0</v>
      </c>
      <c r="Q7" s="446">
        <f t="shared" si="0"/>
        <v>3882.4824829451063</v>
      </c>
    </row>
    <row r="8" spans="1:17">
      <c r="A8" s="446" t="s">
        <v>665</v>
      </c>
      <c r="B8" s="447">
        <f>industrie!B18</f>
        <v>826.47400000000005</v>
      </c>
      <c r="C8" s="447">
        <f>industrie!C18</f>
        <v>0</v>
      </c>
      <c r="D8" s="447">
        <f>industrie!D18</f>
        <v>736.22615898829281</v>
      </c>
      <c r="E8" s="447">
        <f>industrie!E18</f>
        <v>6.3442438687099614</v>
      </c>
      <c r="F8" s="447">
        <f>industrie!F18</f>
        <v>369.003267629959</v>
      </c>
      <c r="G8" s="447">
        <f>industrie!G18</f>
        <v>0</v>
      </c>
      <c r="H8" s="447">
        <f>industrie!H18</f>
        <v>0</v>
      </c>
      <c r="I8" s="447">
        <f>industrie!I18</f>
        <v>0</v>
      </c>
      <c r="J8" s="447">
        <f>industrie!J18</f>
        <v>3.4230067757133922</v>
      </c>
      <c r="K8" s="447">
        <f>industrie!K18</f>
        <v>0</v>
      </c>
      <c r="L8" s="447">
        <f>industrie!L18</f>
        <v>0</v>
      </c>
      <c r="M8" s="447">
        <f>industrie!M18</f>
        <v>0</v>
      </c>
      <c r="N8" s="447">
        <f>industrie!N18</f>
        <v>35.51677235626061</v>
      </c>
      <c r="O8" s="447">
        <f>industrie!O18</f>
        <v>0</v>
      </c>
      <c r="P8" s="448">
        <f>industrie!P18</f>
        <v>0</v>
      </c>
      <c r="Q8" s="446">
        <f t="shared" si="0"/>
        <v>1976.9874496189361</v>
      </c>
    </row>
    <row r="9" spans="1:17" s="452" customFormat="1">
      <c r="A9" s="450" t="s">
        <v>562</v>
      </c>
      <c r="B9" s="451">
        <f>transport!B14</f>
        <v>2.2679575660916029</v>
      </c>
      <c r="C9" s="451">
        <f>transport!C14</f>
        <v>0</v>
      </c>
      <c r="D9" s="451">
        <f>transport!D14</f>
        <v>2.9836584459562792</v>
      </c>
      <c r="E9" s="451">
        <f>transport!E14</f>
        <v>204.59378007763587</v>
      </c>
      <c r="F9" s="451">
        <f>transport!F14</f>
        <v>0</v>
      </c>
      <c r="G9" s="451">
        <f>transport!G14</f>
        <v>50260.661556693325</v>
      </c>
      <c r="H9" s="451">
        <f>transport!H14</f>
        <v>7259.2625583775389</v>
      </c>
      <c r="I9" s="451">
        <f>transport!I14</f>
        <v>0</v>
      </c>
      <c r="J9" s="451">
        <f>transport!J14</f>
        <v>0</v>
      </c>
      <c r="K9" s="451">
        <f>transport!K14</f>
        <v>0</v>
      </c>
      <c r="L9" s="451">
        <f>transport!L14</f>
        <v>0</v>
      </c>
      <c r="M9" s="451">
        <f>transport!M14</f>
        <v>2568.8937815620652</v>
      </c>
      <c r="N9" s="451">
        <f>transport!N14</f>
        <v>0</v>
      </c>
      <c r="O9" s="451">
        <f>transport!O14</f>
        <v>0</v>
      </c>
      <c r="P9" s="451">
        <f>transport!P14</f>
        <v>0</v>
      </c>
      <c r="Q9" s="450">
        <f>SUM(B9:P9)</f>
        <v>60298.663292722609</v>
      </c>
    </row>
    <row r="10" spans="1:17">
      <c r="A10" s="446" t="s">
        <v>552</v>
      </c>
      <c r="B10" s="447">
        <f>transport!B54</f>
        <v>3.8007930330340378</v>
      </c>
      <c r="C10" s="447">
        <f>transport!C54</f>
        <v>0</v>
      </c>
      <c r="D10" s="447">
        <f>transport!D54</f>
        <v>0</v>
      </c>
      <c r="E10" s="447">
        <f>transport!E54</f>
        <v>0</v>
      </c>
      <c r="F10" s="447">
        <f>transport!F54</f>
        <v>0</v>
      </c>
      <c r="G10" s="447">
        <f>transport!G54</f>
        <v>758.07566395047752</v>
      </c>
      <c r="H10" s="447">
        <f>transport!H54</f>
        <v>0</v>
      </c>
      <c r="I10" s="447">
        <f>transport!I54</f>
        <v>0</v>
      </c>
      <c r="J10" s="447">
        <f>transport!J54</f>
        <v>0</v>
      </c>
      <c r="K10" s="447">
        <f>transport!K54</f>
        <v>0</v>
      </c>
      <c r="L10" s="447">
        <f>transport!L54</f>
        <v>0</v>
      </c>
      <c r="M10" s="447">
        <f>transport!M54</f>
        <v>33.506136950706953</v>
      </c>
      <c r="N10" s="447">
        <f>transport!N54</f>
        <v>0</v>
      </c>
      <c r="O10" s="447">
        <f>transport!O54</f>
        <v>0</v>
      </c>
      <c r="P10" s="448">
        <f>transport!P54</f>
        <v>0</v>
      </c>
      <c r="Q10" s="446">
        <f t="shared" si="0"/>
        <v>795.38259393421845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875.43299999999999</v>
      </c>
      <c r="C14" s="454"/>
      <c r="D14" s="454">
        <f>'SEAP template'!E25</f>
        <v>1010.66275247595</v>
      </c>
      <c r="E14" s="454"/>
      <c r="F14" s="454"/>
      <c r="G14" s="454"/>
      <c r="H14" s="454"/>
      <c r="I14" s="454"/>
      <c r="J14" s="454"/>
      <c r="K14" s="454"/>
      <c r="L14" s="454"/>
      <c r="M14" s="454"/>
      <c r="N14" s="454"/>
      <c r="O14" s="454"/>
      <c r="P14" s="455"/>
      <c r="Q14" s="446">
        <f t="shared" si="0"/>
        <v>1886.0957524759501</v>
      </c>
    </row>
    <row r="15" spans="1:17" s="459" customFormat="1">
      <c r="A15" s="456" t="s">
        <v>556</v>
      </c>
      <c r="B15" s="457">
        <f ca="1">SUM(B4:B14)</f>
        <v>20064.873354001844</v>
      </c>
      <c r="C15" s="457">
        <f t="shared" ref="C15:Q15" ca="1" si="1">SUM(C4:C14)</f>
        <v>0</v>
      </c>
      <c r="D15" s="457">
        <f t="shared" ca="1" si="1"/>
        <v>45471.11625597925</v>
      </c>
      <c r="E15" s="457">
        <f t="shared" si="1"/>
        <v>862.41999630816133</v>
      </c>
      <c r="F15" s="457">
        <f t="shared" ca="1" si="1"/>
        <v>21910.046630971443</v>
      </c>
      <c r="G15" s="457">
        <f t="shared" si="1"/>
        <v>51018.737220643801</v>
      </c>
      <c r="H15" s="457">
        <f t="shared" si="1"/>
        <v>7259.2625583775389</v>
      </c>
      <c r="I15" s="457">
        <f t="shared" si="1"/>
        <v>0</v>
      </c>
      <c r="J15" s="457">
        <f t="shared" si="1"/>
        <v>420.20962754280157</v>
      </c>
      <c r="K15" s="457">
        <f t="shared" si="1"/>
        <v>0</v>
      </c>
      <c r="L15" s="457">
        <f t="shared" ca="1" si="1"/>
        <v>0</v>
      </c>
      <c r="M15" s="457">
        <f t="shared" si="1"/>
        <v>2602.3999185127723</v>
      </c>
      <c r="N15" s="457">
        <f t="shared" ca="1" si="1"/>
        <v>4878.0049426822989</v>
      </c>
      <c r="O15" s="457">
        <f t="shared" si="1"/>
        <v>40.646666666666668</v>
      </c>
      <c r="P15" s="457">
        <f t="shared" si="1"/>
        <v>381.33333333333337</v>
      </c>
      <c r="Q15" s="457">
        <f t="shared" ca="1" si="1"/>
        <v>154909.05050501993</v>
      </c>
    </row>
    <row r="17" spans="1:17">
      <c r="A17" s="460" t="s">
        <v>557</v>
      </c>
      <c r="B17" s="764">
        <f ca="1">huishoudens!B10</f>
        <v>0.19932777230204254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2587.9175865614861</v>
      </c>
      <c r="C22" s="447">
        <f t="shared" ref="C22:C32" ca="1" si="3">C4*$C$17</f>
        <v>0</v>
      </c>
      <c r="D22" s="447">
        <f t="shared" ref="D22:D32" si="4">D4*$D$17</f>
        <v>7391.4849028906556</v>
      </c>
      <c r="E22" s="447">
        <f t="shared" ref="E22:E32" si="5">E4*$E$17</f>
        <v>135.81308550798792</v>
      </c>
      <c r="F22" s="447">
        <f t="shared" ref="F22:F32" si="6">F4*$F$17</f>
        <v>4870.1584198636137</v>
      </c>
      <c r="G22" s="447">
        <f t="shared" ref="G22:G32" si="7">G4*$G$17</f>
        <v>0</v>
      </c>
      <c r="H22" s="447">
        <f t="shared" ref="H22:H32" si="8">H4*$H$17</f>
        <v>0</v>
      </c>
      <c r="I22" s="447">
        <f t="shared" ref="I22:I32" si="9">I4*$I$17</f>
        <v>0</v>
      </c>
      <c r="J22" s="447">
        <f t="shared" ref="J22:J32" si="10">J4*$J$17</f>
        <v>117.16117584221969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15102.535170665964</v>
      </c>
    </row>
    <row r="23" spans="1:17">
      <c r="A23" s="446" t="s">
        <v>149</v>
      </c>
      <c r="B23" s="447">
        <f t="shared" ca="1" si="2"/>
        <v>808.78703663030751</v>
      </c>
      <c r="C23" s="447">
        <f t="shared" ca="1" si="3"/>
        <v>0</v>
      </c>
      <c r="D23" s="447">
        <f t="shared" ca="1" si="4"/>
        <v>1272.0720594883733</v>
      </c>
      <c r="E23" s="447">
        <f t="shared" si="5"/>
        <v>10.589698418911437</v>
      </c>
      <c r="F23" s="447">
        <f t="shared" ca="1" si="6"/>
        <v>276.81081904363378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2368.2596135812259</v>
      </c>
    </row>
    <row r="24" spans="1:17">
      <c r="A24" s="446" t="s">
        <v>187</v>
      </c>
      <c r="B24" s="447">
        <f t="shared" ca="1" si="2"/>
        <v>124.04705455341323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124.04705455341323</v>
      </c>
    </row>
    <row r="25" spans="1:17">
      <c r="A25" s="446" t="s">
        <v>105</v>
      </c>
      <c r="B25" s="447">
        <f t="shared" ca="1" si="2"/>
        <v>138.28782791776035</v>
      </c>
      <c r="C25" s="447">
        <f t="shared" ca="1" si="3"/>
        <v>0</v>
      </c>
      <c r="D25" s="447">
        <f t="shared" si="4"/>
        <v>168.13426220692082</v>
      </c>
      <c r="E25" s="447">
        <f t="shared" si="5"/>
        <v>1.483623799232743</v>
      </c>
      <c r="F25" s="447">
        <f t="shared" si="6"/>
        <v>604.48933910492838</v>
      </c>
      <c r="G25" s="447">
        <f t="shared" si="7"/>
        <v>0</v>
      </c>
      <c r="H25" s="447">
        <f t="shared" si="8"/>
        <v>0</v>
      </c>
      <c r="I25" s="447">
        <f t="shared" si="9"/>
        <v>0</v>
      </c>
      <c r="J25" s="447">
        <f t="shared" si="10"/>
        <v>30.381287909329508</v>
      </c>
      <c r="K25" s="447">
        <f t="shared" si="11"/>
        <v>0</v>
      </c>
      <c r="L25" s="447">
        <f t="shared" si="12"/>
        <v>0</v>
      </c>
      <c r="M25" s="447">
        <f t="shared" si="13"/>
        <v>0</v>
      </c>
      <c r="N25" s="447">
        <f t="shared" si="14"/>
        <v>0</v>
      </c>
      <c r="O25" s="447">
        <f t="shared" si="15"/>
        <v>0</v>
      </c>
      <c r="P25" s="448">
        <f t="shared" si="16"/>
        <v>0</v>
      </c>
      <c r="Q25" s="446">
        <f t="shared" ca="1" si="17"/>
        <v>942.77634093817187</v>
      </c>
    </row>
    <row r="26" spans="1:17">
      <c r="A26" s="446" t="s">
        <v>665</v>
      </c>
      <c r="B26" s="447">
        <f t="shared" ca="1" si="2"/>
        <v>164.73922128555833</v>
      </c>
      <c r="C26" s="447">
        <f t="shared" ca="1" si="3"/>
        <v>0</v>
      </c>
      <c r="D26" s="447">
        <f t="shared" si="4"/>
        <v>148.71768411563517</v>
      </c>
      <c r="E26" s="447">
        <f t="shared" si="5"/>
        <v>1.4401433581971612</v>
      </c>
      <c r="F26" s="447">
        <f t="shared" si="6"/>
        <v>98.523872457199062</v>
      </c>
      <c r="G26" s="447">
        <f t="shared" si="7"/>
        <v>0</v>
      </c>
      <c r="H26" s="447">
        <f t="shared" si="8"/>
        <v>0</v>
      </c>
      <c r="I26" s="447">
        <f t="shared" si="9"/>
        <v>0</v>
      </c>
      <c r="J26" s="447">
        <f t="shared" si="10"/>
        <v>1.2117443986025407</v>
      </c>
      <c r="K26" s="447">
        <f t="shared" si="11"/>
        <v>0</v>
      </c>
      <c r="L26" s="447">
        <f t="shared" si="12"/>
        <v>0</v>
      </c>
      <c r="M26" s="447">
        <f t="shared" si="13"/>
        <v>0</v>
      </c>
      <c r="N26" s="447">
        <f t="shared" si="14"/>
        <v>0</v>
      </c>
      <c r="O26" s="447">
        <f t="shared" si="15"/>
        <v>0</v>
      </c>
      <c r="P26" s="448">
        <f t="shared" si="16"/>
        <v>0</v>
      </c>
      <c r="Q26" s="446">
        <f t="shared" ca="1" si="17"/>
        <v>414.6326656151922</v>
      </c>
    </row>
    <row r="27" spans="1:17" s="452" customFormat="1">
      <c r="A27" s="450" t="s">
        <v>562</v>
      </c>
      <c r="B27" s="758">
        <f t="shared" ca="1" si="2"/>
        <v>0.45206692932460163</v>
      </c>
      <c r="C27" s="451">
        <f t="shared" ca="1" si="3"/>
        <v>0</v>
      </c>
      <c r="D27" s="451">
        <f t="shared" si="4"/>
        <v>0.6026990060831684</v>
      </c>
      <c r="E27" s="451">
        <f t="shared" si="5"/>
        <v>46.442788077623341</v>
      </c>
      <c r="F27" s="451">
        <f t="shared" si="6"/>
        <v>0</v>
      </c>
      <c r="G27" s="451">
        <f t="shared" si="7"/>
        <v>13419.596635637119</v>
      </c>
      <c r="H27" s="451">
        <f t="shared" si="8"/>
        <v>1807.5563770360072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15274.650566686158</v>
      </c>
    </row>
    <row r="28" spans="1:17">
      <c r="A28" s="446" t="s">
        <v>552</v>
      </c>
      <c r="B28" s="447">
        <f t="shared" ca="1" si="2"/>
        <v>0.75760360825579831</v>
      </c>
      <c r="C28" s="447">
        <f t="shared" ca="1" si="3"/>
        <v>0</v>
      </c>
      <c r="D28" s="447">
        <f t="shared" si="4"/>
        <v>0</v>
      </c>
      <c r="E28" s="447">
        <f t="shared" si="5"/>
        <v>0</v>
      </c>
      <c r="F28" s="447">
        <f t="shared" si="6"/>
        <v>0</v>
      </c>
      <c r="G28" s="447">
        <f t="shared" si="7"/>
        <v>202.40620227477751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203.16380588303332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174.49810968969402</v>
      </c>
      <c r="C32" s="447">
        <f t="shared" ca="1" si="3"/>
        <v>0</v>
      </c>
      <c r="D32" s="447">
        <f t="shared" si="4"/>
        <v>204.15387600014191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378.6519856898359</v>
      </c>
    </row>
    <row r="33" spans="1:17" s="459" customFormat="1">
      <c r="A33" s="456" t="s">
        <v>556</v>
      </c>
      <c r="B33" s="457">
        <f ca="1">SUM(B22:B32)</f>
        <v>3999.4865071758004</v>
      </c>
      <c r="C33" s="457">
        <f t="shared" ref="C33:Q33" ca="1" si="18">SUM(C22:C32)</f>
        <v>0</v>
      </c>
      <c r="D33" s="457">
        <f t="shared" ca="1" si="18"/>
        <v>9185.1654837078113</v>
      </c>
      <c r="E33" s="457">
        <f t="shared" si="18"/>
        <v>195.76933916195259</v>
      </c>
      <c r="F33" s="457">
        <f t="shared" ca="1" si="18"/>
        <v>5849.9824504693752</v>
      </c>
      <c r="G33" s="457">
        <f t="shared" si="18"/>
        <v>13622.002837911896</v>
      </c>
      <c r="H33" s="457">
        <f t="shared" si="18"/>
        <v>1807.5563770360072</v>
      </c>
      <c r="I33" s="457">
        <f t="shared" si="18"/>
        <v>0</v>
      </c>
      <c r="J33" s="457">
        <f t="shared" si="18"/>
        <v>148.75420815015175</v>
      </c>
      <c r="K33" s="457">
        <f t="shared" si="18"/>
        <v>0</v>
      </c>
      <c r="L33" s="457">
        <f t="shared" ca="1" si="18"/>
        <v>0</v>
      </c>
      <c r="M33" s="457">
        <f t="shared" si="18"/>
        <v>0</v>
      </c>
      <c r="N33" s="457">
        <f t="shared" ca="1" si="18"/>
        <v>0</v>
      </c>
      <c r="O33" s="457">
        <f t="shared" si="18"/>
        <v>0</v>
      </c>
      <c r="P33" s="457">
        <f t="shared" si="18"/>
        <v>0</v>
      </c>
      <c r="Q33" s="457">
        <f t="shared" ca="1" si="18"/>
        <v>34808.717203613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1967.6493396317092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1967.6493396317092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0.19932777230204254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0.19932777230204254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0.19932777230204254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0.19932777230204254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3114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1247</v>
      </c>
      <c r="C14" s="327"/>
      <c r="D14" s="327"/>
      <c r="E14" s="327"/>
      <c r="F14" s="327"/>
    </row>
    <row r="15" spans="1:6">
      <c r="A15" s="1293" t="s">
        <v>177</v>
      </c>
      <c r="B15" s="1294">
        <v>795</v>
      </c>
      <c r="C15" s="327"/>
      <c r="D15" s="327"/>
      <c r="E15" s="327"/>
      <c r="F15" s="327"/>
    </row>
    <row r="16" spans="1:6">
      <c r="A16" s="1293" t="s">
        <v>6</v>
      </c>
      <c r="B16" s="1294">
        <v>1293</v>
      </c>
      <c r="C16" s="327"/>
      <c r="D16" s="327"/>
      <c r="E16" s="327"/>
      <c r="F16" s="327"/>
    </row>
    <row r="17" spans="1:6">
      <c r="A17" s="1293" t="s">
        <v>7</v>
      </c>
      <c r="B17" s="1294">
        <v>228</v>
      </c>
      <c r="C17" s="327"/>
      <c r="D17" s="327"/>
      <c r="E17" s="327"/>
      <c r="F17" s="327"/>
    </row>
    <row r="18" spans="1:6">
      <c r="A18" s="1293" t="s">
        <v>8</v>
      </c>
      <c r="B18" s="1294">
        <v>938</v>
      </c>
      <c r="C18" s="327"/>
      <c r="D18" s="327"/>
      <c r="E18" s="327"/>
      <c r="F18" s="327"/>
    </row>
    <row r="19" spans="1:6">
      <c r="A19" s="1293" t="s">
        <v>9</v>
      </c>
      <c r="B19" s="1294">
        <v>914</v>
      </c>
      <c r="C19" s="327"/>
      <c r="D19" s="327"/>
      <c r="E19" s="327"/>
      <c r="F19" s="327"/>
    </row>
    <row r="20" spans="1:6">
      <c r="A20" s="1293" t="s">
        <v>10</v>
      </c>
      <c r="B20" s="1294">
        <v>412</v>
      </c>
      <c r="C20" s="327"/>
      <c r="D20" s="327"/>
      <c r="E20" s="327"/>
      <c r="F20" s="327"/>
    </row>
    <row r="21" spans="1:6">
      <c r="A21" s="1293" t="s">
        <v>11</v>
      </c>
      <c r="B21" s="1294">
        <v>769</v>
      </c>
      <c r="C21" s="327"/>
      <c r="D21" s="327"/>
      <c r="E21" s="327"/>
      <c r="F21" s="327"/>
    </row>
    <row r="22" spans="1:6">
      <c r="A22" s="1293" t="s">
        <v>12</v>
      </c>
      <c r="B22" s="1294">
        <v>1137</v>
      </c>
      <c r="C22" s="327"/>
      <c r="D22" s="327"/>
      <c r="E22" s="327"/>
      <c r="F22" s="327"/>
    </row>
    <row r="23" spans="1:6">
      <c r="A23" s="1293" t="s">
        <v>13</v>
      </c>
      <c r="B23" s="1294">
        <v>178</v>
      </c>
      <c r="C23" s="327"/>
      <c r="D23" s="327"/>
      <c r="E23" s="327"/>
      <c r="F23" s="327"/>
    </row>
    <row r="24" spans="1:6">
      <c r="A24" s="1293" t="s">
        <v>14</v>
      </c>
      <c r="B24" s="1294">
        <v>0</v>
      </c>
      <c r="C24" s="327"/>
      <c r="D24" s="327"/>
      <c r="E24" s="327"/>
      <c r="F24" s="327"/>
    </row>
    <row r="25" spans="1:6">
      <c r="A25" s="1293" t="s">
        <v>15</v>
      </c>
      <c r="B25" s="1294">
        <v>651</v>
      </c>
      <c r="C25" s="327"/>
      <c r="D25" s="327"/>
      <c r="E25" s="327"/>
      <c r="F25" s="327"/>
    </row>
    <row r="26" spans="1:6">
      <c r="A26" s="1293" t="s">
        <v>16</v>
      </c>
      <c r="B26" s="1294">
        <v>43</v>
      </c>
      <c r="C26" s="327"/>
      <c r="D26" s="327"/>
      <c r="E26" s="327"/>
      <c r="F26" s="327"/>
    </row>
    <row r="27" spans="1:6">
      <c r="A27" s="1293" t="s">
        <v>17</v>
      </c>
      <c r="B27" s="1294">
        <v>0</v>
      </c>
      <c r="C27" s="327"/>
      <c r="D27" s="327"/>
      <c r="E27" s="327"/>
      <c r="F27" s="327"/>
    </row>
    <row r="28" spans="1:6">
      <c r="A28" s="1293" t="s">
        <v>18</v>
      </c>
      <c r="B28" s="1295">
        <v>22097</v>
      </c>
      <c r="C28" s="327"/>
      <c r="D28" s="327"/>
      <c r="E28" s="327"/>
      <c r="F28" s="327"/>
    </row>
    <row r="29" spans="1:6">
      <c r="A29" s="1293" t="s">
        <v>955</v>
      </c>
      <c r="B29" s="1295">
        <v>121</v>
      </c>
      <c r="C29" s="327"/>
      <c r="D29" s="327"/>
      <c r="E29" s="327"/>
      <c r="F29" s="327"/>
    </row>
    <row r="30" spans="1:6">
      <c r="A30" s="1288" t="s">
        <v>956</v>
      </c>
      <c r="B30" s="1296">
        <v>13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4</v>
      </c>
      <c r="D36" s="1294">
        <v>354654.70428556798</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45540</v>
      </c>
    </row>
    <row r="39" spans="1:6">
      <c r="A39" s="1293" t="s">
        <v>29</v>
      </c>
      <c r="B39" s="1293" t="s">
        <v>30</v>
      </c>
      <c r="C39" s="1294">
        <v>2046</v>
      </c>
      <c r="D39" s="1294">
        <v>40567083.614468701</v>
      </c>
      <c r="E39" s="1294">
        <v>3187</v>
      </c>
      <c r="F39" s="1294">
        <v>11534077.191581421</v>
      </c>
    </row>
    <row r="40" spans="1:6">
      <c r="A40" s="1293" t="s">
        <v>29</v>
      </c>
      <c r="B40" s="1293" t="s">
        <v>28</v>
      </c>
      <c r="C40" s="1294">
        <v>0</v>
      </c>
      <c r="D40" s="1294">
        <v>0</v>
      </c>
      <c r="E40" s="1294">
        <v>0</v>
      </c>
      <c r="F40" s="1294">
        <v>0</v>
      </c>
    </row>
    <row r="41" spans="1:6">
      <c r="A41" s="1293" t="s">
        <v>31</v>
      </c>
      <c r="B41" s="1293" t="s">
        <v>32</v>
      </c>
      <c r="C41" s="1294">
        <v>9</v>
      </c>
      <c r="D41" s="1294">
        <v>200686.08379834401</v>
      </c>
      <c r="E41" s="1294">
        <v>49</v>
      </c>
      <c r="F41" s="1294">
        <v>386232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173511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8</v>
      </c>
      <c r="D48" s="1294">
        <v>336866.69452268298</v>
      </c>
      <c r="E48" s="1294">
        <v>3</v>
      </c>
      <c r="F48" s="1294">
        <v>107485</v>
      </c>
    </row>
    <row r="49" spans="1:6">
      <c r="A49" s="1293" t="s">
        <v>31</v>
      </c>
      <c r="B49" s="1293" t="s">
        <v>39</v>
      </c>
      <c r="C49" s="1294">
        <v>0</v>
      </c>
      <c r="D49" s="1294">
        <v>0</v>
      </c>
      <c r="E49" s="1294">
        <v>0</v>
      </c>
      <c r="F49" s="1294">
        <v>0</v>
      </c>
    </row>
    <row r="50" spans="1:6">
      <c r="A50" s="1293" t="s">
        <v>31</v>
      </c>
      <c r="B50" s="1293" t="s">
        <v>40</v>
      </c>
      <c r="C50" s="1294">
        <v>5</v>
      </c>
      <c r="D50" s="1294">
        <v>278662.47554626002</v>
      </c>
      <c r="E50" s="1294">
        <v>7</v>
      </c>
      <c r="F50" s="1294">
        <v>159246</v>
      </c>
    </row>
    <row r="51" spans="1:6">
      <c r="A51" s="1293" t="s">
        <v>41</v>
      </c>
      <c r="B51" s="1293" t="s">
        <v>42</v>
      </c>
      <c r="C51" s="1294">
        <v>6</v>
      </c>
      <c r="D51" s="1294">
        <v>903911.56538082997</v>
      </c>
      <c r="E51" s="1294">
        <v>39</v>
      </c>
      <c r="F51" s="1294">
        <v>693771</v>
      </c>
    </row>
    <row r="52" spans="1:6">
      <c r="A52" s="1293" t="s">
        <v>41</v>
      </c>
      <c r="B52" s="1293" t="s">
        <v>28</v>
      </c>
      <c r="C52" s="1294">
        <v>1</v>
      </c>
      <c r="D52" s="1294">
        <v>18868.736955676501</v>
      </c>
      <c r="E52" s="1294">
        <v>0</v>
      </c>
      <c r="F52" s="1294">
        <v>0</v>
      </c>
    </row>
    <row r="53" spans="1:6">
      <c r="A53" s="1293" t="s">
        <v>43</v>
      </c>
      <c r="B53" s="1293" t="s">
        <v>44</v>
      </c>
      <c r="C53" s="1294">
        <v>47</v>
      </c>
      <c r="D53" s="1294">
        <v>1010662.7524759501</v>
      </c>
      <c r="E53" s="1294">
        <v>0</v>
      </c>
      <c r="F53" s="1294">
        <v>0</v>
      </c>
    </row>
    <row r="54" spans="1:6">
      <c r="A54" s="1293" t="s">
        <v>45</v>
      </c>
      <c r="B54" s="1293" t="s">
        <v>46</v>
      </c>
      <c r="C54" s="1294">
        <v>0</v>
      </c>
      <c r="D54" s="1294">
        <v>0</v>
      </c>
      <c r="E54" s="1294">
        <v>4</v>
      </c>
      <c r="F54" s="1294">
        <v>622327</v>
      </c>
    </row>
    <row r="55" spans="1:6">
      <c r="A55" s="1293" t="s">
        <v>45</v>
      </c>
      <c r="B55" s="1293" t="s">
        <v>28</v>
      </c>
      <c r="C55" s="1294">
        <v>0</v>
      </c>
      <c r="D55" s="1294">
        <v>0</v>
      </c>
      <c r="E55" s="1294">
        <v>0</v>
      </c>
      <c r="F55" s="1294">
        <v>0</v>
      </c>
    </row>
    <row r="56" spans="1:6">
      <c r="A56" s="1293" t="s">
        <v>47</v>
      </c>
      <c r="B56" s="1293" t="s">
        <v>28</v>
      </c>
      <c r="C56" s="1294">
        <v>0</v>
      </c>
      <c r="D56" s="1294">
        <v>0</v>
      </c>
      <c r="E56" s="1294">
        <v>44</v>
      </c>
      <c r="F56" s="1294">
        <v>875433</v>
      </c>
    </row>
    <row r="57" spans="1:6">
      <c r="A57" s="1293" t="s">
        <v>48</v>
      </c>
      <c r="B57" s="1293" t="s">
        <v>49</v>
      </c>
      <c r="C57" s="1294">
        <v>7</v>
      </c>
      <c r="D57" s="1294">
        <v>218062.038899862</v>
      </c>
      <c r="E57" s="1294">
        <v>43</v>
      </c>
      <c r="F57" s="1294">
        <v>699339</v>
      </c>
    </row>
    <row r="58" spans="1:6">
      <c r="A58" s="1293" t="s">
        <v>48</v>
      </c>
      <c r="B58" s="1293" t="s">
        <v>50</v>
      </c>
      <c r="C58" s="1294">
        <v>3</v>
      </c>
      <c r="D58" s="1294">
        <v>58435.161112307302</v>
      </c>
      <c r="E58" s="1294">
        <v>8</v>
      </c>
      <c r="F58" s="1294">
        <v>76665</v>
      </c>
    </row>
    <row r="59" spans="1:6">
      <c r="A59" s="1293" t="s">
        <v>48</v>
      </c>
      <c r="B59" s="1293" t="s">
        <v>51</v>
      </c>
      <c r="C59" s="1294">
        <v>4</v>
      </c>
      <c r="D59" s="1294">
        <v>110192.73088562</v>
      </c>
      <c r="E59" s="1294">
        <v>51</v>
      </c>
      <c r="F59" s="1294">
        <v>770487</v>
      </c>
    </row>
    <row r="60" spans="1:6">
      <c r="A60" s="1293" t="s">
        <v>48</v>
      </c>
      <c r="B60" s="1293" t="s">
        <v>52</v>
      </c>
      <c r="C60" s="1294">
        <v>25</v>
      </c>
      <c r="D60" s="1294">
        <v>1055918.8601629001</v>
      </c>
      <c r="E60" s="1294">
        <v>33</v>
      </c>
      <c r="F60" s="1294">
        <v>646439</v>
      </c>
    </row>
    <row r="61" spans="1:6">
      <c r="A61" s="1293" t="s">
        <v>48</v>
      </c>
      <c r="B61" s="1293" t="s">
        <v>53</v>
      </c>
      <c r="C61" s="1294">
        <v>20</v>
      </c>
      <c r="D61" s="1294">
        <v>694511.23042345699</v>
      </c>
      <c r="E61" s="1294">
        <v>87</v>
      </c>
      <c r="F61" s="1294">
        <v>706375</v>
      </c>
    </row>
    <row r="62" spans="1:6">
      <c r="A62" s="1293" t="s">
        <v>48</v>
      </c>
      <c r="B62" s="1293" t="s">
        <v>54</v>
      </c>
      <c r="C62" s="1294">
        <v>9</v>
      </c>
      <c r="D62" s="1294">
        <v>1898241.2335930199</v>
      </c>
      <c r="E62" s="1294">
        <v>9</v>
      </c>
      <c r="F62" s="1294">
        <v>998061</v>
      </c>
    </row>
    <row r="63" spans="1:6">
      <c r="A63" s="1293" t="s">
        <v>48</v>
      </c>
      <c r="B63" s="1293" t="s">
        <v>28</v>
      </c>
      <c r="C63" s="1294">
        <v>50</v>
      </c>
      <c r="D63" s="1294">
        <v>2946220.1563538299</v>
      </c>
      <c r="E63" s="1294">
        <v>4</v>
      </c>
      <c r="F63" s="1294">
        <v>160207.24877311999</v>
      </c>
    </row>
    <row r="64" spans="1:6">
      <c r="A64" s="1293" t="s">
        <v>55</v>
      </c>
      <c r="B64" s="1293" t="s">
        <v>56</v>
      </c>
      <c r="C64" s="1294">
        <v>0</v>
      </c>
      <c r="D64" s="1294">
        <v>0</v>
      </c>
      <c r="E64" s="1294">
        <v>0</v>
      </c>
      <c r="F64" s="1294">
        <v>0</v>
      </c>
    </row>
    <row r="65" spans="1:6">
      <c r="A65" s="1293" t="s">
        <v>55</v>
      </c>
      <c r="B65" s="1293" t="s">
        <v>28</v>
      </c>
      <c r="C65" s="1294">
        <v>2</v>
      </c>
      <c r="D65" s="1294">
        <v>63908.3790309662</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13154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12319289</v>
      </c>
      <c r="E73" s="445"/>
      <c r="F73" s="327"/>
    </row>
    <row r="74" spans="1:6">
      <c r="A74" s="1293" t="s">
        <v>63</v>
      </c>
      <c r="B74" s="1293" t="s">
        <v>749</v>
      </c>
      <c r="C74" s="1306" t="s">
        <v>743</v>
      </c>
      <c r="D74" s="1294">
        <v>918580.44055536098</v>
      </c>
      <c r="E74" s="445"/>
      <c r="F74" s="327"/>
    </row>
    <row r="75" spans="1:6">
      <c r="A75" s="1293" t="s">
        <v>64</v>
      </c>
      <c r="B75" s="1293" t="s">
        <v>748</v>
      </c>
      <c r="C75" s="1306" t="s">
        <v>744</v>
      </c>
      <c r="D75" s="1294">
        <v>17667545</v>
      </c>
      <c r="E75" s="445"/>
      <c r="F75" s="327"/>
    </row>
    <row r="76" spans="1:6">
      <c r="A76" s="1293" t="s">
        <v>64</v>
      </c>
      <c r="B76" s="1293" t="s">
        <v>749</v>
      </c>
      <c r="C76" s="1306" t="s">
        <v>745</v>
      </c>
      <c r="D76" s="1294">
        <v>1038828.440555361</v>
      </c>
      <c r="E76" s="445"/>
      <c r="F76" s="327"/>
    </row>
    <row r="77" spans="1:6">
      <c r="A77" s="1293" t="s">
        <v>65</v>
      </c>
      <c r="B77" s="1293" t="s">
        <v>748</v>
      </c>
      <c r="C77" s="1306" t="s">
        <v>746</v>
      </c>
      <c r="D77" s="1294">
        <v>23547369</v>
      </c>
      <c r="E77" s="445"/>
      <c r="F77" s="327"/>
    </row>
    <row r="78" spans="1:6">
      <c r="A78" s="1288" t="s">
        <v>65</v>
      </c>
      <c r="B78" s="1288" t="s">
        <v>749</v>
      </c>
      <c r="C78" s="1288" t="s">
        <v>747</v>
      </c>
      <c r="D78" s="1296">
        <v>5524004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209397.11888927798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1449.1491630481753</v>
      </c>
      <c r="C91" s="327"/>
      <c r="D91" s="327"/>
      <c r="E91" s="327"/>
      <c r="F91" s="327"/>
    </row>
    <row r="92" spans="1:6">
      <c r="A92" s="1288" t="s">
        <v>68</v>
      </c>
      <c r="B92" s="1289">
        <v>518.50017658353386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1387</v>
      </c>
      <c r="C97" s="327"/>
      <c r="D97" s="327"/>
      <c r="E97" s="327"/>
      <c r="F97" s="327"/>
    </row>
    <row r="98" spans="1:6">
      <c r="A98" s="1293" t="s">
        <v>71</v>
      </c>
      <c r="B98" s="1294">
        <v>5</v>
      </c>
      <c r="C98" s="327"/>
      <c r="D98" s="327"/>
      <c r="E98" s="327"/>
      <c r="F98" s="327"/>
    </row>
    <row r="99" spans="1:6">
      <c r="A99" s="1293" t="s">
        <v>72</v>
      </c>
      <c r="B99" s="1294">
        <v>68</v>
      </c>
      <c r="C99" s="327"/>
      <c r="D99" s="327"/>
      <c r="E99" s="327"/>
      <c r="F99" s="327"/>
    </row>
    <row r="100" spans="1:6">
      <c r="A100" s="1293" t="s">
        <v>73</v>
      </c>
      <c r="B100" s="1294">
        <v>107</v>
      </c>
      <c r="C100" s="327"/>
      <c r="D100" s="327"/>
      <c r="E100" s="327"/>
      <c r="F100" s="327"/>
    </row>
    <row r="101" spans="1:6">
      <c r="A101" s="1293" t="s">
        <v>74</v>
      </c>
      <c r="B101" s="1294">
        <v>118</v>
      </c>
      <c r="C101" s="327"/>
      <c r="D101" s="327"/>
      <c r="E101" s="327"/>
      <c r="F101" s="327"/>
    </row>
    <row r="102" spans="1:6">
      <c r="A102" s="1293" t="s">
        <v>75</v>
      </c>
      <c r="B102" s="1294">
        <v>28</v>
      </c>
      <c r="C102" s="327"/>
      <c r="D102" s="327"/>
      <c r="E102" s="327"/>
      <c r="F102" s="327"/>
    </row>
    <row r="103" spans="1:6">
      <c r="A103" s="1293" t="s">
        <v>76</v>
      </c>
      <c r="B103" s="1294">
        <v>137</v>
      </c>
      <c r="C103" s="327"/>
      <c r="D103" s="327"/>
      <c r="E103" s="327"/>
      <c r="F103" s="327"/>
    </row>
    <row r="104" spans="1:6">
      <c r="A104" s="1293" t="s">
        <v>77</v>
      </c>
      <c r="B104" s="1294">
        <v>905</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22</v>
      </c>
      <c r="C129" s="327"/>
      <c r="D129" s="327"/>
      <c r="E129" s="327"/>
      <c r="F129" s="327"/>
    </row>
    <row r="130" spans="1:6">
      <c r="A130" s="1293" t="s">
        <v>284</v>
      </c>
      <c r="B130" s="1294">
        <v>2</v>
      </c>
      <c r="C130" s="327"/>
      <c r="D130" s="327"/>
      <c r="E130" s="327"/>
      <c r="F130" s="327"/>
    </row>
    <row r="131" spans="1:6">
      <c r="A131" s="1293" t="s">
        <v>285</v>
      </c>
      <c r="B131" s="1294">
        <v>0</v>
      </c>
      <c r="C131" s="327"/>
      <c r="D131" s="327"/>
      <c r="E131" s="327"/>
      <c r="F131" s="327"/>
    </row>
    <row r="132" spans="1:6">
      <c r="A132" s="1288" t="s">
        <v>286</v>
      </c>
      <c r="B132" s="1289">
        <v>12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20064.873354001844</v>
      </c>
      <c r="C3" s="44" t="s">
        <v>163</v>
      </c>
      <c r="D3" s="44"/>
      <c r="E3" s="157"/>
      <c r="F3" s="44"/>
      <c r="G3" s="44"/>
      <c r="H3" s="44"/>
      <c r="I3" s="44"/>
      <c r="J3" s="44"/>
      <c r="K3" s="97"/>
    </row>
    <row r="4" spans="1:11">
      <c r="A4" s="352" t="s">
        <v>164</v>
      </c>
      <c r="B4" s="50">
        <f>IF(ISERROR('SEAP template'!B78+'SEAP template'!C78),0,'SEAP template'!B78+'SEAP template'!C78)</f>
        <v>1967.6493396317092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0.19932777230204254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622.327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622.327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0.19932777230204254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124.04705455341323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11534.07719158142</v>
      </c>
      <c r="C5" s="18">
        <f>IF(ISERROR('Eigen informatie GS &amp; warmtenet'!B57),0,'Eigen informatie GS &amp; warmtenet'!B57)</f>
        <v>0</v>
      </c>
      <c r="D5" s="31">
        <f>(SUM(HH_hh_gas_kWh,HH_rest_gas_kWh)/1000)*0.902</f>
        <v>36591.509420250768</v>
      </c>
      <c r="E5" s="18">
        <f>B32*B41</f>
        <v>598.29553087219347</v>
      </c>
      <c r="F5" s="18">
        <f>B36*B45</f>
        <v>18240.293707354358</v>
      </c>
      <c r="G5" s="19"/>
      <c r="H5" s="18"/>
      <c r="I5" s="18"/>
      <c r="J5" s="18">
        <f>B35*B44+C35*C44</f>
        <v>330.96377356559236</v>
      </c>
      <c r="K5" s="18"/>
      <c r="L5" s="18"/>
      <c r="M5" s="18"/>
      <c r="N5" s="18">
        <f>B34*B43+C34*C43</f>
        <v>4420.574731093885</v>
      </c>
      <c r="O5" s="18">
        <f>B52*B53*B54</f>
        <v>37.520000000000003</v>
      </c>
      <c r="P5" s="18">
        <f>B60*B61*B62/1000-B60*B61*B62/1000/B63</f>
        <v>381.33333333333337</v>
      </c>
    </row>
    <row r="6" spans="1:16">
      <c r="A6" s="17" t="s">
        <v>622</v>
      </c>
      <c r="B6" s="766">
        <f>kWh_PV_kleiner_dan_10kW</f>
        <v>1449.1491630481753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12983.226354629596</v>
      </c>
      <c r="C8" s="22">
        <f>C5</f>
        <v>0</v>
      </c>
      <c r="D8" s="22">
        <f>D5</f>
        <v>36591.509420250768</v>
      </c>
      <c r="E8" s="22">
        <f>E5</f>
        <v>598.29553087219347</v>
      </c>
      <c r="F8" s="22">
        <f>F5</f>
        <v>18240.293707354358</v>
      </c>
      <c r="G8" s="22"/>
      <c r="H8" s="22"/>
      <c r="I8" s="22"/>
      <c r="J8" s="22">
        <f>J5</f>
        <v>330.96377356559236</v>
      </c>
      <c r="K8" s="22"/>
      <c r="L8" s="22">
        <f>L5</f>
        <v>0</v>
      </c>
      <c r="M8" s="22">
        <f>M5</f>
        <v>0</v>
      </c>
      <c r="N8" s="22">
        <f>N5</f>
        <v>4420.574731093885</v>
      </c>
      <c r="O8" s="22">
        <f>O5</f>
        <v>37.520000000000003</v>
      </c>
      <c r="P8" s="22">
        <f>P5</f>
        <v>381.33333333333337</v>
      </c>
    </row>
    <row r="9" spans="1:16">
      <c r="B9" s="20"/>
      <c r="C9" s="20"/>
      <c r="D9" s="258"/>
      <c r="E9" s="20"/>
      <c r="F9" s="20"/>
      <c r="G9" s="20"/>
      <c r="H9" s="20"/>
      <c r="I9" s="20"/>
      <c r="J9" s="20"/>
      <c r="K9" s="20"/>
      <c r="L9" s="20"/>
      <c r="M9" s="20"/>
      <c r="N9" s="20"/>
      <c r="O9" s="20"/>
      <c r="P9" s="20"/>
    </row>
    <row r="10" spans="1:16">
      <c r="A10" s="25" t="s">
        <v>207</v>
      </c>
      <c r="B10" s="26">
        <f ca="1">'EF ele_warmte'!B12</f>
        <v>0.19932777230204254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2587.9175865614861</v>
      </c>
      <c r="C12" s="24">
        <f ca="1">C10*C8</f>
        <v>0</v>
      </c>
      <c r="D12" s="24">
        <f>D8*D10</f>
        <v>7391.4849028906556</v>
      </c>
      <c r="E12" s="24">
        <f>E10*E8</f>
        <v>135.81308550798792</v>
      </c>
      <c r="F12" s="24">
        <f>F10*F8</f>
        <v>4870.1584198636137</v>
      </c>
      <c r="G12" s="24"/>
      <c r="H12" s="24"/>
      <c r="I12" s="24"/>
      <c r="J12" s="24">
        <f>J10*J8</f>
        <v>117.16117584221969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3114</v>
      </c>
      <c r="C26" s="37"/>
      <c r="D26" s="228"/>
    </row>
    <row r="27" spans="1:5" s="16" customFormat="1">
      <c r="A27" s="230" t="s">
        <v>648</v>
      </c>
      <c r="B27" s="38">
        <f>SUM(HH_hh_gas_aantal,HH_rest_gas_aantal)</f>
        <v>2046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1943.7</v>
      </c>
      <c r="C31" s="35" t="s">
        <v>104</v>
      </c>
      <c r="D31" s="174"/>
    </row>
    <row r="32" spans="1:5">
      <c r="A32" s="171" t="s">
        <v>72</v>
      </c>
      <c r="B32" s="34">
        <f>IF((B21*($B$26-($B$27-0.05*$B$27)-$B$60))&lt;0,0,B21*($B$26-($B$27-0.05*$B$27)-$B$60))</f>
        <v>28.269002752794574</v>
      </c>
      <c r="C32" s="35" t="s">
        <v>104</v>
      </c>
      <c r="D32" s="174"/>
    </row>
    <row r="33" spans="1:6">
      <c r="A33" s="171" t="s">
        <v>73</v>
      </c>
      <c r="B33" s="34">
        <f>IF((B22*($B$26-($B$27-0.05*$B$27)-$B$60))&lt;0,0,B22*($B$26-($B$27-0.05*$B$27)-$B$60))</f>
        <v>190.28354352953608</v>
      </c>
      <c r="C33" s="35" t="s">
        <v>104</v>
      </c>
      <c r="D33" s="174"/>
    </row>
    <row r="34" spans="1:6">
      <c r="A34" s="171" t="s">
        <v>74</v>
      </c>
      <c r="B34" s="34">
        <f>IF((B24*($B$26-($B$27-0.05*$B$27)-$B$60))&lt;0,0,B24*($B$26-($B$27-0.05*$B$27)-$B$60))</f>
        <v>48.259917452766565</v>
      </c>
      <c r="C34" s="34">
        <f>B26*C24</f>
        <v>636.82024836149105</v>
      </c>
      <c r="D34" s="233"/>
    </row>
    <row r="35" spans="1:6">
      <c r="A35" s="171" t="s">
        <v>76</v>
      </c>
      <c r="B35" s="34">
        <f>IF((B19*($B$26-($B$27-0.05*$B$27)-$B$60))&lt;0,0,B19*($B$26-($B$27-0.05*$B$27)-$B$60))</f>
        <v>17.941510080451621</v>
      </c>
      <c r="C35" s="34">
        <f>B35/2</f>
        <v>8.9707550402258107</v>
      </c>
      <c r="D35" s="233"/>
    </row>
    <row r="36" spans="1:6">
      <c r="A36" s="171" t="s">
        <v>77</v>
      </c>
      <c r="B36" s="34">
        <f>IF((B18*($B$26-($B$27-0.05*$B$27)-$B$60))&lt;0,0,B18*($B$26-($B$27-0.05*$B$27)-$B$60))</f>
        <v>865.54602618445085</v>
      </c>
      <c r="C36" s="35" t="s">
        <v>104</v>
      </c>
      <c r="D36" s="174"/>
    </row>
    <row r="37" spans="1:6">
      <c r="A37" s="171" t="s">
        <v>78</v>
      </c>
      <c r="B37" s="34">
        <f>B60</f>
        <v>20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4057.5732487731202</v>
      </c>
      <c r="C5" s="18">
        <f>IF(ISERROR('Eigen informatie GS &amp; warmtenet'!B58),0,'Eigen informatie GS &amp; warmtenet'!B58)</f>
        <v>0</v>
      </c>
      <c r="D5" s="31">
        <f>SUM(D6:D12)</f>
        <v>6297.3864331107579</v>
      </c>
      <c r="E5" s="18">
        <f>SUM(E6:E12)</f>
        <v>46.650653827803687</v>
      </c>
      <c r="F5" s="18">
        <f>SUM(F6:F12)</f>
        <v>1036.7446406128606</v>
      </c>
      <c r="G5" s="19"/>
      <c r="H5" s="18"/>
      <c r="I5" s="18"/>
      <c r="J5" s="18">
        <f>SUM(J6:J12)</f>
        <v>0</v>
      </c>
      <c r="K5" s="18"/>
      <c r="L5" s="18"/>
      <c r="M5" s="18"/>
      <c r="N5" s="18">
        <f>SUM(N6:N12)</f>
        <v>421.91343923215322</v>
      </c>
      <c r="O5" s="18">
        <f>B38*B39*B40</f>
        <v>3.1266666666666669</v>
      </c>
      <c r="P5" s="18">
        <f>B46*B47*B48/1000-B46*B47*B48/1000/B49</f>
        <v>0</v>
      </c>
      <c r="R5" s="33"/>
    </row>
    <row r="6" spans="1:18">
      <c r="A6" s="33" t="s">
        <v>53</v>
      </c>
      <c r="B6" s="38">
        <f>B26</f>
        <v>706.375</v>
      </c>
      <c r="C6" s="34"/>
      <c r="D6" s="38">
        <f>IF(ISERROR(TER_kantoor_gas_kWh/1000),0,TER_kantoor_gas_kWh/1000)*0.902</f>
        <v>626.44912984195821</v>
      </c>
      <c r="E6" s="34">
        <f>$C$26*'E Balans VL '!I12/100/3.6*1000000</f>
        <v>1.159304540152823</v>
      </c>
      <c r="F6" s="34">
        <f>$C$26*('E Balans VL '!L12+'E Balans VL '!N12)/100/3.6*1000000</f>
        <v>83.264992398797034</v>
      </c>
      <c r="G6" s="35"/>
      <c r="H6" s="34"/>
      <c r="I6" s="34"/>
      <c r="J6" s="34">
        <f>$C$26*('E Balans VL '!D12+'E Balans VL '!E12)/100/3.6*1000000</f>
        <v>0</v>
      </c>
      <c r="K6" s="34"/>
      <c r="L6" s="34"/>
      <c r="M6" s="34"/>
      <c r="N6" s="34">
        <f>$C$26*'E Balans VL '!Y12/100/3.6*1000000</f>
        <v>0.14271972379053191</v>
      </c>
      <c r="O6" s="34"/>
      <c r="P6" s="34"/>
      <c r="R6" s="33"/>
    </row>
    <row r="7" spans="1:18">
      <c r="A7" s="33" t="s">
        <v>52</v>
      </c>
      <c r="B7" s="38">
        <f t="shared" ref="B7:B12" si="0">B27</f>
        <v>646.43899999999996</v>
      </c>
      <c r="C7" s="34"/>
      <c r="D7" s="38">
        <f>IF(ISERROR(TER_horeca_gas_kWh/1000),0,TER_horeca_gas_kWh/1000)*0.902</f>
        <v>952.43881186693591</v>
      </c>
      <c r="E7" s="34">
        <f>$C$27*'E Balans VL '!I9/100/3.6*1000000</f>
        <v>33.545506367296241</v>
      </c>
      <c r="F7" s="34">
        <f>$C$27*('E Balans VL '!L9+'E Balans VL '!N9)/100/3.6*1000000</f>
        <v>147.51784885846311</v>
      </c>
      <c r="G7" s="35"/>
      <c r="H7" s="34"/>
      <c r="I7" s="34"/>
      <c r="J7" s="34">
        <f>$C$27*('E Balans VL '!D9+'E Balans VL '!E9)/100/3.6*1000000</f>
        <v>0</v>
      </c>
      <c r="K7" s="34"/>
      <c r="L7" s="34"/>
      <c r="M7" s="34"/>
      <c r="N7" s="34">
        <f>$C$27*'E Balans VL '!Y9/100/3.6*1000000</f>
        <v>6.8263662156403906E-2</v>
      </c>
      <c r="O7" s="34"/>
      <c r="P7" s="34"/>
      <c r="R7" s="33"/>
    </row>
    <row r="8" spans="1:18">
      <c r="A8" s="6" t="s">
        <v>51</v>
      </c>
      <c r="B8" s="38">
        <f t="shared" si="0"/>
        <v>770.48699999999997</v>
      </c>
      <c r="C8" s="34"/>
      <c r="D8" s="38">
        <f>IF(ISERROR(TER_handel_gas_kWh/1000),0,TER_handel_gas_kWh/1000)*0.902</f>
        <v>99.393843258829236</v>
      </c>
      <c r="E8" s="34">
        <f>$C$28*'E Balans VL '!I13/100/3.6*1000000</f>
        <v>4.1491671752682748</v>
      </c>
      <c r="F8" s="34">
        <f>$C$28*('E Balans VL '!L13+'E Balans VL '!N13)/100/3.6*1000000</f>
        <v>157.12519611139828</v>
      </c>
      <c r="G8" s="35"/>
      <c r="H8" s="34"/>
      <c r="I8" s="34"/>
      <c r="J8" s="34">
        <f>$C$28*('E Balans VL '!D13+'E Balans VL '!E13)/100/3.6*1000000</f>
        <v>0</v>
      </c>
      <c r="K8" s="34"/>
      <c r="L8" s="34"/>
      <c r="M8" s="34"/>
      <c r="N8" s="34">
        <f>$C$28*'E Balans VL '!Y13/100/3.6*1000000</f>
        <v>3.8312249684727213</v>
      </c>
      <c r="O8" s="34"/>
      <c r="P8" s="34"/>
      <c r="R8" s="33"/>
    </row>
    <row r="9" spans="1:18">
      <c r="A9" s="33" t="s">
        <v>50</v>
      </c>
      <c r="B9" s="38">
        <f t="shared" si="0"/>
        <v>76.665000000000006</v>
      </c>
      <c r="C9" s="34"/>
      <c r="D9" s="38">
        <f>IF(ISERROR(TER_gezond_gas_kWh/1000),0,TER_gezond_gas_kWh/1000)*0.902</f>
        <v>52.708515323301185</v>
      </c>
      <c r="E9" s="34">
        <f>$C$29*'E Balans VL '!I10/100/3.6*1000000</f>
        <v>7.5975886830771847E-2</v>
      </c>
      <c r="F9" s="34">
        <f>$C$29*('E Balans VL '!L10+'E Balans VL '!N10)/100/3.6*1000000</f>
        <v>26.600545216151936</v>
      </c>
      <c r="G9" s="35"/>
      <c r="H9" s="34"/>
      <c r="I9" s="34"/>
      <c r="J9" s="34">
        <f>$C$29*('E Balans VL '!D10+'E Balans VL '!E10)/100/3.6*1000000</f>
        <v>0</v>
      </c>
      <c r="K9" s="34"/>
      <c r="L9" s="34"/>
      <c r="M9" s="34"/>
      <c r="N9" s="34">
        <f>$C$29*'E Balans VL '!Y10/100/3.6*1000000</f>
        <v>0.66061566354289114</v>
      </c>
      <c r="O9" s="34"/>
      <c r="P9" s="34"/>
      <c r="R9" s="33"/>
    </row>
    <row r="10" spans="1:18">
      <c r="A10" s="33" t="s">
        <v>49</v>
      </c>
      <c r="B10" s="38">
        <f t="shared" si="0"/>
        <v>699.33900000000006</v>
      </c>
      <c r="C10" s="34"/>
      <c r="D10" s="38">
        <f>IF(ISERROR(TER_ander_gas_kWh/1000),0,TER_ander_gas_kWh/1000)*0.902</f>
        <v>196.69195908767554</v>
      </c>
      <c r="E10" s="34">
        <f>$C$30*'E Balans VL '!I14/100/3.6*1000000</f>
        <v>5.721291959553537</v>
      </c>
      <c r="F10" s="34">
        <f>$C$30*('E Balans VL '!L14+'E Balans VL '!N14)/100/3.6*1000000</f>
        <v>204.45825233012968</v>
      </c>
      <c r="G10" s="35"/>
      <c r="H10" s="34"/>
      <c r="I10" s="34"/>
      <c r="J10" s="34">
        <f>$C$30*('E Balans VL '!D14+'E Balans VL '!E14)/100/3.6*1000000</f>
        <v>0</v>
      </c>
      <c r="K10" s="34"/>
      <c r="L10" s="34"/>
      <c r="M10" s="34"/>
      <c r="N10" s="34">
        <f>$C$30*'E Balans VL '!Y14/100/3.6*1000000</f>
        <v>403.42684196990416</v>
      </c>
      <c r="O10" s="34"/>
      <c r="P10" s="34"/>
      <c r="R10" s="33"/>
    </row>
    <row r="11" spans="1:18">
      <c r="A11" s="33" t="s">
        <v>54</v>
      </c>
      <c r="B11" s="38">
        <f t="shared" si="0"/>
        <v>998.06100000000004</v>
      </c>
      <c r="C11" s="34"/>
      <c r="D11" s="38">
        <f>IF(ISERROR(TER_onderwijs_gas_kWh/1000),0,TER_onderwijs_gas_kWh/1000)*0.902</f>
        <v>1712.213592700904</v>
      </c>
      <c r="E11" s="34">
        <f>$C$31*'E Balans VL '!I11/100/3.6*1000000</f>
        <v>0.61516268802541696</v>
      </c>
      <c r="F11" s="34">
        <f>$C$31*('E Balans VL '!L11+'E Balans VL '!N11)/100/3.6*1000000</f>
        <v>385.86654586785096</v>
      </c>
      <c r="G11" s="35"/>
      <c r="H11" s="34"/>
      <c r="I11" s="34"/>
      <c r="J11" s="34">
        <f>$C$31*('E Balans VL '!D11+'E Balans VL '!E11)/100/3.6*1000000</f>
        <v>0</v>
      </c>
      <c r="K11" s="34"/>
      <c r="L11" s="34"/>
      <c r="M11" s="34"/>
      <c r="N11" s="34">
        <f>$C$31*'E Balans VL '!Y11/100/3.6*1000000</f>
        <v>3.2464785530943447</v>
      </c>
      <c r="O11" s="34"/>
      <c r="P11" s="34"/>
      <c r="R11" s="33"/>
    </row>
    <row r="12" spans="1:18">
      <c r="A12" s="33" t="s">
        <v>249</v>
      </c>
      <c r="B12" s="38">
        <f t="shared" si="0"/>
        <v>160.20724877312</v>
      </c>
      <c r="C12" s="34"/>
      <c r="D12" s="38">
        <f>IF(ISERROR(TER_rest_gas_kWh/1000),0,TER_rest_gas_kWh/1000)*0.902</f>
        <v>2657.4905810311543</v>
      </c>
      <c r="E12" s="34">
        <f>$C$32*'E Balans VL '!I8/100/3.6*1000000</f>
        <v>1.3842452106766268</v>
      </c>
      <c r="F12" s="34">
        <f>$C$32*('E Balans VL '!L8+'E Balans VL '!N8)/100/3.6*1000000</f>
        <v>31.911259830069557</v>
      </c>
      <c r="G12" s="35"/>
      <c r="H12" s="34"/>
      <c r="I12" s="34"/>
      <c r="J12" s="34">
        <f>$C$32*('E Balans VL '!D8+'E Balans VL '!E8)/100/3.6*1000000</f>
        <v>0</v>
      </c>
      <c r="K12" s="34"/>
      <c r="L12" s="34"/>
      <c r="M12" s="34"/>
      <c r="N12" s="34">
        <f>$C$32*'E Balans VL '!Y8/100/3.6*1000000</f>
        <v>10.537294691192191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4057.5732487731202</v>
      </c>
      <c r="C16" s="22">
        <f t="shared" ca="1" si="1"/>
        <v>0</v>
      </c>
      <c r="D16" s="22">
        <f t="shared" ca="1" si="1"/>
        <v>6297.3864331107579</v>
      </c>
      <c r="E16" s="22">
        <f t="shared" si="1"/>
        <v>46.650653827803687</v>
      </c>
      <c r="F16" s="22">
        <f t="shared" ca="1" si="1"/>
        <v>1036.7446406128606</v>
      </c>
      <c r="G16" s="22">
        <f t="shared" si="1"/>
        <v>0</v>
      </c>
      <c r="H16" s="22">
        <f t="shared" si="1"/>
        <v>0</v>
      </c>
      <c r="I16" s="22">
        <f t="shared" si="1"/>
        <v>0</v>
      </c>
      <c r="J16" s="22">
        <f t="shared" si="1"/>
        <v>0</v>
      </c>
      <c r="K16" s="22">
        <f t="shared" si="1"/>
        <v>0</v>
      </c>
      <c r="L16" s="22">
        <f t="shared" ca="1" si="1"/>
        <v>0</v>
      </c>
      <c r="M16" s="22">
        <f t="shared" si="1"/>
        <v>0</v>
      </c>
      <c r="N16" s="22">
        <f t="shared" ca="1" si="1"/>
        <v>421.91343923215322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0.19932777230204254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808.78703663030751</v>
      </c>
      <c r="C20" s="24">
        <f t="shared" ref="C20:P20" ca="1" si="2">C16*C18</f>
        <v>0</v>
      </c>
      <c r="D20" s="24">
        <f t="shared" ca="1" si="2"/>
        <v>1272.0720594883733</v>
      </c>
      <c r="E20" s="24">
        <f t="shared" si="2"/>
        <v>10.589698418911437</v>
      </c>
      <c r="F20" s="24">
        <f t="shared" ca="1" si="2"/>
        <v>276.81081904363378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706.375</v>
      </c>
      <c r="C26" s="40">
        <f>IF(ISERROR(B26*3.6/1000000/'E Balans VL '!Z12*100),0,B26*3.6/1000000/'E Balans VL '!Z12*100)</f>
        <v>1.5009962186559008E-2</v>
      </c>
      <c r="D26" s="236" t="s">
        <v>685</v>
      </c>
      <c r="F26" s="6"/>
    </row>
    <row r="27" spans="1:18">
      <c r="A27" s="231" t="s">
        <v>52</v>
      </c>
      <c r="B27" s="34">
        <f>IF(ISERROR(TER_horeca_ele_kWh/1000),0,TER_horeca_ele_kWh/1000)</f>
        <v>646.43899999999996</v>
      </c>
      <c r="C27" s="40">
        <f>IF(ISERROR(B27*3.6/1000000/'E Balans VL '!Z9*100),0,B27*3.6/1000000/'E Balans VL '!Z9*100)</f>
        <v>5.0879748191108499E-2</v>
      </c>
      <c r="D27" s="236" t="s">
        <v>685</v>
      </c>
      <c r="F27" s="6"/>
    </row>
    <row r="28" spans="1:18">
      <c r="A28" s="171" t="s">
        <v>51</v>
      </c>
      <c r="B28" s="34">
        <f>IF(ISERROR(TER_handel_ele_kWh/1000),0,TER_handel_ele_kWh/1000)</f>
        <v>770.48699999999997</v>
      </c>
      <c r="C28" s="40">
        <f>IF(ISERROR(B28*3.6/1000000/'E Balans VL '!Z13*100),0,B28*3.6/1000000/'E Balans VL '!Z13*100)</f>
        <v>2.1581753218363007E-2</v>
      </c>
      <c r="D28" s="236" t="s">
        <v>685</v>
      </c>
      <c r="F28" s="6"/>
    </row>
    <row r="29" spans="1:18">
      <c r="A29" s="231" t="s">
        <v>50</v>
      </c>
      <c r="B29" s="34">
        <f>IF(ISERROR(TER_gezond_ele_kWh/1000),0,TER_gezond_ele_kWh/1000)</f>
        <v>76.665000000000006</v>
      </c>
      <c r="C29" s="40">
        <f>IF(ISERROR(B29*3.6/1000000/'E Balans VL '!Z10*100),0,B29*3.6/1000000/'E Balans VL '!Z10*100)</f>
        <v>9.8077717562336415E-3</v>
      </c>
      <c r="D29" s="236" t="s">
        <v>685</v>
      </c>
      <c r="F29" s="6"/>
    </row>
    <row r="30" spans="1:18">
      <c r="A30" s="231" t="s">
        <v>49</v>
      </c>
      <c r="B30" s="34">
        <f>IF(ISERROR(TER_ander_ele_kWh/1000),0,TER_ander_ele_kWh/1000)</f>
        <v>699.33900000000006</v>
      </c>
      <c r="C30" s="40">
        <f>IF(ISERROR(B30*3.6/1000000/'E Balans VL '!Z14*100),0,B30*3.6/1000000/'E Balans VL '!Z14*100)</f>
        <v>5.2304664466646431E-2</v>
      </c>
      <c r="D30" s="236" t="s">
        <v>685</v>
      </c>
      <c r="F30" s="6"/>
    </row>
    <row r="31" spans="1:18">
      <c r="A31" s="231" t="s">
        <v>54</v>
      </c>
      <c r="B31" s="34">
        <f>IF(ISERROR(TER_onderwijs_ele_kWh/1000),0,TER_onderwijs_ele_kWh/1000)</f>
        <v>998.06100000000004</v>
      </c>
      <c r="C31" s="40">
        <f>IF(ISERROR(B31*3.6/1000000/'E Balans VL '!Z11*100),0,B31*3.6/1000000/'E Balans VL '!Z11*100)</f>
        <v>0.21074187296944788</v>
      </c>
      <c r="D31" s="236" t="s">
        <v>685</v>
      </c>
    </row>
    <row r="32" spans="1:18">
      <c r="A32" s="231" t="s">
        <v>249</v>
      </c>
      <c r="B32" s="34">
        <f>IF(ISERROR(TER_rest_ele_kWh/1000),0,TER_rest_ele_kWh/1000)</f>
        <v>160.20724877312</v>
      </c>
      <c r="C32" s="40">
        <f>IF(ISERROR(B32*3.6/1000000/'E Balans VL '!Z8*100),0,B32*3.6/1000000/'E Balans VL '!Z8*100)</f>
        <v>1.3197764317839549E-3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826.47400000000005</v>
      </c>
      <c r="C5" s="18">
        <f>IF(ISERROR('Eigen informatie GS &amp; warmtenet'!B59),0,'Eigen informatie GS &amp; warmtenet'!B59)</f>
        <v>0</v>
      </c>
      <c r="D5" s="31">
        <f>SUM(D6:D15)</f>
        <v>736.22615898829281</v>
      </c>
      <c r="E5" s="18">
        <f>SUM(E6:E15)</f>
        <v>6.3442438687099614</v>
      </c>
      <c r="F5" s="18">
        <f>SUM(F6:F15)</f>
        <v>369.003267629959</v>
      </c>
      <c r="G5" s="19"/>
      <c r="H5" s="18"/>
      <c r="I5" s="18"/>
      <c r="J5" s="18">
        <f>SUM(J6:J15)</f>
        <v>3.4230067757133922</v>
      </c>
      <c r="K5" s="18"/>
      <c r="L5" s="18"/>
      <c r="M5" s="18"/>
      <c r="N5" s="18">
        <f>SUM(N6:N15)</f>
        <v>35.51677235626061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173.511</v>
      </c>
      <c r="C8" s="34"/>
      <c r="D8" s="38">
        <f>IF( ISERROR(IND_metaal_Gas_kWH/1000),0,IND_metaal_Gas_kWH/1000)*0.902</f>
        <v>0</v>
      </c>
      <c r="E8" s="34">
        <f>C30*'E Balans VL '!I18/100/3.6*1000000</f>
        <v>1.5801334081741696</v>
      </c>
      <c r="F8" s="34">
        <f>C30*'E Balans VL '!L18/100/3.6*1000000+C30*'E Balans VL '!N18/100/3.6*1000000</f>
        <v>22.884783234834384</v>
      </c>
      <c r="G8" s="35"/>
      <c r="H8" s="34"/>
      <c r="I8" s="34"/>
      <c r="J8" s="41">
        <f>C30*'E Balans VL '!D18/100/3.6*1000000+C30*'E Balans VL '!E18/100/3.6*1000000</f>
        <v>2.845328471099688</v>
      </c>
      <c r="K8" s="34"/>
      <c r="L8" s="34"/>
      <c r="M8" s="34"/>
      <c r="N8" s="34">
        <f>C30*'E Balans VL '!Y18/100/3.6*1000000</f>
        <v>0.59628837993206119</v>
      </c>
      <c r="O8" s="34"/>
      <c r="P8" s="34"/>
      <c r="R8" s="33"/>
    </row>
    <row r="9" spans="1:18">
      <c r="A9" s="6" t="s">
        <v>32</v>
      </c>
      <c r="B9" s="38">
        <f t="shared" si="0"/>
        <v>386.23200000000003</v>
      </c>
      <c r="C9" s="34"/>
      <c r="D9" s="38">
        <f>IF( ISERROR(IND_andere_gas_kWh/1000),0,IND_andere_gas_kWh/1000)*0.902</f>
        <v>181.01884758610632</v>
      </c>
      <c r="E9" s="34">
        <f>C31*'E Balans VL '!I19/100/3.6*1000000</f>
        <v>2.2324786775984053</v>
      </c>
      <c r="F9" s="34">
        <f>C31*'E Balans VL '!L19/100/3.6*1000000+C31*'E Balans VL '!N19/100/3.6*1000000</f>
        <v>307.2661407484145</v>
      </c>
      <c r="G9" s="35"/>
      <c r="H9" s="34"/>
      <c r="I9" s="34"/>
      <c r="J9" s="41">
        <f>C31*'E Balans VL '!D19/100/3.6*1000000+C31*'E Balans VL '!E19/100/3.6*1000000</f>
        <v>3.6533257056457151E-2</v>
      </c>
      <c r="K9" s="34"/>
      <c r="L9" s="34"/>
      <c r="M9" s="34"/>
      <c r="N9" s="34">
        <f>C31*'E Balans VL '!Y19/100/3.6*1000000</f>
        <v>29.262918967525966</v>
      </c>
      <c r="O9" s="34"/>
      <c r="P9" s="34"/>
      <c r="R9" s="33"/>
    </row>
    <row r="10" spans="1:18">
      <c r="A10" s="6" t="s">
        <v>40</v>
      </c>
      <c r="B10" s="38">
        <f t="shared" si="0"/>
        <v>159.24600000000001</v>
      </c>
      <c r="C10" s="34"/>
      <c r="D10" s="38">
        <f>IF( ISERROR(IND_voed_gas_kWh/1000),0,IND_voed_gas_kWh/1000)*0.902</f>
        <v>251.35355294272654</v>
      </c>
      <c r="E10" s="34">
        <f>C32*'E Balans VL '!I20/100/3.6*1000000</f>
        <v>1.5658047916322619</v>
      </c>
      <c r="F10" s="34">
        <f>C32*'E Balans VL '!L20/100/3.6*1000000+C32*'E Balans VL '!N20/100/3.6*1000000</f>
        <v>17.686346881408781</v>
      </c>
      <c r="G10" s="35"/>
      <c r="H10" s="34"/>
      <c r="I10" s="34"/>
      <c r="J10" s="41">
        <f>C32*'E Balans VL '!D20/100/3.6*1000000+C32*'E Balans VL '!E20/100/3.6*1000000</f>
        <v>6.2766077933394356E-4</v>
      </c>
      <c r="K10" s="34"/>
      <c r="L10" s="34"/>
      <c r="M10" s="34"/>
      <c r="N10" s="34">
        <f>C32*'E Balans VL '!Y20/100/3.6*1000000</f>
        <v>2.3580586739237335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107.485</v>
      </c>
      <c r="C15" s="34"/>
      <c r="D15" s="38">
        <f>IF( ISERROR(IND_rest_gas_kWh/1000),0,IND_rest_gas_kWh/1000)*0.902</f>
        <v>303.85375845946004</v>
      </c>
      <c r="E15" s="34">
        <f>C37*'E Balans VL '!I15/100/3.6*1000000</f>
        <v>0.96582699130512484</v>
      </c>
      <c r="F15" s="34">
        <f>C37*'E Balans VL '!L15/100/3.6*1000000+C37*'E Balans VL '!N15/100/3.6*1000000</f>
        <v>21.165996765301333</v>
      </c>
      <c r="G15" s="35"/>
      <c r="H15" s="34"/>
      <c r="I15" s="34"/>
      <c r="J15" s="41">
        <f>C37*'E Balans VL '!D15/100/3.6*1000000+C37*'E Balans VL '!E15/100/3.6*1000000</f>
        <v>0.54051738677791306</v>
      </c>
      <c r="K15" s="34"/>
      <c r="L15" s="34"/>
      <c r="M15" s="34"/>
      <c r="N15" s="34">
        <f>C37*'E Balans VL '!Y15/100/3.6*1000000</f>
        <v>3.2995063348788496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826.47400000000005</v>
      </c>
      <c r="C18" s="22">
        <f>C5+C16</f>
        <v>0</v>
      </c>
      <c r="D18" s="22">
        <f>MAX((D5+D16),0)</f>
        <v>736.22615898829281</v>
      </c>
      <c r="E18" s="22">
        <f>MAX((E5+E16),0)</f>
        <v>6.3442438687099614</v>
      </c>
      <c r="F18" s="22">
        <f>MAX((F5+F16),0)</f>
        <v>369.003267629959</v>
      </c>
      <c r="G18" s="22"/>
      <c r="H18" s="22"/>
      <c r="I18" s="22"/>
      <c r="J18" s="22">
        <f>MAX((J5+J16),0)</f>
        <v>3.4230067757133922</v>
      </c>
      <c r="K18" s="22"/>
      <c r="L18" s="22">
        <f>MAX((L5+L16),0)</f>
        <v>0</v>
      </c>
      <c r="M18" s="22"/>
      <c r="N18" s="22">
        <f>MAX((N5+N16),0)</f>
        <v>35.51677235626061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0.19932777230204254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164.73922128555833</v>
      </c>
      <c r="C22" s="24">
        <f ca="1">C18*C20</f>
        <v>0</v>
      </c>
      <c r="D22" s="24">
        <f>D18*D20</f>
        <v>148.71768411563517</v>
      </c>
      <c r="E22" s="24">
        <f>E18*E20</f>
        <v>1.4401433581971612</v>
      </c>
      <c r="F22" s="24">
        <f>F18*F20</f>
        <v>98.523872457199062</v>
      </c>
      <c r="G22" s="24"/>
      <c r="H22" s="24"/>
      <c r="I22" s="24"/>
      <c r="J22" s="24">
        <f>J18*J20</f>
        <v>1.2117443986025407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173.511</v>
      </c>
      <c r="C30" s="40">
        <f>IF(ISERROR(B30*3.6/1000000/'E Balans VL '!Z18*100),0,B30*3.6/1000000/'E Balans VL '!Z18*100)</f>
        <v>9.6547268918977108E-3</v>
      </c>
      <c r="D30" s="236" t="s">
        <v>685</v>
      </c>
    </row>
    <row r="31" spans="1:18">
      <c r="A31" s="6" t="s">
        <v>32</v>
      </c>
      <c r="B31" s="38">
        <f>IF( ISERROR(IND_ander_ele_kWh/1000),0,IND_ander_ele_kWh/1000)</f>
        <v>386.23200000000003</v>
      </c>
      <c r="C31" s="40">
        <f>IF(ISERROR(B31*3.6/1000000/'E Balans VL '!Z19*100),0,B31*3.6/1000000/'E Balans VL '!Z19*100)</f>
        <v>1.7954911317849251E-2</v>
      </c>
      <c r="D31" s="236" t="s">
        <v>685</v>
      </c>
    </row>
    <row r="32" spans="1:18">
      <c r="A32" s="171" t="s">
        <v>40</v>
      </c>
      <c r="B32" s="38">
        <f>IF( ISERROR(IND_voed_ele_kWh/1000),0,IND_voed_ele_kWh/1000)</f>
        <v>159.24600000000001</v>
      </c>
      <c r="C32" s="40">
        <f>IF(ISERROR(B32*3.6/1000000/'E Balans VL '!Z20*100),0,B32*3.6/1000000/'E Balans VL '!Z20*100)</f>
        <v>5.6290244890826371E-3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107.485</v>
      </c>
      <c r="C37" s="40">
        <f>IF(ISERROR(B37*3.6/1000000/'E Balans VL '!Z15*100),0,B37*3.6/1000000/'E Balans VL '!Z15*100)</f>
        <v>8.116705293548152E-4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693.77099999999996</v>
      </c>
      <c r="C5" s="18">
        <f>'Eigen informatie GS &amp; warmtenet'!B60</f>
        <v>0</v>
      </c>
      <c r="D5" s="31">
        <f>IF(ISERROR(SUM(LB_lb_gas_kWh,LB_rest_gas_kWh)/1000),0,SUM(LB_lb_gas_kWh,LB_rest_gas_kWh)/1000)*0.902</f>
        <v>832.34783270752882</v>
      </c>
      <c r="E5" s="18">
        <f>B17*'E Balans VL '!I25/3.6*1000000/100</f>
        <v>6.5357876618182509</v>
      </c>
      <c r="F5" s="18">
        <f>B17*('E Balans VL '!L25/3.6*1000000+'E Balans VL '!N25/3.6*1000000)/100</f>
        <v>2264.0050153742636</v>
      </c>
      <c r="G5" s="19"/>
      <c r="H5" s="18"/>
      <c r="I5" s="18"/>
      <c r="J5" s="18">
        <f>('E Balans VL '!D25+'E Balans VL '!E25)/3.6*1000000*landbouw!B17/100</f>
        <v>85.82284720149579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693.77099999999996</v>
      </c>
      <c r="C8" s="22">
        <f>C5+C6</f>
        <v>0</v>
      </c>
      <c r="D8" s="22">
        <f>MAX((D5+D6),0)</f>
        <v>832.34783270752882</v>
      </c>
      <c r="E8" s="22">
        <f>MAX((E5+E6),0)</f>
        <v>6.5357876618182509</v>
      </c>
      <c r="F8" s="22">
        <f>MAX((F5+F6),0)</f>
        <v>2264.0050153742636</v>
      </c>
      <c r="G8" s="22"/>
      <c r="H8" s="22"/>
      <c r="I8" s="22"/>
      <c r="J8" s="22">
        <f>MAX((J5+J6),0)</f>
        <v>85.82284720149579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0.19932777230204254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138.28782791776035</v>
      </c>
      <c r="C12" s="24">
        <f ca="1">C8*C10</f>
        <v>0</v>
      </c>
      <c r="D12" s="24">
        <f>D8*D10</f>
        <v>168.13426220692082</v>
      </c>
      <c r="E12" s="24">
        <f>E8*E10</f>
        <v>1.483623799232743</v>
      </c>
      <c r="F12" s="24">
        <f>F8*F10</f>
        <v>604.48933910492838</v>
      </c>
      <c r="G12" s="24"/>
      <c r="H12" s="24"/>
      <c r="I12" s="24"/>
      <c r="J12" s="24">
        <f>J8*J10</f>
        <v>30.381287909329508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9.3925507293809218E-2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275.17100848955175</v>
      </c>
      <c r="C26" s="246">
        <f>B26*'GWP N2O_CH4'!B5</f>
        <v>5778.591178280587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66.71768302441339</v>
      </c>
      <c r="C27" s="246">
        <f>B27*'GWP N2O_CH4'!B5</f>
        <v>1401.0713435126811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4.3147140251677936</v>
      </c>
      <c r="C28" s="246">
        <f>B28*'GWP N2O_CH4'!B4</f>
        <v>1337.5613478020159</v>
      </c>
      <c r="D28" s="51"/>
    </row>
    <row r="29" spans="1:4">
      <c r="A29" s="42" t="s">
        <v>266</v>
      </c>
      <c r="B29" s="246">
        <f>B34*'ha_N2O bodem landbouw'!B4</f>
        <v>6.877659973113162</v>
      </c>
      <c r="C29" s="246">
        <f>B29*'GWP N2O_CH4'!B4</f>
        <v>2132.0745916650803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1.8567516821693768E-3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8.164647237929771E-6</v>
      </c>
      <c r="C5" s="433" t="s">
        <v>204</v>
      </c>
      <c r="D5" s="418">
        <f>SUM(D6:D11)</f>
        <v>1.0741170405442604E-5</v>
      </c>
      <c r="E5" s="418">
        <f>SUM(E6:E11)</f>
        <v>7.3653760827948906E-4</v>
      </c>
      <c r="F5" s="431" t="s">
        <v>204</v>
      </c>
      <c r="G5" s="418">
        <f>SUM(G6:G11)</f>
        <v>0.18093838160409598</v>
      </c>
      <c r="H5" s="418">
        <f>SUM(H6:H11)</f>
        <v>2.6133345210159142E-2</v>
      </c>
      <c r="I5" s="433" t="s">
        <v>204</v>
      </c>
      <c r="J5" s="433" t="s">
        <v>204</v>
      </c>
      <c r="K5" s="433" t="s">
        <v>204</v>
      </c>
      <c r="L5" s="433" t="s">
        <v>204</v>
      </c>
      <c r="M5" s="418">
        <f>SUM(M6:M11)</f>
        <v>9.2480176136234341E-3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1.7296690177475954E-6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2.0145134584059577E-6</v>
      </c>
      <c r="E6" s="421">
        <f>vkm_GW_PW*SUMIFS(TableVerdeelsleutelVkm[LPG],TableVerdeelsleutelVkm[Voertuigtype],"Lichte voertuigen")*SUMIFS(TableECFTransport[EnergieConsumptieFactor (PJ per km)],TableECFTransport[Index],CONCATENATE($A6,"_LPG_LPG"))</f>
        <v>1.3069645647338483E-4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2.0391104429770542E-2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4.9142529413647605E-3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1.1324163903610996E-3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5.3768851749947671E-8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8.8945546961200633E-3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2.3867259767728871E-7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3.957786683034762E-4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2.5899639124217921E-6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4.9265570042913834E-6</v>
      </c>
      <c r="E8" s="421">
        <f>vkm_NGW_PW*SUMIFS(TableVerdeelsleutelVkm[LPG],TableVerdeelsleutelVkm[Voertuigtype],"Lichte voertuigen")*SUMIFS(TableECFTransport[EnergieConsumptieFactor (PJ per km)],TableECFTransport[Index],CONCATENATE($A8,"_LPG_LPG"))</f>
        <v>3.0283033938289958E-4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4.4479042363651897E-2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1.1456009735900276E-2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2.5038752248336005E-3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6.0807535135497113E-8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1.2898994935305299E-2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3.257959216832318E-7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5.7396226448045633E-4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3.4070918762296342E-6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3.800099942745263E-6</v>
      </c>
      <c r="E10" s="421">
        <f>vkm_SW_PW*SUMIFS(TableVerdeelsleutelVkm[LPG],TableVerdeelsleutelVkm[Voertuigtype],"Lichte voertuigen")*SUMIFS(TableECFTransport[EnergieConsumptieFactor (PJ per km)],TableECFTransport[Index],CONCATENATE($A10,"_LPG_LPG"))</f>
        <v>3.0301081242320465E-4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4.4171083474769987E-2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9.7610407606596693E-3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2.412532151797609E-3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3.2334604464530526E-7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5.0103601704478182E-2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1.4773037150774055E-6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2.2294529138471913E-3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2.2679575660916029</v>
      </c>
      <c r="C14" s="22"/>
      <c r="D14" s="22">
        <f t="shared" ref="D14:M14" si="0">((D5)*10^9/3600)+D12</f>
        <v>2.9836584459562792</v>
      </c>
      <c r="E14" s="22">
        <f t="shared" si="0"/>
        <v>204.59378007763587</v>
      </c>
      <c r="F14" s="22"/>
      <c r="G14" s="22">
        <f t="shared" si="0"/>
        <v>50260.661556693325</v>
      </c>
      <c r="H14" s="22">
        <f t="shared" si="0"/>
        <v>7259.2625583775389</v>
      </c>
      <c r="I14" s="22"/>
      <c r="J14" s="22"/>
      <c r="K14" s="22"/>
      <c r="L14" s="22"/>
      <c r="M14" s="22">
        <f t="shared" si="0"/>
        <v>2568.8937815620652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0.19932777230204254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0.45206692932460163</v>
      </c>
      <c r="C18" s="24"/>
      <c r="D18" s="24">
        <f t="shared" ref="D18:M18" si="1">D14*D16</f>
        <v>0.6026990060831684</v>
      </c>
      <c r="E18" s="24">
        <f t="shared" si="1"/>
        <v>46.442788077623341</v>
      </c>
      <c r="F18" s="24"/>
      <c r="G18" s="24">
        <f t="shared" si="1"/>
        <v>13419.596635637119</v>
      </c>
      <c r="H18" s="24">
        <f t="shared" si="1"/>
        <v>1807.5563770360072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1.3682854918922536E-5</v>
      </c>
      <c r="C50" s="316">
        <f t="shared" ref="C50:P50" si="2">SUM(C51:C52)</f>
        <v>0</v>
      </c>
      <c r="D50" s="316">
        <f t="shared" si="2"/>
        <v>0</v>
      </c>
      <c r="E50" s="316">
        <f t="shared" si="2"/>
        <v>0</v>
      </c>
      <c r="F50" s="316">
        <f t="shared" si="2"/>
        <v>0</v>
      </c>
      <c r="G50" s="316">
        <f t="shared" si="2"/>
        <v>2.729072390221719E-3</v>
      </c>
      <c r="H50" s="316">
        <f t="shared" si="2"/>
        <v>0</v>
      </c>
      <c r="I50" s="316">
        <f t="shared" si="2"/>
        <v>0</v>
      </c>
      <c r="J50" s="316">
        <f t="shared" si="2"/>
        <v>0</v>
      </c>
      <c r="K50" s="316">
        <f t="shared" si="2"/>
        <v>0</v>
      </c>
      <c r="L50" s="316">
        <f t="shared" si="2"/>
        <v>0</v>
      </c>
      <c r="M50" s="316">
        <f t="shared" si="2"/>
        <v>1.2062209302254504E-4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1.3682854918922536E-5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2.729072390221719E-3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1.2062209302254504E-4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3.8007930330340378</v>
      </c>
      <c r="C54" s="22">
        <f t="shared" ref="C54:P54" si="3">(C50)*10^9/3600</f>
        <v>0</v>
      </c>
      <c r="D54" s="22">
        <f t="shared" si="3"/>
        <v>0</v>
      </c>
      <c r="E54" s="22">
        <f t="shared" si="3"/>
        <v>0</v>
      </c>
      <c r="F54" s="22">
        <f t="shared" si="3"/>
        <v>0</v>
      </c>
      <c r="G54" s="22">
        <f t="shared" si="3"/>
        <v>758.07566395047752</v>
      </c>
      <c r="H54" s="22">
        <f t="shared" si="3"/>
        <v>0</v>
      </c>
      <c r="I54" s="22">
        <f t="shared" si="3"/>
        <v>0</v>
      </c>
      <c r="J54" s="22">
        <f t="shared" si="3"/>
        <v>0</v>
      </c>
      <c r="K54" s="22">
        <f t="shared" si="3"/>
        <v>0</v>
      </c>
      <c r="L54" s="22">
        <f t="shared" si="3"/>
        <v>0</v>
      </c>
      <c r="M54" s="22">
        <f t="shared" si="3"/>
        <v>33.506136950706953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0.19932777230204254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0.75760360825579831</v>
      </c>
      <c r="C58" s="24">
        <f t="shared" ref="C58:P58" ca="1" si="4">C54*C56</f>
        <v>0</v>
      </c>
      <c r="D58" s="24">
        <f t="shared" si="4"/>
        <v>0</v>
      </c>
      <c r="E58" s="24">
        <f t="shared" si="4"/>
        <v>0</v>
      </c>
      <c r="F58" s="24">
        <f t="shared" si="4"/>
        <v>0</v>
      </c>
      <c r="G58" s="24">
        <f t="shared" si="4"/>
        <v>202.40620227477751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1967.6493396317092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1967.6493396317092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2021-11-11T13:31:05Z</dcterms:modified>
</cp:coreProperties>
</file>