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96024006-4946-49BE-97DF-05644605588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D48" i="18"/>
  <c r="F48" i="18"/>
  <c r="N6" i="17"/>
  <c r="L6" i="17"/>
  <c r="F6" i="17"/>
  <c r="D6" i="17"/>
  <c r="C6" i="17"/>
  <c r="N16" i="16"/>
  <c r="L16" i="16"/>
  <c r="F16" i="16"/>
  <c r="D16" i="16"/>
  <c r="C16" i="16"/>
  <c r="B16" i="16"/>
  <c r="B13" i="15"/>
  <c r="H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R44" i="14"/>
  <c r="Q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<sst xmlns="http://schemas.openxmlformats.org/spreadsheetml/2006/main" count="2563" uniqueCount="964">
  <si>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</si>
  <si>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</si>
  <si>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</si>
  <si>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</si>
  <si>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</si>
  <si>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</si>
  <si>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</si>
  <si>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</si>
  <si>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</si>
  <si>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</si>
  <si>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</si>
  <si>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</si>
  <si>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</si>
  <si>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</si>
  <si>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</si>
  <si>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</si>
  <si>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</si>
  <si>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</si>
  <si>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</si>
  <si>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</si>
  <si>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</si>
  <si>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</si>
  <si>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</si>
  <si>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</si>
  <si>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</si>
  <si>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</si>
  <si>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</si>
  <si>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</si>
  <si>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</si>
  <si>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</si>
  <si>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</si>
  <si>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</si>
  <si>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</si>
  <si>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</si>
  <si>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</si>
  <si>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</si>
  <si>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</si>
  <si>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</si>
  <si>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</si>
  <si>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</si>
  <si>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</si>
  <si>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</si>
  <si>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</si>
  <si>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</si>
  <si>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</si>
  <si>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</si>
  <si>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</si>
  <si>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</si>
  <si>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</si>
  <si>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</si>
  <si>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</si>
  <si>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</si>
  <si>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</si>
  <si>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</si>
  <si>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</si>
  <si>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</si>
  <si>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</si>
  <si>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</si>
  <si>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</si>
  <si>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</si>
  <si>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</si>
  <si>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</si>
  <si>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</si>
  <si>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</si>
  <si>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</si>
  <si>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</si>
  <si>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</si>
  <si>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</si>
  <si>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</si>
  <si>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</si>
  <si>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</si>
  <si>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</si>
  <si>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</si>
  <si>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</si>
  <si>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</si>
  <si>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</si>
  <si>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</si>
  <si>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</si>
  <si>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</si>
  <si>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</si>
  <si>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</si>
  <si>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</si>
  <si>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</si>
  <si>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</si>
  <si>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</si>
  <si>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</si>
  <si>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</si>
  <si>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</si>
  <si>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</si>
  <si>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</si>
  <si>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</si>
  <si>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</si>
  <si>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</si>
  <si>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</si>
  <si>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</si>
  <si>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</si>
  <si>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</si>
  <si>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</si>
  <si>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</si>
  <si>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</si>
  <si>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</si>
  <si>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</si>
  <si>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</si>
  <si>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</si>
  <si>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</si>
  <si>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</si>
  <si>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</si>
  <si>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</si>
  <si>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</si>
  <si>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</si>
  <si>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</si>
  <si>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</si>
  <si>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</si>
  <si>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</si>
  <si>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</si>
  <si>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</si>
  <si>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</si>
  <si>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</si>
  <si>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</si>
  <si>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</si>
  <si>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</si>
  <si>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</si>
  <si>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</si>
  <si>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</si>
  <si>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</si>
  <si>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</si>
  <si>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</si>
  <si>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</si>
  <si>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</si>
  <si>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</si>
  <si>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</si>
  <si>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</si>
  <si>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</si>
  <si>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</si>
  <si>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</si>
  <si>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</si>
  <si>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</si>
  <si>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</si>
  <si>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</si>
  <si>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</si>
  <si>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</si>
  <si>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</si>
  <si>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</si>
  <si>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</si>
  <si>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</si>
  <si>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</si>
  <si>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</si>
  <si>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</si>
  <si>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</si>
  <si>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</si>
  <si>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</si>
  <si>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</si>
  <si>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</si>
  <si>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</si>
  <si>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</si>
  <si>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</si>
  <si>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</si>
  <si>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</si>
  <si>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</si>
  <si>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</si>
  <si>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</si>
  <si>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</si>
  <si>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</si>
  <si>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</si>
  <si>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</si>
  <si>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</si>
  <si>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</si>
  <si>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</si>
  <si>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</si>
  <si>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</si>
  <si>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</si>
  <si>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</si>
  <si>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</si>
  <si>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</si>
  <si>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</si>
  <si>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</si>
  <si>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</si>
  <si>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</si>
  <si>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</si>
  <si>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</si>
  <si>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</si>
  <si>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</si>
  <si>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</si>
  <si>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</si>
  <si>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</si>
  <si>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</si>
  <si>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</si>
  <si>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</si>
  <si>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</si>
  <si>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</si>
  <si>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</si>
  <si>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</si>
  <si>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</si>
  <si>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</si>
  <si>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</si>
  <si>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</si>
  <si>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</si>
  <si>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</si>
  <si>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</si>
  <si>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</si>
  <si>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</si>
  <si>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</si>
  <si>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</si>
  <si>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</si>
  <si>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</si>
  <si>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</si>
  <si>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</si>
  <si>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</si>
  <si>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</si>
  <si>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</si>
  <si>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</si>
  <si>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</si>
  <si>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</si>
  <si>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</si>
  <si>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</si>
  <si>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</si>
  <si>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</si>
  <si>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</si>
  <si>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</si>
  <si>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</si>
  <si>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</si>
  <si>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</si>
  <si>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</si>
  <si>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</si>
  <si>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</si>
  <si>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</si>
  <si>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</si>
  <si>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</si>
  <si>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</si>
  <si>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</si>
  <si>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</si>
  <si>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</si>
  <si>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</si>
  <si>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</si>
  <si>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</si>
  <si>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</si>
  <si>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</si>
  <si>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</si>
  <si>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</si>
  <si>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</si>
  <si>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</si>
  <si>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</si>
  <si>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</si>
  <si>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</si>
  <si>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</si>
  <si>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</si>
  <si>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</si>
  <si>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</si>
  <si>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</si>
  <si>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</si>
  <si>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</si>
  <si>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</si>
  <si>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</si>
  <si>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</si>
  <si>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</si>
  <si>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</si>
  <si>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</si>
  <si>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</si>
  <si>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</si>
  <si>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</si>
  <si>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</si>
  <si>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</si>
  <si>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</si>
  <si>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</si>
  <si>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</si>
  <si>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</si>
  <si>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</si>
  <si>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</si>
  <si>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</si>
  <si>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</si>
  <si>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</si>
  <si>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</si>
  <si>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</si>
  <si>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</si>
  <si>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</si>
  <si>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</si>
  <si>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</si>
  <si>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</si>
  <si>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</si>
  <si>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</si>
  <si>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</si>
  <si>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</si>
  <si>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</si>
  <si>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</si>
  <si>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</si>
  <si>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</si>
  <si>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</si>
  <si>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</si>
  <si>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</si>
  <si>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</si>
  <si>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</si>
  <si>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</si>
  <si>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</si>
  <si>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</si>
  <si>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</si>
  <si>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</si>
  <si>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</si>
  <si>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</si>
  <si>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</si>
  <si>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</si>
  <si>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</si>
  <si>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</si>
  <si>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</si>
  <si>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</si>
  <si>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</si>
  <si>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</si>
  <si>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</si>
  <si>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</si>
  <si>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</si>
  <si>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</si>
  <si>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</si>
  <si>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</si>
  <si>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</si>
  <si>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</si>
  <si>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</si>
  <si>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</si>
  <si>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</si>
  <si>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</si>
  <si>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</si>
  <si>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</si>
  <si>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</si>
  <si>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</si>
  <si>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</si>
  <si>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</si>
  <si>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</si>
  <si>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</si>
  <si>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</si>
  <si>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</si>
  <si>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</si>
  <si>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</si>
  <si>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</si>
  <si>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</si>
  <si>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</si>
  <si>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</si>
  <si>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</si>
  <si>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</si>
  <si>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</si>
  <si>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</si>
  <si>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</si>
  <si>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</si>
  <si>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</si>
  <si>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</si>
  <si>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</si>
  <si>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</si>
  <si>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</si>
  <si>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</si>
  <si>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</si>
  <si>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</si>
  <si>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</si>
  <si>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</si>
  <si>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</si>
  <si>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</si>
  <si>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</si>
  <si>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</si>
  <si>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</si>
  <si>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</si>
  <si>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</si>
  <si>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</si>
  <si>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</si>
  <si>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</si>
  <si>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</si>
  <si>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</si>
  <si>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</si>
  <si>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</si>
  <si>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</si>
  <si>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</si>
  <si>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</si>
  <si>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</si>
  <si>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</si>
  <si>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</si>
  <si>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</si>
  <si>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</si>
  <si>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</si>
  <si>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</si>
  <si>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</si>
  <si>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</si>
  <si>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</si>
  <si>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</si>
  <si>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</si>
  <si>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</si>
  <si>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</si>
  <si>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</si>
  <si>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</si>
  <si>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</si>
  <si>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</si>
  <si>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</si>
  <si>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</si>
  <si>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</si>
  <si>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</si>
  <si>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</si>
  <si>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</si>
  <si>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</si>
  <si>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</si>
  <si>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</si>
  <si>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</si>
  <si>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</si>
  <si>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</si>
  <si>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</si>
  <si>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</si>
  <si>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</si>
  <si>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</si>
  <si>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</si>
  <si>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</si>
  <si>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</si>
  <si>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</si>
  <si>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</si>
  <si>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</si>
  <si>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</si>
  <si>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</si>
  <si>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</si>
  <si>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</si>
  <si>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</si>
  <si>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</si>
  <si>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</si>
  <si>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</si>
  <si>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</si>
  <si>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</si>
  <si>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</si>
  <si>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</si>
  <si>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</si>
  <si>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</si>
  <si>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</si>
  <si>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</si>
  <si>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</si>
  <si>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</si>
  <si>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</si>
  <si>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</si>
  <si>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</si>
  <si>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</si>
  <si>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</si>
  <si>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</si>
  <si>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</si>
  <si>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</si>
  <si>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</si>
  <si>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</si>
  <si>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</si>
  <si>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</si>
  <si>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</si>
  <si>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</si>
  <si>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</si>
  <si>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</si>
  <si>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</si>
  <si>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</si>
  <si>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</si>
  <si>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</si>
  <si>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</si>
  <si>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</si>
  <si>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</si>
  <si>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</si>
  <si>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</si>
  <si>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</si>
  <si>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</si>
  <si>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</si>
  <si>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</si>
  <si>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</si>
  <si>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</si>
  <si>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</si>
  <si>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</si>
  <si>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</si>
  <si>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</si>
  <si>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</si>
  <si>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</si>
  <si>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</si>
  <si>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</si>
  <si>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</si>
  <si>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</si>
  <si>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</si>
  <si>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</si>
  <si>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</si>
  <si>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</si>
  <si>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</si>
  <si>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</si>
  <si>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</si>
  <si>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</si>
  <si>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</si>
  <si>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</si>
  <si>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</si>
  <si>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</si>
  <si>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</si>
  <si>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</si>
  <si>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</si>
  <si>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</si>
  <si>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</si>
  <si>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</si>
  <si>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</si>
  <si>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</si>
  <si>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</si>
  <si>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</si>
  <si>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</si>
  <si>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</si>
  <si>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</si>
  <si>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</si>
  <si>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</si>
  <si>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</si>
  <si>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</si>
  <si>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</si>
  <si>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</si>
  <si>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</si>
  <si>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</si>
  <si>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</si>
  <si>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</si>
  <si>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</si>
  <si>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</si>
  <si>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</si>
  <si>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</si>
  <si>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</si>
  <si>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</si>
  <si>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</si>
  <si>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</si>
  <si>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</si>
  <si>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</si>
  <si>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</si>
  <si>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</si>
  <si>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</si>
  <si>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</si>
  <si>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</si>
  <si>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</si>
  <si>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</si>
  <si>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</si>
  <si>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</si>
  <si>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</si>
  <si>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</si>
  <si>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</si>
  <si>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</si>
  <si>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</si>
  <si>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</si>
  <si>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</si>
  <si>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</si>
  <si>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</si>
  <si>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</si>
  <si>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</si>
  <si>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</si>
  <si>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</si>
  <si>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</si>
  <si>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</si>
  <si>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</si>
  <si>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</si>
  <si>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</si>
  <si>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</si>
  <si>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</si>
  <si>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</si>
  <si>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</si>
  <si>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</si>
  <si>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</si>
  <si>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</si>
  <si>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</si>
  <si>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</si>
  <si>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</si>
  <si>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</si>
  <si>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</si>
  <si>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</si>
  <si>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</si>
  <si>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</si>
  <si>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</si>
  <si>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</si>
  <si>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</si>
  <si>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</si>
  <si>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</si>
  <si>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</si>
  <si>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</si>
  <si>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</si>
  <si>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</si>
  <si>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</si>
  <si>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</si>
  <si>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</si>
  <si>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</si>
  <si>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</si>
  <si>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</si>
  <si>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</si>
  <si>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</si>
  <si>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</si>
  <si>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</si>
  <si>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</si>
  <si>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</si>
  <si>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</si>
  <si>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</si>
  <si>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</si>
  <si>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</si>
  <si>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</si>
  <si>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</si>
  <si>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</si>
  <si>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</si>
  <si>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</si>
  <si>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</si>
  <si>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</si>
  <si>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</si>
  <si>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</si>
  <si>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</si>
  <si>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</si>
  <si>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</si>
  <si>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</si>
  <si>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</si>
  <si>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</si>
  <si>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</si>
  <si>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</si>
  <si>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</si>
  <si>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</si>
  <si>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</si>
  <si>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</si>
  <si>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</si>
  <si>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</si>
  <si>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</si>
  <si>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</si>
  <si>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</si>
  <si>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</si>
  <si>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</si>
  <si>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</si>
  <si>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</si>
  <si>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</si>
  <si>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</si>
  <si>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</si>
  <si>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</si>
  <si>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</si>
  <si>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</si>
  <si>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</si>
  <si>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</si>
  <si>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</si>
  <si>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</si>
  <si>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</si>
  <si>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</si>
  <si>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</si>
  <si>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</si>
  <si>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</si>
  <si>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</si>
  <si>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</si>
  <si>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</si>
  <si>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</si>
  <si>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</si>
  <si>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</si>
  <si>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</si>
  <si>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</si>
  <si>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</si>
  <si>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</si>
  <si>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</si>
  <si>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</si>
  <si>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</si>
  <si>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</si>
  <si>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</si>
  <si>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</si>
  <si>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</si>
  <si>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</si>
  <si>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</si>
  <si>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</si>
  <si>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</si>
  <si>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</si>
  <si>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</si>
  <si>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</si>
  <si>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</si>
  <si>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</si>
  <si>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</si>
  <si>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</si>
  <si>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</si>
  <si>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</si>
  <si>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</si>
  <si>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</si>
  <si>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</si>
  <si>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</si>
  <si>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</si>
  <si>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</si>
  <si>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</si>
  <si>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</si>
  <si>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</si>
  <si>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</si>
  <si>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</si>
  <si>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</si>
  <si>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</si>
  <si>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</si>
  <si>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</si>
  <si>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</si>
  <si>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</si>
  <si>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</si>
  <si>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</si>
  <si>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</si>
  <si>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</si>
  <si>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</si>
  <si>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</si>
  <si>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</si>
  <si>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</si>
  <si>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</si>
  <si>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</si>
  <si>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</si>
  <si>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</si>
  <si>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</si>
  <si>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</si>
  <si>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</si>
  <si>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</si>
  <si>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</si>
  <si>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</si>
  <si>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</si>
  <si>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</si>
  <si>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</si>
  <si>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</si>
  <si>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</si>
  <si>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</si>
  <si>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</si>
  <si>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</si>
  <si>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</si>
  <si>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</si>
  <si>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</si>
  <si>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</si>
  <si>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</si>
  <si>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</si>
  <si>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</si>
  <si>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</si>
  <si>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</si>
  <si>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</si>
  <si>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</si>
  <si>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</si>
  <si>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</si>
  <si>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</si>
  <si>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</si>
  <si>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</si>
  <si>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</si>
  <si>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</si>
  <si>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</si>
  <si>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</si>
  <si>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</si>
  <si>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</si>
  <si>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</si>
  <si>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</si>
  <si>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</si>
  <si>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</si>
  <si>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</si>
  <si>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</si>
  <si>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</si>
  <si>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</si>
  <si>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</si>
  <si>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</si>
  <si>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</si>
  <si>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</si>
  <si>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</si>
  <si>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</si>
  <si>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</si>
  <si>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</si>
  <si>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</si>
  <si>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</si>
  <si>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</si>
  <si>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</si>
  <si>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</si>
  <si>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</si>
  <si>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</si>
  <si>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</si>
  <si>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</si>
  <si>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</si>
  <si>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</si>
  <si>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</si>
  <si>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</si>
  <si>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</si>
  <si>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</si>
  <si>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</si>
  <si>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</si>
  <si>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</si>
  <si>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</si>
  <si>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</si>
  <si>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</si>
  <si>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</si>
  <si>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</si>
  <si>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</si>
  <si>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</si>
  <si>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</si>
  <si>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</si>
  <si>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</si>
  <si>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</si>
  <si>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</si>
  <si>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</si>
  <si>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</si>
  <si>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</si>
  <si>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</si>
  <si>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</si>
  <si>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</si>
  <si>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</si>
  <si>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</si>
  <si>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</si>
  <si>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</si>
  <si>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</si>
  <si>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</si>
  <si>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</si>
  <si>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</si>
  <si>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</si>
  <si>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</si>
  <si>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</si>
  <si>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</si>
  <si>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</si>
  <si>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</si>
  <si>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</si>
  <si>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</si>
  <si>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</si>
  <si>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</si>
  <si>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</si>
  <si>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</si>
  <si>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</si>
  <si>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</si>
  <si>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</si>
  <si>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</si>
  <si>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</si>
  <si>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</si>
  <si>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</si>
  <si>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</si>
  <si>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</si>
  <si>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</si>
  <si>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</si>
  <si>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</si>
  <si>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</si>
  <si>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</si>
  <si>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</si>
  <si>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</si>
  <si>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</si>
  <si>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</si>
  <si>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</si>
  <si>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</si>
  <si>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</si>
  <si>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</si>
  <si>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</si>
  <si>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</si>
  <si>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</si>
  <si>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</si>
  <si>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</si>
  <si>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</si>
  <si>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</si>
  <si>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</si>
  <si>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</si>
  <si>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</si>
  <si>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</si>
  <si>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</si>
  <si>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</si>
  <si>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</si>
  <si>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</si>
  <si>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</si>
  <si>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</si>
  <si>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</si>
  <si>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</si>
  <si>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</si>
  <si>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</si>
  <si>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</si>
  <si>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</si>
  <si>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</si>
  <si>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</si>
  <si>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</si>
  <si>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</si>
  <si>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</si>
  <si>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</si>
  <si>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</si>
  <si>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</si>
  <si>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</si>
  <si>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</si>
  <si>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</si>
  <si>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</si>
  <si>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</si>
  <si>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</si>
  <si>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</si>
  <si>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</si>
  <si>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</si>
  <si>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</si>
  <si>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</si>
  <si>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</si>
  <si>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</si>
  <si>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</si>
  <si>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</si>
  <si>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</si>
  <si>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</si>
  <si>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</si>
  <si>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</si>
  <si>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</si>
  <si>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</si>
  <si>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</si>
  <si>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</si>
  <si>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</si>
  <si>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</si>
  <si>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</si>
  <si>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</si>
  <si>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</si>
  <si>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</si>
  <si>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</si>
  <si>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</si>
  <si>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</si>
  <si>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</si>
  <si>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</si>
  <si>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</si>
  <si>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</si>
  <si>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</si>
  <si>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</si>
  <si>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</si>
  <si>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</si>
  <si>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</si>
  <si>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</si>
  <si>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</si>
  <si>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</si>
  <si>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</si>
  <si>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</si>
  <si>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</si>
  <si>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</si>
  <si>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</si>
  <si>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</si>
  <si>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</si>
  <si>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</si>
  <si>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</si>
  <si>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</si>
  <si>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</si>
  <si>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</si>
  <si>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</si>
  <si>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</si>
  <si>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</si>
  <si>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</si>
  <si>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</si>
  <si>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</si>
  <si>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</si>
  <si>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</si>
  <si>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</si>
  <si>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</si>
  <si>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</si>
  <si>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</si>
  <si>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</si>
  <si>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</si>
  <si>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</si>
  <si>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</si>
  <si>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</si>
  <si>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</si>
  <si>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</si>
  <si>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</si>
  <si>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</si>
  <si>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</si>
  <si>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</si>
  <si>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</si>
  <si>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</si>
  <si>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</si>
  <si>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</si>
  <si>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</si>
  <si>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</si>
  <si>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</si>
  <si>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</si>
  <si>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</si>
  <si>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</si>
  <si>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</si>
  <si>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</si>
  <si>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</si>
  <si>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</si>
  <si>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</si>
  <si>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</si>
  <si>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</si>
  <si>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</si>
  <si>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</si>
  <si>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</si>
  <si>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</si>
  <si>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</si>
  <si>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</si>
  <si>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</si>
  <si>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</si>
  <si>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</si>
  <si>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</si>
  <si>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</si>
  <si>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</si>
  <si>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</si>
  <si>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</si>
  <si>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13017</t>
  </si>
  <si>
    <t>KASTERLEE</t>
  </si>
  <si>
    <t>Paarden&amp;pony's 200 - 600 kg</t>
  </si>
  <si>
    <t>Paarden&amp;pony's &lt; 200 kg</t>
  </si>
  <si>
    <t>Fluvius</t>
  </si>
  <si>
    <t>referentietaak LNE (2017); Jaarverslag De Lijn</t>
  </si>
  <si>
    <t>stirlingmotor</t>
  </si>
  <si>
    <t>IVEKA</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</si>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</sst>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DF617B73-6CC2-4E4D-A6B3-2E594F05140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13017</v>
      </c>
      <c r="B6" s="384"/>
      <c r="C6" s="385"/>
    </row>
    <row r="7" spans="1:7" s="382" customFormat="1" ht="15.75" customHeight="1">
      <c r="A7" s="386" t="str">
        <f>txtMunicipality</f>
        <v>KASTERLEE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23633.418438157834</v>
      </c>
      <c r="D10" s="674">
        <f ca="1">tertiair!C16</f>
        <v>0</v>
      </c>
      <c r="E10" s="674">
        <f ca="1">tertiair!D16</f>
        <v>22484.010746162578</v>
      </c>
      <c r="F10" s="674">
        <f>tertiair!E16</f>
        <v>366.26737615380989</v>
      </c>
      <c r="G10" s="674">
        <f ca="1">tertiair!F16</f>
        <v>4657.5875476272013</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4.6900000000000004</v>
      </c>
      <c r="Q10" s="675">
        <f>tertiair!P16</f>
        <v>19.066666666666666</v>
      </c>
      <c r="R10" s="677">
        <f ca="1">SUM(C10:Q10)</f>
        <v>51165.040774768087</v>
      </c>
      <c r="S10" s="68"/>
    </row>
    <row r="11" spans="1:19" s="443" customFormat="1">
      <c r="A11" s="789" t="s">
        <v>214</v>
      </c>
      <c r="B11" s="794"/>
      <c r="C11" s="674">
        <f>huishoudens!B8</f>
        <v>33389.744241415872</v>
      </c>
      <c r="D11" s="674">
        <f>huishoudens!C8</f>
        <v>0</v>
      </c>
      <c r="E11" s="674">
        <f>huishoudens!D8</f>
        <v>66986.631743767721</v>
      </c>
      <c r="F11" s="674">
        <f>huishoudens!E8</f>
        <v>1871.3704297153859</v>
      </c>
      <c r="G11" s="674">
        <f>huishoudens!F8</f>
        <v>57052.651259997925</v>
      </c>
      <c r="H11" s="674">
        <f>huishoudens!G8</f>
        <v>0</v>
      </c>
      <c r="I11" s="674">
        <f>huishoudens!H8</f>
        <v>0</v>
      </c>
      <c r="J11" s="674">
        <f>huishoudens!I8</f>
        <v>0</v>
      </c>
      <c r="K11" s="674">
        <f>huishoudens!J8</f>
        <v>1035.2004773540145</v>
      </c>
      <c r="L11" s="674">
        <f>huishoudens!K8</f>
        <v>0</v>
      </c>
      <c r="M11" s="674">
        <f>huishoudens!L8</f>
        <v>0</v>
      </c>
      <c r="N11" s="674">
        <f>huishoudens!M8</f>
        <v>0</v>
      </c>
      <c r="O11" s="674">
        <f>huishoudens!N8</f>
        <v>10588.878594451187</v>
      </c>
      <c r="P11" s="674">
        <f>huishoudens!O8</f>
        <v>165.71333333333337</v>
      </c>
      <c r="Q11" s="675">
        <f>huishoudens!P8</f>
        <v>705.4666666666667</v>
      </c>
      <c r="R11" s="677">
        <f>SUM(C11:Q11)</f>
        <v>171795.65674670212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13080.377497912146</v>
      </c>
      <c r="D13" s="674">
        <f>industrie!C18</f>
        <v>0</v>
      </c>
      <c r="E13" s="674">
        <f>industrie!D18</f>
        <v>3951.7015167451077</v>
      </c>
      <c r="F13" s="674">
        <f>industrie!E18</f>
        <v>125.4661191472216</v>
      </c>
      <c r="G13" s="674">
        <f>industrie!F18</f>
        <v>2377.6580804301648</v>
      </c>
      <c r="H13" s="674">
        <f>industrie!G18</f>
        <v>0</v>
      </c>
      <c r="I13" s="674">
        <f>industrie!H18</f>
        <v>0</v>
      </c>
      <c r="J13" s="674">
        <f>industrie!I18</f>
        <v>0</v>
      </c>
      <c r="K13" s="674">
        <f>industrie!J18</f>
        <v>4.5741132351522724</v>
      </c>
      <c r="L13" s="674">
        <f>industrie!K18</f>
        <v>0</v>
      </c>
      <c r="M13" s="674">
        <f>industrie!L18</f>
        <v>0</v>
      </c>
      <c r="N13" s="674">
        <f>industrie!M18</f>
        <v>0</v>
      </c>
      <c r="O13" s="674">
        <f>industrie!N18</f>
        <v>316.85032047527142</v>
      </c>
      <c r="P13" s="674">
        <f>industrie!O18</f>
        <v>0</v>
      </c>
      <c r="Q13" s="675">
        <f>industrie!P18</f>
        <v>0</v>
      </c>
      <c r="R13" s="677">
        <f>SUM(C13:Q13)</f>
        <v>19856.627647945068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70103.540177485862</v>
      </c>
      <c r="D16" s="707">
        <f t="shared" ref="D16:R16" ca="1" si="0">SUM(D9:D15)</f>
        <v>0</v>
      </c>
      <c r="E16" s="707">
        <f t="shared" ca="1" si="0"/>
        <v>93422.344006675397</v>
      </c>
      <c r="F16" s="707">
        <f t="shared" si="0"/>
        <v>2363.1039250164172</v>
      </c>
      <c r="G16" s="707">
        <f t="shared" ca="1" si="0"/>
        <v>64087.896888055286</v>
      </c>
      <c r="H16" s="707">
        <f t="shared" si="0"/>
        <v>0</v>
      </c>
      <c r="I16" s="707">
        <f t="shared" si="0"/>
        <v>0</v>
      </c>
      <c r="J16" s="707">
        <f t="shared" si="0"/>
        <v>0</v>
      </c>
      <c r="K16" s="707">
        <f t="shared" si="0"/>
        <v>1039.7745905891668</v>
      </c>
      <c r="L16" s="707">
        <f t="shared" si="0"/>
        <v>0</v>
      </c>
      <c r="M16" s="707">
        <f t="shared" ca="1" si="0"/>
        <v>0</v>
      </c>
      <c r="N16" s="707">
        <f t="shared" si="0"/>
        <v>0</v>
      </c>
      <c r="O16" s="707">
        <f t="shared" ca="1" si="0"/>
        <v>10905.728914926458</v>
      </c>
      <c r="P16" s="707">
        <f t="shared" si="0"/>
        <v>170.40333333333336</v>
      </c>
      <c r="Q16" s="707">
        <f t="shared" si="0"/>
        <v>724.53333333333342</v>
      </c>
      <c r="R16" s="707">
        <f t="shared" ca="1" si="0"/>
        <v>242817.32516941527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7.6223733675255971</v>
      </c>
      <c r="D19" s="674">
        <f>transport!C54</f>
        <v>0</v>
      </c>
      <c r="E19" s="674">
        <f>transport!D54</f>
        <v>0</v>
      </c>
      <c r="F19" s="674">
        <f>transport!E54</f>
        <v>0</v>
      </c>
      <c r="G19" s="674">
        <f>transport!F54</f>
        <v>0</v>
      </c>
      <c r="H19" s="674">
        <f>transport!G54</f>
        <v>1520.2973961601808</v>
      </c>
      <c r="I19" s="674">
        <f>transport!H54</f>
        <v>0</v>
      </c>
      <c r="J19" s="674">
        <f>transport!I54</f>
        <v>0</v>
      </c>
      <c r="K19" s="674">
        <f>transport!J54</f>
        <v>0</v>
      </c>
      <c r="L19" s="674">
        <f>transport!K54</f>
        <v>0</v>
      </c>
      <c r="M19" s="674">
        <f>transport!L54</f>
        <v>0</v>
      </c>
      <c r="N19" s="674">
        <f>transport!M54</f>
        <v>67.195525702661129</v>
      </c>
      <c r="O19" s="674">
        <f>transport!N54</f>
        <v>0</v>
      </c>
      <c r="P19" s="674">
        <f>transport!O54</f>
        <v>0</v>
      </c>
      <c r="Q19" s="675">
        <f>transport!P54</f>
        <v>0</v>
      </c>
      <c r="R19" s="677">
        <f>SUM(C19:Q19)</f>
        <v>1595.1152952303676</v>
      </c>
      <c r="S19" s="68"/>
    </row>
    <row r="20" spans="1:19" s="443" customFormat="1">
      <c r="A20" s="789" t="s">
        <v>296</v>
      </c>
      <c r="B20" s="794"/>
      <c r="C20" s="674">
        <f>transport!B14</f>
        <v>4.7619476917274488</v>
      </c>
      <c r="D20" s="674">
        <f>transport!C14</f>
        <v>0</v>
      </c>
      <c r="E20" s="674">
        <f>transport!D14</f>
        <v>6.0127216292046208</v>
      </c>
      <c r="F20" s="674">
        <f>transport!E14</f>
        <v>384.82874602414506</v>
      </c>
      <c r="G20" s="674">
        <f>transport!F14</f>
        <v>0</v>
      </c>
      <c r="H20" s="674">
        <f>transport!G14</f>
        <v>78541.298424966531</v>
      </c>
      <c r="I20" s="674">
        <f>transport!H14</f>
        <v>14492.026057085595</v>
      </c>
      <c r="J20" s="674">
        <f>transport!I14</f>
        <v>0</v>
      </c>
      <c r="K20" s="674">
        <f>transport!J14</f>
        <v>0</v>
      </c>
      <c r="L20" s="674">
        <f>transport!K14</f>
        <v>0</v>
      </c>
      <c r="M20" s="674">
        <f>transport!L14</f>
        <v>0</v>
      </c>
      <c r="N20" s="674">
        <f>transport!M14</f>
        <v>4158.5613597301435</v>
      </c>
      <c r="O20" s="674">
        <f>transport!N14</f>
        <v>0</v>
      </c>
      <c r="P20" s="674">
        <f>transport!O14</f>
        <v>0</v>
      </c>
      <c r="Q20" s="675">
        <f>transport!P14</f>
        <v>0</v>
      </c>
      <c r="R20" s="677">
        <f>SUM(C20:Q20)</f>
        <v>97587.489257127338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12.384321059253047</v>
      </c>
      <c r="D22" s="792">
        <f t="shared" ref="D22:R22" si="1">SUM(D18:D21)</f>
        <v>0</v>
      </c>
      <c r="E22" s="792">
        <f t="shared" si="1"/>
        <v>6.0127216292046208</v>
      </c>
      <c r="F22" s="792">
        <f t="shared" si="1"/>
        <v>384.82874602414506</v>
      </c>
      <c r="G22" s="792">
        <f t="shared" si="1"/>
        <v>0</v>
      </c>
      <c r="H22" s="792">
        <f t="shared" si="1"/>
        <v>80061.595821126713</v>
      </c>
      <c r="I22" s="792">
        <f t="shared" si="1"/>
        <v>14492.026057085595</v>
      </c>
      <c r="J22" s="792">
        <f t="shared" si="1"/>
        <v>0</v>
      </c>
      <c r="K22" s="792">
        <f t="shared" si="1"/>
        <v>0</v>
      </c>
      <c r="L22" s="792">
        <f t="shared" si="1"/>
        <v>0</v>
      </c>
      <c r="M22" s="792">
        <f t="shared" si="1"/>
        <v>0</v>
      </c>
      <c r="N22" s="792">
        <f t="shared" si="1"/>
        <v>4225.7568854328047</v>
      </c>
      <c r="O22" s="792">
        <f t="shared" si="1"/>
        <v>0</v>
      </c>
      <c r="P22" s="792">
        <f t="shared" si="1"/>
        <v>0</v>
      </c>
      <c r="Q22" s="792">
        <f t="shared" si="1"/>
        <v>0</v>
      </c>
      <c r="R22" s="792">
        <f t="shared" si="1"/>
        <v>99182.604552357705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4223.2666949307541</v>
      </c>
      <c r="D24" s="674">
        <f>+landbouw!C8</f>
        <v>7.5</v>
      </c>
      <c r="E24" s="674">
        <f>+landbouw!D8</f>
        <v>103.50856792722568</v>
      </c>
      <c r="F24" s="674">
        <f>+landbouw!E8</f>
        <v>39.786001947755615</v>
      </c>
      <c r="G24" s="674">
        <f>+landbouw!F8</f>
        <v>13781.920804683843</v>
      </c>
      <c r="H24" s="674">
        <f>+landbouw!G8</f>
        <v>0</v>
      </c>
      <c r="I24" s="674">
        <f>+landbouw!H8</f>
        <v>0</v>
      </c>
      <c r="J24" s="674">
        <f>+landbouw!I8</f>
        <v>0</v>
      </c>
      <c r="K24" s="674">
        <f>+landbouw!J8</f>
        <v>522.43863212819235</v>
      </c>
      <c r="L24" s="674">
        <f>+landbouw!K8</f>
        <v>0</v>
      </c>
      <c r="M24" s="674">
        <f>+landbouw!L8</f>
        <v>0</v>
      </c>
      <c r="N24" s="674">
        <f>+landbouw!M8</f>
        <v>0</v>
      </c>
      <c r="O24" s="674">
        <f>+landbouw!N8</f>
        <v>0</v>
      </c>
      <c r="P24" s="674">
        <f>+landbouw!O8</f>
        <v>0</v>
      </c>
      <c r="Q24" s="675">
        <f>+landbouw!P8</f>
        <v>0</v>
      </c>
      <c r="R24" s="677">
        <f>SUM(C24:Q24)</f>
        <v>18678.420701617772</v>
      </c>
      <c r="S24" s="68"/>
    </row>
    <row r="25" spans="1:19" s="443" customFormat="1" ht="15" thickBot="1">
      <c r="A25" s="811" t="s">
        <v>873</v>
      </c>
      <c r="B25" s="977"/>
      <c r="C25" s="978">
        <f>IF(Onbekend_ele_kWh="---",0,Onbekend_ele_kWh)/1000+IF(REST_rest_ele_kWh="---",0,REST_rest_ele_kWh)/1000</f>
        <v>2096.8370034077302</v>
      </c>
      <c r="D25" s="978"/>
      <c r="E25" s="978">
        <f>IF(onbekend_gas_kWh="---",0,onbekend_gas_kWh)/1000+IF(REST_rest_gas_kWh="---",0,REST_rest_gas_kWh)/1000</f>
        <v>4207.1207956968701</v>
      </c>
      <c r="F25" s="978"/>
      <c r="G25" s="978"/>
      <c r="H25" s="978"/>
      <c r="I25" s="978"/>
      <c r="J25" s="978"/>
      <c r="K25" s="978"/>
      <c r="L25" s="978"/>
      <c r="M25" s="978"/>
      <c r="N25" s="978"/>
      <c r="O25" s="978"/>
      <c r="P25" s="978"/>
      <c r="Q25" s="979"/>
      <c r="R25" s="677">
        <f>SUM(C25:Q25)</f>
        <v>6303.9577991046008</v>
      </c>
      <c r="S25" s="68"/>
    </row>
    <row r="26" spans="1:19" s="443" customFormat="1" ht="15.75" thickBot="1">
      <c r="A26" s="680" t="s">
        <v>874</v>
      </c>
      <c r="B26" s="797"/>
      <c r="C26" s="792">
        <f>SUM(C24:C25)</f>
        <v>6320.1036983384838</v>
      </c>
      <c r="D26" s="792">
        <f t="shared" ref="D26:R26" si="2">SUM(D24:D25)</f>
        <v>7.5</v>
      </c>
      <c r="E26" s="792">
        <f t="shared" si="2"/>
        <v>4310.6293636240962</v>
      </c>
      <c r="F26" s="792">
        <f t="shared" si="2"/>
        <v>39.786001947755615</v>
      </c>
      <c r="G26" s="792">
        <f t="shared" si="2"/>
        <v>13781.920804683843</v>
      </c>
      <c r="H26" s="792">
        <f t="shared" si="2"/>
        <v>0</v>
      </c>
      <c r="I26" s="792">
        <f t="shared" si="2"/>
        <v>0</v>
      </c>
      <c r="J26" s="792">
        <f t="shared" si="2"/>
        <v>0</v>
      </c>
      <c r="K26" s="792">
        <f t="shared" si="2"/>
        <v>522.43863212819235</v>
      </c>
      <c r="L26" s="792">
        <f t="shared" si="2"/>
        <v>0</v>
      </c>
      <c r="M26" s="792">
        <f t="shared" si="2"/>
        <v>0</v>
      </c>
      <c r="N26" s="792">
        <f t="shared" si="2"/>
        <v>0</v>
      </c>
      <c r="O26" s="792">
        <f t="shared" si="2"/>
        <v>0</v>
      </c>
      <c r="P26" s="792">
        <f t="shared" si="2"/>
        <v>0</v>
      </c>
      <c r="Q26" s="792">
        <f t="shared" si="2"/>
        <v>0</v>
      </c>
      <c r="R26" s="792">
        <f t="shared" si="2"/>
        <v>24982.378500722371</v>
      </c>
      <c r="S26" s="68"/>
    </row>
    <row r="27" spans="1:19" s="443" customFormat="1" ht="17.25" thickTop="1" thickBot="1">
      <c r="A27" s="681" t="s">
        <v>109</v>
      </c>
      <c r="B27" s="784"/>
      <c r="C27" s="682">
        <f ca="1">C22+C16+C26</f>
        <v>76436.028196883592</v>
      </c>
      <c r="D27" s="682">
        <f t="shared" ref="D27:R27" ca="1" si="3">D22+D16+D26</f>
        <v>7.5</v>
      </c>
      <c r="E27" s="682">
        <f t="shared" ca="1" si="3"/>
        <v>97738.986091928702</v>
      </c>
      <c r="F27" s="682">
        <f t="shared" si="3"/>
        <v>2787.7186729883178</v>
      </c>
      <c r="G27" s="682">
        <f t="shared" ca="1" si="3"/>
        <v>77869.817692739132</v>
      </c>
      <c r="H27" s="682">
        <f t="shared" si="3"/>
        <v>80061.595821126713</v>
      </c>
      <c r="I27" s="682">
        <f t="shared" si="3"/>
        <v>14492.026057085595</v>
      </c>
      <c r="J27" s="682">
        <f t="shared" si="3"/>
        <v>0</v>
      </c>
      <c r="K27" s="682">
        <f t="shared" si="3"/>
        <v>1562.2132227173593</v>
      </c>
      <c r="L27" s="682">
        <f t="shared" si="3"/>
        <v>0</v>
      </c>
      <c r="M27" s="682">
        <f t="shared" ca="1" si="3"/>
        <v>0</v>
      </c>
      <c r="N27" s="682">
        <f t="shared" si="3"/>
        <v>4225.7568854328047</v>
      </c>
      <c r="O27" s="682">
        <f t="shared" ca="1" si="3"/>
        <v>10905.728914926458</v>
      </c>
      <c r="P27" s="682">
        <f t="shared" si="3"/>
        <v>170.40333333333336</v>
      </c>
      <c r="Q27" s="682">
        <f t="shared" si="3"/>
        <v>724.53333333333342</v>
      </c>
      <c r="R27" s="682">
        <f t="shared" ca="1" si="3"/>
        <v>366982.30822249531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4674.7155828521672</v>
      </c>
      <c r="D40" s="674">
        <f ca="1">tertiair!C20</f>
        <v>0</v>
      </c>
      <c r="E40" s="674">
        <f ca="1">tertiair!D20</f>
        <v>4541.7701707248407</v>
      </c>
      <c r="F40" s="674">
        <f>tertiair!E20</f>
        <v>83.142694386914854</v>
      </c>
      <c r="G40" s="674">
        <f ca="1">tertiair!F20</f>
        <v>1243.5758752164629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10543.204323180387</v>
      </c>
    </row>
    <row r="41" spans="1:18">
      <c r="A41" s="802" t="s">
        <v>214</v>
      </c>
      <c r="B41" s="809"/>
      <c r="C41" s="674">
        <f ca="1">huishoudens!B12</f>
        <v>6604.5273188571282</v>
      </c>
      <c r="D41" s="674">
        <f ca="1">huishoudens!C12</f>
        <v>0</v>
      </c>
      <c r="E41" s="674">
        <f>huishoudens!D12</f>
        <v>13531.29961224108</v>
      </c>
      <c r="F41" s="674">
        <f>huishoudens!E12</f>
        <v>424.80108754539259</v>
      </c>
      <c r="G41" s="674">
        <f>huishoudens!F12</f>
        <v>15233.057886419447</v>
      </c>
      <c r="H41" s="674">
        <f>huishoudens!G12</f>
        <v>0</v>
      </c>
      <c r="I41" s="674">
        <f>huishoudens!H12</f>
        <v>0</v>
      </c>
      <c r="J41" s="674">
        <f>huishoudens!I12</f>
        <v>0</v>
      </c>
      <c r="K41" s="674">
        <f>huishoudens!J12</f>
        <v>366.46096898332115</v>
      </c>
      <c r="L41" s="674">
        <f>huishoudens!K12</f>
        <v>0</v>
      </c>
      <c r="M41" s="674">
        <f>huishoudens!L12</f>
        <v>0</v>
      </c>
      <c r="N41" s="674">
        <f>huishoudens!M12</f>
        <v>0</v>
      </c>
      <c r="O41" s="674">
        <f>huishoudens!N12</f>
        <v>0</v>
      </c>
      <c r="P41" s="674">
        <f>huishoudens!O12</f>
        <v>0</v>
      </c>
      <c r="Q41" s="749">
        <f>huishoudens!P12</f>
        <v>0</v>
      </c>
      <c r="R41" s="830">
        <f t="shared" ca="1" si="4"/>
        <v>36160.146874046368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2587.3127359498908</v>
      </c>
      <c r="D43" s="674">
        <f ca="1">industrie!C22</f>
        <v>0</v>
      </c>
      <c r="E43" s="674">
        <f>industrie!D22</f>
        <v>798.24370638251185</v>
      </c>
      <c r="F43" s="674">
        <f>industrie!E22</f>
        <v>28.480809046419306</v>
      </c>
      <c r="G43" s="674">
        <f>industrie!F22</f>
        <v>634.83470747485399</v>
      </c>
      <c r="H43" s="674">
        <f>industrie!G22</f>
        <v>0</v>
      </c>
      <c r="I43" s="674">
        <f>industrie!H22</f>
        <v>0</v>
      </c>
      <c r="J43" s="674">
        <f>industrie!I22</f>
        <v>0</v>
      </c>
      <c r="K43" s="674">
        <f>industrie!J22</f>
        <v>1.6192360852439043</v>
      </c>
      <c r="L43" s="674">
        <f>industrie!K22</f>
        <v>0</v>
      </c>
      <c r="M43" s="674">
        <f>industrie!L22</f>
        <v>0</v>
      </c>
      <c r="N43" s="674">
        <f>industrie!M22</f>
        <v>0</v>
      </c>
      <c r="O43" s="674">
        <f>industrie!N22</f>
        <v>0</v>
      </c>
      <c r="P43" s="674">
        <f>industrie!O22</f>
        <v>0</v>
      </c>
      <c r="Q43" s="749">
        <f>industrie!P22</f>
        <v>0</v>
      </c>
      <c r="R43" s="829">
        <f t="shared" ca="1" si="4"/>
        <v>4050.4911949389198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13866.555637659185</v>
      </c>
      <c r="D46" s="707">
        <f t="shared" ref="D46:Q46" ca="1" si="5">SUM(D39:D45)</f>
        <v>0</v>
      </c>
      <c r="E46" s="707">
        <f t="shared" ca="1" si="5"/>
        <v>18871.313489348435</v>
      </c>
      <c r="F46" s="707">
        <f t="shared" si="5"/>
        <v>536.42459097872677</v>
      </c>
      <c r="G46" s="707">
        <f t="shared" ca="1" si="5"/>
        <v>17111.468469110761</v>
      </c>
      <c r="H46" s="707">
        <f t="shared" si="5"/>
        <v>0</v>
      </c>
      <c r="I46" s="707">
        <f t="shared" si="5"/>
        <v>0</v>
      </c>
      <c r="J46" s="707">
        <f t="shared" si="5"/>
        <v>0</v>
      </c>
      <c r="K46" s="707">
        <f t="shared" si="5"/>
        <v>368.08020506856508</v>
      </c>
      <c r="L46" s="707">
        <f t="shared" si="5"/>
        <v>0</v>
      </c>
      <c r="M46" s="707">
        <f t="shared" ca="1" si="5"/>
        <v>0</v>
      </c>
      <c r="N46" s="707">
        <f t="shared" si="5"/>
        <v>0</v>
      </c>
      <c r="O46" s="707">
        <f t="shared" ca="1" si="5"/>
        <v>0</v>
      </c>
      <c r="P46" s="707">
        <f t="shared" si="5"/>
        <v>0</v>
      </c>
      <c r="Q46" s="707">
        <f t="shared" si="5"/>
        <v>0</v>
      </c>
      <c r="R46" s="707">
        <f ca="1">SUM(R39:R45)</f>
        <v>50753.842392165679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1.5077136493279435</v>
      </c>
      <c r="D49" s="674">
        <f ca="1">transport!C58</f>
        <v>0</v>
      </c>
      <c r="E49" s="674">
        <f>transport!D58</f>
        <v>0</v>
      </c>
      <c r="F49" s="674">
        <f>transport!E58</f>
        <v>0</v>
      </c>
      <c r="G49" s="674">
        <f>transport!F58</f>
        <v>0</v>
      </c>
      <c r="H49" s="674">
        <f>transport!G58</f>
        <v>405.91940477476828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407.42711842409625</v>
      </c>
    </row>
    <row r="50" spans="1:18">
      <c r="A50" s="805" t="s">
        <v>296</v>
      </c>
      <c r="B50" s="815"/>
      <c r="C50" s="984">
        <f ca="1">transport!B18</f>
        <v>0.9419183745041152</v>
      </c>
      <c r="D50" s="984">
        <f>transport!C18</f>
        <v>0</v>
      </c>
      <c r="E50" s="984">
        <f>transport!D18</f>
        <v>1.2145697690993336</v>
      </c>
      <c r="F50" s="984">
        <f>transport!E18</f>
        <v>87.356125347480926</v>
      </c>
      <c r="G50" s="984">
        <f>transport!F18</f>
        <v>0</v>
      </c>
      <c r="H50" s="984">
        <f>transport!G18</f>
        <v>20970.526679466064</v>
      </c>
      <c r="I50" s="984">
        <f>transport!H18</f>
        <v>3608.5144882143131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24668.553781171464</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2.4496320238320588</v>
      </c>
      <c r="D52" s="707">
        <f t="shared" ref="D52:Q52" ca="1" si="6">SUM(D48:D51)</f>
        <v>0</v>
      </c>
      <c r="E52" s="707">
        <f t="shared" si="6"/>
        <v>1.2145697690993336</v>
      </c>
      <c r="F52" s="707">
        <f t="shared" si="6"/>
        <v>87.356125347480926</v>
      </c>
      <c r="G52" s="707">
        <f t="shared" si="6"/>
        <v>0</v>
      </c>
      <c r="H52" s="707">
        <f t="shared" si="6"/>
        <v>21376.446084240833</v>
      </c>
      <c r="I52" s="707">
        <f t="shared" si="6"/>
        <v>3608.5144882143131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25075.980899595561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835.36669403092276</v>
      </c>
      <c r="D54" s="984">
        <f ca="1">+landbouw!C12</f>
        <v>0</v>
      </c>
      <c r="E54" s="984">
        <f>+landbouw!D12</f>
        <v>20.908730721299591</v>
      </c>
      <c r="F54" s="984">
        <f>+landbouw!E12</f>
        <v>9.0314224421405243</v>
      </c>
      <c r="G54" s="984">
        <f>+landbouw!F12</f>
        <v>3679.7728548505861</v>
      </c>
      <c r="H54" s="984">
        <f>+landbouw!G12</f>
        <v>0</v>
      </c>
      <c r="I54" s="984">
        <f>+landbouw!H12</f>
        <v>0</v>
      </c>
      <c r="J54" s="984">
        <f>+landbouw!I12</f>
        <v>0</v>
      </c>
      <c r="K54" s="984">
        <f>+landbouw!J12</f>
        <v>184.94327577338009</v>
      </c>
      <c r="L54" s="984">
        <f>+landbouw!K12</f>
        <v>0</v>
      </c>
      <c r="M54" s="984">
        <f>+landbouw!L12</f>
        <v>0</v>
      </c>
      <c r="N54" s="984">
        <f>+landbouw!M12</f>
        <v>0</v>
      </c>
      <c r="O54" s="984">
        <f>+landbouw!N12</f>
        <v>0</v>
      </c>
      <c r="P54" s="984">
        <f>+landbouw!O12</f>
        <v>0</v>
      </c>
      <c r="Q54" s="985">
        <f>+landbouw!P12</f>
        <v>0</v>
      </c>
      <c r="R54" s="706">
        <f ca="1">SUM(C54:Q54)</f>
        <v>4730.0229778183293</v>
      </c>
    </row>
    <row r="55" spans="1:18" ht="15" thickBot="1">
      <c r="A55" s="805" t="s">
        <v>873</v>
      </c>
      <c r="B55" s="815"/>
      <c r="C55" s="984">
        <f ca="1">C25*'EF ele_warmte'!B12</f>
        <v>414.75661424861602</v>
      </c>
      <c r="D55" s="984"/>
      <c r="E55" s="984">
        <f>E25*EF_CO2_aardgas</f>
        <v>849.83840073076783</v>
      </c>
      <c r="F55" s="984"/>
      <c r="G55" s="984"/>
      <c r="H55" s="984"/>
      <c r="I55" s="984"/>
      <c r="J55" s="984"/>
      <c r="K55" s="984"/>
      <c r="L55" s="984"/>
      <c r="M55" s="984"/>
      <c r="N55" s="984"/>
      <c r="O55" s="984"/>
      <c r="P55" s="984"/>
      <c r="Q55" s="985"/>
      <c r="R55" s="706">
        <f ca="1">SUM(C55:Q55)</f>
        <v>1264.5950149793839</v>
      </c>
    </row>
    <row r="56" spans="1:18" ht="15.75" thickBot="1">
      <c r="A56" s="803" t="s">
        <v>874</v>
      </c>
      <c r="B56" s="816"/>
      <c r="C56" s="707">
        <f ca="1">SUM(C54:C55)</f>
        <v>1250.1233082795388</v>
      </c>
      <c r="D56" s="707">
        <f t="shared" ref="D56:Q56" ca="1" si="7">SUM(D54:D55)</f>
        <v>0</v>
      </c>
      <c r="E56" s="707">
        <f t="shared" si="7"/>
        <v>870.74713145206738</v>
      </c>
      <c r="F56" s="707">
        <f t="shared" si="7"/>
        <v>9.0314224421405243</v>
      </c>
      <c r="G56" s="707">
        <f t="shared" si="7"/>
        <v>3679.7728548505861</v>
      </c>
      <c r="H56" s="707">
        <f t="shared" si="7"/>
        <v>0</v>
      </c>
      <c r="I56" s="707">
        <f t="shared" si="7"/>
        <v>0</v>
      </c>
      <c r="J56" s="707">
        <f t="shared" si="7"/>
        <v>0</v>
      </c>
      <c r="K56" s="707">
        <f t="shared" si="7"/>
        <v>184.94327577338009</v>
      </c>
      <c r="L56" s="707">
        <f t="shared" si="7"/>
        <v>0</v>
      </c>
      <c r="M56" s="707">
        <f t="shared" si="7"/>
        <v>0</v>
      </c>
      <c r="N56" s="707">
        <f t="shared" si="7"/>
        <v>0</v>
      </c>
      <c r="O56" s="707">
        <f t="shared" si="7"/>
        <v>0</v>
      </c>
      <c r="P56" s="707">
        <f t="shared" si="7"/>
        <v>0</v>
      </c>
      <c r="Q56" s="708">
        <f t="shared" si="7"/>
        <v>0</v>
      </c>
      <c r="R56" s="709">
        <f ca="1">SUM(R54:R55)</f>
        <v>5994.6179927977137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15119.128577962556</v>
      </c>
      <c r="D61" s="715">
        <f t="shared" ref="D61:Q61" ca="1" si="8">D46+D52+D56</f>
        <v>0</v>
      </c>
      <c r="E61" s="715">
        <f t="shared" ca="1" si="8"/>
        <v>19743.275190569599</v>
      </c>
      <c r="F61" s="715">
        <f t="shared" si="8"/>
        <v>632.81213876834818</v>
      </c>
      <c r="G61" s="715">
        <f t="shared" ca="1" si="8"/>
        <v>20791.241323961349</v>
      </c>
      <c r="H61" s="715">
        <f t="shared" si="8"/>
        <v>21376.446084240833</v>
      </c>
      <c r="I61" s="715">
        <f t="shared" si="8"/>
        <v>3608.5144882143131</v>
      </c>
      <c r="J61" s="715">
        <f t="shared" si="8"/>
        <v>0</v>
      </c>
      <c r="K61" s="715">
        <f t="shared" si="8"/>
        <v>553.02348084194523</v>
      </c>
      <c r="L61" s="715">
        <f t="shared" si="8"/>
        <v>0</v>
      </c>
      <c r="M61" s="715">
        <f t="shared" ca="1" si="8"/>
        <v>0</v>
      </c>
      <c r="N61" s="715">
        <f t="shared" si="8"/>
        <v>0</v>
      </c>
      <c r="O61" s="715">
        <f t="shared" ca="1" si="8"/>
        <v>0</v>
      </c>
      <c r="P61" s="715">
        <f t="shared" si="8"/>
        <v>0</v>
      </c>
      <c r="Q61" s="715">
        <f t="shared" si="8"/>
        <v>0</v>
      </c>
      <c r="R61" s="715">
        <f ca="1">R46+R52+R56</f>
        <v>81824.441284558969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0.19780107541719422</v>
      </c>
      <c r="D63" s="759">
        <f t="shared" ca="1" si="9"/>
        <v>0</v>
      </c>
      <c r="E63" s="986">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1092.608619630452</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5588.5730706352379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1.5</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1.6666666666666665</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1341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3831.4285714285716</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8023.6816902656901</v>
      </c>
      <c r="C78" s="730">
        <f>SUM(C72:C77)</f>
        <v>0</v>
      </c>
      <c r="D78" s="731">
        <f t="shared" ref="D78:H78" si="10">SUM(D76:D77)</f>
        <v>0</v>
      </c>
      <c r="E78" s="731">
        <f t="shared" si="10"/>
        <v>0</v>
      </c>
      <c r="F78" s="731">
        <f t="shared" si="10"/>
        <v>0</v>
      </c>
      <c r="G78" s="731">
        <f t="shared" si="10"/>
        <v>0</v>
      </c>
      <c r="H78" s="731">
        <f t="shared" si="10"/>
        <v>0</v>
      </c>
      <c r="I78" s="731">
        <f>SUM(I76:I77)</f>
        <v>0</v>
      </c>
      <c r="J78" s="731">
        <f>SUM(J76:J77)</f>
        <v>3833.0952380952381</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7.5</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8.3333333333333339</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7.5</v>
      </c>
      <c r="C90" s="730">
        <f>SUM(C87:C89)</f>
        <v>0</v>
      </c>
      <c r="D90" s="730">
        <f t="shared" ref="D90:H90" si="12">SUM(D87:D89)</f>
        <v>0</v>
      </c>
      <c r="E90" s="730">
        <f t="shared" si="12"/>
        <v>0</v>
      </c>
      <c r="F90" s="730">
        <f t="shared" si="12"/>
        <v>0</v>
      </c>
      <c r="G90" s="730">
        <f t="shared" si="12"/>
        <v>0</v>
      </c>
      <c r="H90" s="730">
        <f t="shared" si="12"/>
        <v>0</v>
      </c>
      <c r="I90" s="730">
        <f>SUM(I87:I89)</f>
        <v>0</v>
      </c>
      <c r="J90" s="730">
        <f>SUM(J87:J89)</f>
        <v>8.3333333333333339</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33389.744241415872</v>
      </c>
      <c r="C4" s="447">
        <f>huishoudens!C8</f>
        <v>0</v>
      </c>
      <c r="D4" s="447">
        <f>huishoudens!D8</f>
        <v>66986.631743767721</v>
      </c>
      <c r="E4" s="447">
        <f>huishoudens!E8</f>
        <v>1871.3704297153859</v>
      </c>
      <c r="F4" s="447">
        <f>huishoudens!F8</f>
        <v>57052.651259997925</v>
      </c>
      <c r="G4" s="447">
        <f>huishoudens!G8</f>
        <v>0</v>
      </c>
      <c r="H4" s="447">
        <f>huishoudens!H8</f>
        <v>0</v>
      </c>
      <c r="I4" s="447">
        <f>huishoudens!I8</f>
        <v>0</v>
      </c>
      <c r="J4" s="447">
        <f>huishoudens!J8</f>
        <v>1035.2004773540145</v>
      </c>
      <c r="K4" s="447">
        <f>huishoudens!K8</f>
        <v>0</v>
      </c>
      <c r="L4" s="447">
        <f>huishoudens!L8</f>
        <v>0</v>
      </c>
      <c r="M4" s="447">
        <f>huishoudens!M8</f>
        <v>0</v>
      </c>
      <c r="N4" s="447">
        <f>huishoudens!N8</f>
        <v>10588.878594451187</v>
      </c>
      <c r="O4" s="447">
        <f>huishoudens!O8</f>
        <v>165.71333333333337</v>
      </c>
      <c r="P4" s="448">
        <f>huishoudens!P8</f>
        <v>705.4666666666667</v>
      </c>
      <c r="Q4" s="449">
        <f>SUM(B4:P4)</f>
        <v>171795.65674670212</v>
      </c>
    </row>
    <row r="5" spans="1:17">
      <c r="A5" s="446" t="s">
        <v>149</v>
      </c>
      <c r="B5" s="447">
        <f ca="1">tertiair!B16</f>
        <v>22861.857438157833</v>
      </c>
      <c r="C5" s="447">
        <f ca="1">tertiair!C16</f>
        <v>0</v>
      </c>
      <c r="D5" s="447">
        <f ca="1">tertiair!D16</f>
        <v>22484.010746162578</v>
      </c>
      <c r="E5" s="447">
        <f>tertiair!E16</f>
        <v>366.26737615380989</v>
      </c>
      <c r="F5" s="447">
        <f ca="1">tertiair!F16</f>
        <v>4657.5875476272013</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4.6900000000000004</v>
      </c>
      <c r="P5" s="448">
        <f>tertiair!P16</f>
        <v>19.066666666666666</v>
      </c>
      <c r="Q5" s="446">
        <f t="shared" ref="Q5:Q14" ca="1" si="0">SUM(B5:P5)</f>
        <v>50393.479774768086</v>
      </c>
    </row>
    <row r="6" spans="1:17">
      <c r="A6" s="446" t="s">
        <v>187</v>
      </c>
      <c r="B6" s="447">
        <f>'openbare verlichting'!B8</f>
        <v>771.56100000000004</v>
      </c>
      <c r="C6" s="447"/>
      <c r="D6" s="447"/>
      <c r="E6" s="447"/>
      <c r="F6" s="447"/>
      <c r="G6" s="447"/>
      <c r="H6" s="447"/>
      <c r="I6" s="447"/>
      <c r="J6" s="447"/>
      <c r="K6" s="447"/>
      <c r="L6" s="447"/>
      <c r="M6" s="447"/>
      <c r="N6" s="447"/>
      <c r="O6" s="447"/>
      <c r="P6" s="448"/>
      <c r="Q6" s="446">
        <f t="shared" si="0"/>
        <v>771.56100000000004</v>
      </c>
    </row>
    <row r="7" spans="1:17">
      <c r="A7" s="446" t="s">
        <v>105</v>
      </c>
      <c r="B7" s="447">
        <f>landbouw!B8</f>
        <v>4223.2666949307541</v>
      </c>
      <c r="C7" s="447">
        <f>landbouw!C8</f>
        <v>7.5</v>
      </c>
      <c r="D7" s="447">
        <f>landbouw!D8</f>
        <v>103.50856792722568</v>
      </c>
      <c r="E7" s="447">
        <f>landbouw!E8</f>
        <v>39.786001947755615</v>
      </c>
      <c r="F7" s="447">
        <f>landbouw!F8</f>
        <v>13781.920804683843</v>
      </c>
      <c r="G7" s="447">
        <f>landbouw!G8</f>
        <v>0</v>
      </c>
      <c r="H7" s="447">
        <f>landbouw!H8</f>
        <v>0</v>
      </c>
      <c r="I7" s="447">
        <f>landbouw!I8</f>
        <v>0</v>
      </c>
      <c r="J7" s="447">
        <f>landbouw!J8</f>
        <v>522.43863212819235</v>
      </c>
      <c r="K7" s="447">
        <f>landbouw!K8</f>
        <v>0</v>
      </c>
      <c r="L7" s="447">
        <f>landbouw!L8</f>
        <v>0</v>
      </c>
      <c r="M7" s="447">
        <f>landbouw!M8</f>
        <v>0</v>
      </c>
      <c r="N7" s="447">
        <f>landbouw!N8</f>
        <v>0</v>
      </c>
      <c r="O7" s="447">
        <f>landbouw!O8</f>
        <v>0</v>
      </c>
      <c r="P7" s="448">
        <f>landbouw!P8</f>
        <v>0</v>
      </c>
      <c r="Q7" s="446">
        <f t="shared" si="0"/>
        <v>18678.420701617772</v>
      </c>
    </row>
    <row r="8" spans="1:17">
      <c r="A8" s="446" t="s">
        <v>665</v>
      </c>
      <c r="B8" s="447">
        <f>industrie!B18</f>
        <v>13080.377497912146</v>
      </c>
      <c r="C8" s="447">
        <f>industrie!C18</f>
        <v>0</v>
      </c>
      <c r="D8" s="447">
        <f>industrie!D18</f>
        <v>3951.7015167451077</v>
      </c>
      <c r="E8" s="447">
        <f>industrie!E18</f>
        <v>125.4661191472216</v>
      </c>
      <c r="F8" s="447">
        <f>industrie!F18</f>
        <v>2377.6580804301648</v>
      </c>
      <c r="G8" s="447">
        <f>industrie!G18</f>
        <v>0</v>
      </c>
      <c r="H8" s="447">
        <f>industrie!H18</f>
        <v>0</v>
      </c>
      <c r="I8" s="447">
        <f>industrie!I18</f>
        <v>0</v>
      </c>
      <c r="J8" s="447">
        <f>industrie!J18</f>
        <v>4.5741132351522724</v>
      </c>
      <c r="K8" s="447">
        <f>industrie!K18</f>
        <v>0</v>
      </c>
      <c r="L8" s="447">
        <f>industrie!L18</f>
        <v>0</v>
      </c>
      <c r="M8" s="447">
        <f>industrie!M18</f>
        <v>0</v>
      </c>
      <c r="N8" s="447">
        <f>industrie!N18</f>
        <v>316.85032047527142</v>
      </c>
      <c r="O8" s="447">
        <f>industrie!O18</f>
        <v>0</v>
      </c>
      <c r="P8" s="448">
        <f>industrie!P18</f>
        <v>0</v>
      </c>
      <c r="Q8" s="446">
        <f t="shared" si="0"/>
        <v>19856.627647945068</v>
      </c>
    </row>
    <row r="9" spans="1:17" s="452" customFormat="1">
      <c r="A9" s="450" t="s">
        <v>562</v>
      </c>
      <c r="B9" s="451">
        <f>transport!B14</f>
        <v>4.7619476917274488</v>
      </c>
      <c r="C9" s="451">
        <f>transport!C14</f>
        <v>0</v>
      </c>
      <c r="D9" s="451">
        <f>transport!D14</f>
        <v>6.0127216292046208</v>
      </c>
      <c r="E9" s="451">
        <f>transport!E14</f>
        <v>384.82874602414506</v>
      </c>
      <c r="F9" s="451">
        <f>transport!F14</f>
        <v>0</v>
      </c>
      <c r="G9" s="451">
        <f>transport!G14</f>
        <v>78541.298424966531</v>
      </c>
      <c r="H9" s="451">
        <f>transport!H14</f>
        <v>14492.026057085595</v>
      </c>
      <c r="I9" s="451">
        <f>transport!I14</f>
        <v>0</v>
      </c>
      <c r="J9" s="451">
        <f>transport!J14</f>
        <v>0</v>
      </c>
      <c r="K9" s="451">
        <f>transport!K14</f>
        <v>0</v>
      </c>
      <c r="L9" s="451">
        <f>transport!L14</f>
        <v>0</v>
      </c>
      <c r="M9" s="451">
        <f>transport!M14</f>
        <v>4158.5613597301435</v>
      </c>
      <c r="N9" s="451">
        <f>transport!N14</f>
        <v>0</v>
      </c>
      <c r="O9" s="451">
        <f>transport!O14</f>
        <v>0</v>
      </c>
      <c r="P9" s="451">
        <f>transport!P14</f>
        <v>0</v>
      </c>
      <c r="Q9" s="450">
        <f>SUM(B9:P9)</f>
        <v>97587.489257127338</v>
      </c>
    </row>
    <row r="10" spans="1:17">
      <c r="A10" s="446" t="s">
        <v>552</v>
      </c>
      <c r="B10" s="447">
        <f>transport!B54</f>
        <v>7.6223733675255971</v>
      </c>
      <c r="C10" s="447">
        <f>transport!C54</f>
        <v>0</v>
      </c>
      <c r="D10" s="447">
        <f>transport!D54</f>
        <v>0</v>
      </c>
      <c r="E10" s="447">
        <f>transport!E54</f>
        <v>0</v>
      </c>
      <c r="F10" s="447">
        <f>transport!F54</f>
        <v>0</v>
      </c>
      <c r="G10" s="447">
        <f>transport!G54</f>
        <v>1520.2973961601808</v>
      </c>
      <c r="H10" s="447">
        <f>transport!H54</f>
        <v>0</v>
      </c>
      <c r="I10" s="447">
        <f>transport!I54</f>
        <v>0</v>
      </c>
      <c r="J10" s="447">
        <f>transport!J54</f>
        <v>0</v>
      </c>
      <c r="K10" s="447">
        <f>transport!K54</f>
        <v>0</v>
      </c>
      <c r="L10" s="447">
        <f>transport!L54</f>
        <v>0</v>
      </c>
      <c r="M10" s="447">
        <f>transport!M54</f>
        <v>67.195525702661129</v>
      </c>
      <c r="N10" s="447">
        <f>transport!N54</f>
        <v>0</v>
      </c>
      <c r="O10" s="447">
        <f>transport!O54</f>
        <v>0</v>
      </c>
      <c r="P10" s="448">
        <f>transport!P54</f>
        <v>0</v>
      </c>
      <c r="Q10" s="446">
        <f t="shared" si="0"/>
        <v>1595.1152952303676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2096.8370034077302</v>
      </c>
      <c r="C14" s="454"/>
      <c r="D14" s="454">
        <f>'SEAP template'!E25</f>
        <v>4207.1207956968701</v>
      </c>
      <c r="E14" s="454"/>
      <c r="F14" s="454"/>
      <c r="G14" s="454"/>
      <c r="H14" s="454"/>
      <c r="I14" s="454"/>
      <c r="J14" s="454"/>
      <c r="K14" s="454"/>
      <c r="L14" s="454"/>
      <c r="M14" s="454"/>
      <c r="N14" s="454"/>
      <c r="O14" s="454"/>
      <c r="P14" s="455"/>
      <c r="Q14" s="446">
        <f t="shared" si="0"/>
        <v>6303.9577991046008</v>
      </c>
    </row>
    <row r="15" spans="1:17" s="459" customFormat="1">
      <c r="A15" s="456" t="s">
        <v>556</v>
      </c>
      <c r="B15" s="457">
        <f ca="1">SUM(B4:B14)</f>
        <v>76436.028196883592</v>
      </c>
      <c r="C15" s="457">
        <f t="shared" ref="C15:Q15" ca="1" si="1">SUM(C4:C14)</f>
        <v>7.5</v>
      </c>
      <c r="D15" s="457">
        <f t="shared" ca="1" si="1"/>
        <v>97738.986091928702</v>
      </c>
      <c r="E15" s="457">
        <f t="shared" si="1"/>
        <v>2787.7186729883178</v>
      </c>
      <c r="F15" s="457">
        <f t="shared" ca="1" si="1"/>
        <v>77869.817692739132</v>
      </c>
      <c r="G15" s="457">
        <f t="shared" si="1"/>
        <v>80061.595821126713</v>
      </c>
      <c r="H15" s="457">
        <f t="shared" si="1"/>
        <v>14492.026057085595</v>
      </c>
      <c r="I15" s="457">
        <f t="shared" si="1"/>
        <v>0</v>
      </c>
      <c r="J15" s="457">
        <f t="shared" si="1"/>
        <v>1562.2132227173593</v>
      </c>
      <c r="K15" s="457">
        <f t="shared" si="1"/>
        <v>0</v>
      </c>
      <c r="L15" s="457">
        <f t="shared" ca="1" si="1"/>
        <v>0</v>
      </c>
      <c r="M15" s="457">
        <f t="shared" si="1"/>
        <v>4225.7568854328047</v>
      </c>
      <c r="N15" s="457">
        <f t="shared" ca="1" si="1"/>
        <v>10905.728914926458</v>
      </c>
      <c r="O15" s="457">
        <f t="shared" si="1"/>
        <v>170.40333333333336</v>
      </c>
      <c r="P15" s="457">
        <f t="shared" si="1"/>
        <v>724.53333333333342</v>
      </c>
      <c r="Q15" s="457">
        <f t="shared" ca="1" si="1"/>
        <v>366982.30822249537</v>
      </c>
    </row>
    <row r="17" spans="1:17">
      <c r="A17" s="460" t="s">
        <v>557</v>
      </c>
      <c r="B17" s="764">
        <f ca="1">huishoudens!B10</f>
        <v>0.19780107541719424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6604.5273188571282</v>
      </c>
      <c r="C22" s="447">
        <f t="shared" ref="C22:C32" ca="1" si="3">C4*$C$17</f>
        <v>0</v>
      </c>
      <c r="D22" s="447">
        <f t="shared" ref="D22:D32" si="4">D4*$D$17</f>
        <v>13531.29961224108</v>
      </c>
      <c r="E22" s="447">
        <f t="shared" ref="E22:E32" si="5">E4*$E$17</f>
        <v>424.80108754539259</v>
      </c>
      <c r="F22" s="447">
        <f t="shared" ref="F22:F32" si="6">F4*$F$17</f>
        <v>15233.057886419447</v>
      </c>
      <c r="G22" s="447">
        <f t="shared" ref="G22:G32" si="7">G4*$G$17</f>
        <v>0</v>
      </c>
      <c r="H22" s="447">
        <f t="shared" ref="H22:H32" si="8">H4*$H$17</f>
        <v>0</v>
      </c>
      <c r="I22" s="447">
        <f t="shared" ref="I22:I32" si="9">I4*$I$17</f>
        <v>0</v>
      </c>
      <c r="J22" s="447">
        <f t="shared" ref="J22:J32" si="10">J4*$J$17</f>
        <v>366.46096898332115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36160.146874046368</v>
      </c>
    </row>
    <row r="23" spans="1:17">
      <c r="A23" s="446" t="s">
        <v>149</v>
      </c>
      <c r="B23" s="447">
        <f t="shared" ca="1" si="2"/>
        <v>4522.099987302201</v>
      </c>
      <c r="C23" s="447">
        <f t="shared" ca="1" si="3"/>
        <v>0</v>
      </c>
      <c r="D23" s="447">
        <f t="shared" ca="1" si="4"/>
        <v>4541.7701707248407</v>
      </c>
      <c r="E23" s="447">
        <f t="shared" si="5"/>
        <v>83.142694386914854</v>
      </c>
      <c r="F23" s="447">
        <f t="shared" ca="1" si="6"/>
        <v>1243.5758752164629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10390.58872763042</v>
      </c>
    </row>
    <row r="24" spans="1:17">
      <c r="A24" s="446" t="s">
        <v>187</v>
      </c>
      <c r="B24" s="447">
        <f t="shared" ca="1" si="2"/>
        <v>152.6155955499658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152.6155955499658</v>
      </c>
    </row>
    <row r="25" spans="1:17">
      <c r="A25" s="446" t="s">
        <v>105</v>
      </c>
      <c r="B25" s="447">
        <f t="shared" ca="1" si="2"/>
        <v>835.36669403092276</v>
      </c>
      <c r="C25" s="447">
        <f t="shared" ca="1" si="3"/>
        <v>0</v>
      </c>
      <c r="D25" s="447">
        <f t="shared" si="4"/>
        <v>20.908730721299591</v>
      </c>
      <c r="E25" s="447">
        <f t="shared" si="5"/>
        <v>9.0314224421405243</v>
      </c>
      <c r="F25" s="447">
        <f t="shared" si="6"/>
        <v>3679.7728548505861</v>
      </c>
      <c r="G25" s="447">
        <f t="shared" si="7"/>
        <v>0</v>
      </c>
      <c r="H25" s="447">
        <f t="shared" si="8"/>
        <v>0</v>
      </c>
      <c r="I25" s="447">
        <f t="shared" si="9"/>
        <v>0</v>
      </c>
      <c r="J25" s="447">
        <f t="shared" si="10"/>
        <v>184.94327577338009</v>
      </c>
      <c r="K25" s="447">
        <f t="shared" si="11"/>
        <v>0</v>
      </c>
      <c r="L25" s="447">
        <f t="shared" si="12"/>
        <v>0</v>
      </c>
      <c r="M25" s="447">
        <f t="shared" si="13"/>
        <v>0</v>
      </c>
      <c r="N25" s="447">
        <f t="shared" si="14"/>
        <v>0</v>
      </c>
      <c r="O25" s="447">
        <f t="shared" si="15"/>
        <v>0</v>
      </c>
      <c r="P25" s="448">
        <f t="shared" si="16"/>
        <v>0</v>
      </c>
      <c r="Q25" s="446">
        <f t="shared" ca="1" si="17"/>
        <v>4730.0229778183293</v>
      </c>
    </row>
    <row r="26" spans="1:17">
      <c r="A26" s="446" t="s">
        <v>665</v>
      </c>
      <c r="B26" s="447">
        <f t="shared" ca="1" si="2"/>
        <v>2587.3127359498908</v>
      </c>
      <c r="C26" s="447">
        <f t="shared" ca="1" si="3"/>
        <v>0</v>
      </c>
      <c r="D26" s="447">
        <f t="shared" si="4"/>
        <v>798.24370638251185</v>
      </c>
      <c r="E26" s="447">
        <f t="shared" si="5"/>
        <v>28.480809046419306</v>
      </c>
      <c r="F26" s="447">
        <f t="shared" si="6"/>
        <v>634.83470747485399</v>
      </c>
      <c r="G26" s="447">
        <f t="shared" si="7"/>
        <v>0</v>
      </c>
      <c r="H26" s="447">
        <f t="shared" si="8"/>
        <v>0</v>
      </c>
      <c r="I26" s="447">
        <f t="shared" si="9"/>
        <v>0</v>
      </c>
      <c r="J26" s="447">
        <f t="shared" si="10"/>
        <v>1.6192360852439043</v>
      </c>
      <c r="K26" s="447">
        <f t="shared" si="11"/>
        <v>0</v>
      </c>
      <c r="L26" s="447">
        <f t="shared" si="12"/>
        <v>0</v>
      </c>
      <c r="M26" s="447">
        <f t="shared" si="13"/>
        <v>0</v>
      </c>
      <c r="N26" s="447">
        <f t="shared" si="14"/>
        <v>0</v>
      </c>
      <c r="O26" s="447">
        <f t="shared" si="15"/>
        <v>0</v>
      </c>
      <c r="P26" s="448">
        <f t="shared" si="16"/>
        <v>0</v>
      </c>
      <c r="Q26" s="446">
        <f t="shared" ca="1" si="17"/>
        <v>4050.4911949389198</v>
      </c>
    </row>
    <row r="27" spans="1:17" s="452" customFormat="1">
      <c r="A27" s="450" t="s">
        <v>562</v>
      </c>
      <c r="B27" s="758">
        <f t="shared" ca="1" si="2"/>
        <v>0.9419183745041152</v>
      </c>
      <c r="C27" s="451">
        <f t="shared" ca="1" si="3"/>
        <v>0</v>
      </c>
      <c r="D27" s="451">
        <f t="shared" si="4"/>
        <v>1.2145697690993336</v>
      </c>
      <c r="E27" s="451">
        <f t="shared" si="5"/>
        <v>87.356125347480926</v>
      </c>
      <c r="F27" s="451">
        <f t="shared" si="6"/>
        <v>0</v>
      </c>
      <c r="G27" s="451">
        <f t="shared" si="7"/>
        <v>20970.526679466064</v>
      </c>
      <c r="H27" s="451">
        <f t="shared" si="8"/>
        <v>3608.5144882143131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24668.553781171464</v>
      </c>
    </row>
    <row r="28" spans="1:17">
      <c r="A28" s="446" t="s">
        <v>552</v>
      </c>
      <c r="B28" s="447">
        <f t="shared" ca="1" si="2"/>
        <v>1.5077136493279435</v>
      </c>
      <c r="C28" s="447">
        <f t="shared" ca="1" si="3"/>
        <v>0</v>
      </c>
      <c r="D28" s="447">
        <f t="shared" si="4"/>
        <v>0</v>
      </c>
      <c r="E28" s="447">
        <f t="shared" si="5"/>
        <v>0</v>
      </c>
      <c r="F28" s="447">
        <f t="shared" si="6"/>
        <v>0</v>
      </c>
      <c r="G28" s="447">
        <f t="shared" si="7"/>
        <v>405.91940477476828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407.42711842409625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414.75661424861602</v>
      </c>
      <c r="C32" s="447">
        <f t="shared" ca="1" si="3"/>
        <v>0</v>
      </c>
      <c r="D32" s="447">
        <f t="shared" si="4"/>
        <v>849.83840073076783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1264.5950149793839</v>
      </c>
    </row>
    <row r="33" spans="1:17" s="459" customFormat="1">
      <c r="A33" s="456" t="s">
        <v>556</v>
      </c>
      <c r="B33" s="457">
        <f ca="1">SUM(B22:B32)</f>
        <v>15119.128577962556</v>
      </c>
      <c r="C33" s="457">
        <f t="shared" ref="C33:Q33" ca="1" si="18">SUM(C22:C32)</f>
        <v>0</v>
      </c>
      <c r="D33" s="457">
        <f t="shared" ca="1" si="18"/>
        <v>19743.275190569602</v>
      </c>
      <c r="E33" s="457">
        <f t="shared" si="18"/>
        <v>632.81213876834806</v>
      </c>
      <c r="F33" s="457">
        <f t="shared" ca="1" si="18"/>
        <v>20791.241323961349</v>
      </c>
      <c r="G33" s="457">
        <f t="shared" si="18"/>
        <v>21376.446084240833</v>
      </c>
      <c r="H33" s="457">
        <f t="shared" si="18"/>
        <v>3608.5144882143131</v>
      </c>
      <c r="I33" s="457">
        <f t="shared" si="18"/>
        <v>0</v>
      </c>
      <c r="J33" s="457">
        <f t="shared" si="18"/>
        <v>553.02348084194512</v>
      </c>
      <c r="K33" s="457">
        <f t="shared" si="18"/>
        <v>0</v>
      </c>
      <c r="L33" s="457">
        <f t="shared" ca="1" si="18"/>
        <v>0</v>
      </c>
      <c r="M33" s="457">
        <f t="shared" si="18"/>
        <v>0</v>
      </c>
      <c r="N33" s="457">
        <f t="shared" ca="1" si="18"/>
        <v>0</v>
      </c>
      <c r="O33" s="457">
        <f t="shared" si="18"/>
        <v>0</v>
      </c>
      <c r="P33" s="457">
        <f t="shared" si="18"/>
        <v>0</v>
      </c>
      <c r="Q33" s="457">
        <f t="shared" ca="1" si="18"/>
        <v>81824.44128455894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1092.608619630452</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5588.5730706352379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1.5</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1.6666666666666665</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1341</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3831.4285714285716</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8023.6816902656901</v>
      </c>
      <c r="C10" s="1017">
        <f>SUM(C4:C9)</f>
        <v>0</v>
      </c>
      <c r="D10" s="1017">
        <f t="shared" ref="D10:H10" si="0">SUM(D8:D9)</f>
        <v>0</v>
      </c>
      <c r="E10" s="1017">
        <f t="shared" si="0"/>
        <v>0</v>
      </c>
      <c r="F10" s="1017">
        <f t="shared" si="0"/>
        <v>0</v>
      </c>
      <c r="G10" s="1017">
        <f t="shared" si="0"/>
        <v>0</v>
      </c>
      <c r="H10" s="1017">
        <f t="shared" si="0"/>
        <v>0</v>
      </c>
      <c r="I10" s="1017">
        <f>SUM(I8:I9)</f>
        <v>0</v>
      </c>
      <c r="J10" s="1017">
        <f>SUM(J8:J9)</f>
        <v>3833.0952380952381</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0.19780107541719424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7.5</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8.3333333333333339</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7.5</v>
      </c>
      <c r="C20" s="1017">
        <f>SUM(C17:C19)</f>
        <v>0</v>
      </c>
      <c r="D20" s="1017">
        <f t="shared" ref="D20:H20" si="2">SUM(D17:D19)</f>
        <v>0</v>
      </c>
      <c r="E20" s="1017">
        <f t="shared" si="2"/>
        <v>0</v>
      </c>
      <c r="F20" s="1017">
        <f t="shared" si="2"/>
        <v>0</v>
      </c>
      <c r="G20" s="1017">
        <f t="shared" si="2"/>
        <v>0</v>
      </c>
      <c r="H20" s="1017">
        <f t="shared" si="2"/>
        <v>0</v>
      </c>
      <c r="I20" s="1017">
        <f>SUM(I17:I19)</f>
        <v>0</v>
      </c>
      <c r="J20" s="1017">
        <f>SUM(J17:J19)</f>
        <v>8.3333333333333339</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0.19780107541719424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0.19780107541719424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0.19780107541719424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7168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3033</v>
      </c>
      <c r="C14" s="327"/>
      <c r="D14" s="327"/>
      <c r="E14" s="327"/>
      <c r="F14" s="327"/>
    </row>
    <row r="15" spans="1:6">
      <c r="A15" s="1293" t="s">
        <v>177</v>
      </c>
      <c r="B15" s="1294">
        <v>12987</v>
      </c>
      <c r="C15" s="327"/>
      <c r="D15" s="327"/>
      <c r="E15" s="327"/>
      <c r="F15" s="327"/>
    </row>
    <row r="16" spans="1:6">
      <c r="A16" s="1293" t="s">
        <v>6</v>
      </c>
      <c r="B16" s="1294">
        <v>2372</v>
      </c>
      <c r="C16" s="327"/>
      <c r="D16" s="327"/>
      <c r="E16" s="327"/>
      <c r="F16" s="327"/>
    </row>
    <row r="17" spans="1:6">
      <c r="A17" s="1293" t="s">
        <v>7</v>
      </c>
      <c r="B17" s="1294">
        <v>239</v>
      </c>
      <c r="C17" s="327"/>
      <c r="D17" s="327"/>
      <c r="E17" s="327"/>
      <c r="F17" s="327"/>
    </row>
    <row r="18" spans="1:6">
      <c r="A18" s="1293" t="s">
        <v>8</v>
      </c>
      <c r="B18" s="1294">
        <v>1404</v>
      </c>
      <c r="C18" s="327"/>
      <c r="D18" s="327"/>
      <c r="E18" s="327"/>
      <c r="F18" s="327"/>
    </row>
    <row r="19" spans="1:6">
      <c r="A19" s="1293" t="s">
        <v>9</v>
      </c>
      <c r="B19" s="1294">
        <v>1227</v>
      </c>
      <c r="C19" s="327"/>
      <c r="D19" s="327"/>
      <c r="E19" s="327"/>
      <c r="F19" s="327"/>
    </row>
    <row r="20" spans="1:6">
      <c r="A20" s="1293" t="s">
        <v>10</v>
      </c>
      <c r="B20" s="1294">
        <v>551</v>
      </c>
      <c r="C20" s="327"/>
      <c r="D20" s="327"/>
      <c r="E20" s="327"/>
      <c r="F20" s="327"/>
    </row>
    <row r="21" spans="1:6">
      <c r="A21" s="1293" t="s">
        <v>11</v>
      </c>
      <c r="B21" s="1294">
        <v>11638</v>
      </c>
      <c r="C21" s="327"/>
      <c r="D21" s="327"/>
      <c r="E21" s="327"/>
      <c r="F21" s="327"/>
    </row>
    <row r="22" spans="1:6">
      <c r="A22" s="1293" t="s">
        <v>12</v>
      </c>
      <c r="B22" s="1294">
        <v>23881</v>
      </c>
      <c r="C22" s="327"/>
      <c r="D22" s="327"/>
      <c r="E22" s="327"/>
      <c r="F22" s="327"/>
    </row>
    <row r="23" spans="1:6">
      <c r="A23" s="1293" t="s">
        <v>13</v>
      </c>
      <c r="B23" s="1294">
        <v>579</v>
      </c>
      <c r="C23" s="327"/>
      <c r="D23" s="327"/>
      <c r="E23" s="327"/>
      <c r="F23" s="327"/>
    </row>
    <row r="24" spans="1:6">
      <c r="A24" s="1293" t="s">
        <v>14</v>
      </c>
      <c r="B24" s="1294">
        <v>23</v>
      </c>
      <c r="C24" s="327"/>
      <c r="D24" s="327"/>
      <c r="E24" s="327"/>
      <c r="F24" s="327"/>
    </row>
    <row r="25" spans="1:6">
      <c r="A25" s="1293" t="s">
        <v>15</v>
      </c>
      <c r="B25" s="1294">
        <v>2376</v>
      </c>
      <c r="C25" s="327"/>
      <c r="D25" s="327"/>
      <c r="E25" s="327"/>
      <c r="F25" s="327"/>
    </row>
    <row r="26" spans="1:6">
      <c r="A26" s="1293" t="s">
        <v>16</v>
      </c>
      <c r="B26" s="1294">
        <v>217</v>
      </c>
      <c r="C26" s="327"/>
      <c r="D26" s="327"/>
      <c r="E26" s="327"/>
      <c r="F26" s="327"/>
    </row>
    <row r="27" spans="1:6">
      <c r="A27" s="1293" t="s">
        <v>17</v>
      </c>
      <c r="B27" s="1294">
        <v>611</v>
      </c>
      <c r="C27" s="327"/>
      <c r="D27" s="327"/>
      <c r="E27" s="327"/>
      <c r="F27" s="327"/>
    </row>
    <row r="28" spans="1:6">
      <c r="A28" s="1293" t="s">
        <v>18</v>
      </c>
      <c r="B28" s="1295">
        <v>557904</v>
      </c>
      <c r="C28" s="327"/>
      <c r="D28" s="327"/>
      <c r="E28" s="327"/>
      <c r="F28" s="327"/>
    </row>
    <row r="29" spans="1:6">
      <c r="A29" s="1293" t="s">
        <v>955</v>
      </c>
      <c r="B29" s="1295">
        <v>258</v>
      </c>
      <c r="C29" s="327"/>
      <c r="D29" s="327"/>
      <c r="E29" s="327"/>
      <c r="F29" s="327"/>
    </row>
    <row r="30" spans="1:6">
      <c r="A30" s="1288" t="s">
        <v>956</v>
      </c>
      <c r="B30" s="1296">
        <v>60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3</v>
      </c>
      <c r="F35" s="1294">
        <v>8814.8183621926</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73413.132517099206</v>
      </c>
      <c r="E38" s="1294">
        <v>2</v>
      </c>
      <c r="F38" s="1294">
        <v>13476.52579899</v>
      </c>
    </row>
    <row r="39" spans="1:6">
      <c r="A39" s="1293" t="s">
        <v>29</v>
      </c>
      <c r="B39" s="1293" t="s">
        <v>30</v>
      </c>
      <c r="C39" s="1294">
        <v>3719</v>
      </c>
      <c r="D39" s="1294">
        <v>74264558.474243596</v>
      </c>
      <c r="E39" s="1294">
        <v>7035</v>
      </c>
      <c r="F39" s="1294">
        <v>28997479.5139824</v>
      </c>
    </row>
    <row r="40" spans="1:6">
      <c r="A40" s="1293" t="s">
        <v>29</v>
      </c>
      <c r="B40" s="1293" t="s">
        <v>28</v>
      </c>
      <c r="C40" s="1294">
        <v>0</v>
      </c>
      <c r="D40" s="1294">
        <v>0</v>
      </c>
      <c r="E40" s="1294">
        <v>0</v>
      </c>
      <c r="F40" s="1294">
        <v>0</v>
      </c>
    </row>
    <row r="41" spans="1:6">
      <c r="A41" s="1293" t="s">
        <v>31</v>
      </c>
      <c r="B41" s="1293" t="s">
        <v>32</v>
      </c>
      <c r="C41" s="1294">
        <v>60</v>
      </c>
      <c r="D41" s="1294">
        <v>1605438.1544662199</v>
      </c>
      <c r="E41" s="1294">
        <v>141</v>
      </c>
      <c r="F41" s="1294">
        <v>1262423.4407520001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77998.703799665105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105322.711487284</v>
      </c>
    </row>
    <row r="48" spans="1:6">
      <c r="A48" s="1293" t="s">
        <v>31</v>
      </c>
      <c r="B48" s="1293" t="s">
        <v>28</v>
      </c>
      <c r="C48" s="1294">
        <v>14</v>
      </c>
      <c r="D48" s="1294">
        <v>1008540.0187041101</v>
      </c>
      <c r="E48" s="1294">
        <v>19</v>
      </c>
      <c r="F48" s="1294">
        <v>622862.82192299596</v>
      </c>
    </row>
    <row r="49" spans="1:6">
      <c r="A49" s="1293" t="s">
        <v>31</v>
      </c>
      <c r="B49" s="1293" t="s">
        <v>39</v>
      </c>
      <c r="C49" s="1294">
        <v>0</v>
      </c>
      <c r="D49" s="1294">
        <v>0</v>
      </c>
      <c r="E49" s="1294">
        <v>0</v>
      </c>
      <c r="F49" s="1294">
        <v>0</v>
      </c>
    </row>
    <row r="50" spans="1:6">
      <c r="A50" s="1293" t="s">
        <v>31</v>
      </c>
      <c r="B50" s="1293" t="s">
        <v>40</v>
      </c>
      <c r="C50" s="1294">
        <v>7</v>
      </c>
      <c r="D50" s="1294">
        <v>1767065.6369683701</v>
      </c>
      <c r="E50" s="1294">
        <v>14</v>
      </c>
      <c r="F50" s="1294">
        <v>11011769.819950201</v>
      </c>
    </row>
    <row r="51" spans="1:6">
      <c r="A51" s="1293" t="s">
        <v>41</v>
      </c>
      <c r="B51" s="1293" t="s">
        <v>42</v>
      </c>
      <c r="C51" s="1294">
        <v>0</v>
      </c>
      <c r="D51" s="1294">
        <v>0</v>
      </c>
      <c r="E51" s="1294">
        <v>140</v>
      </c>
      <c r="F51" s="1294">
        <v>3978874.6453896398</v>
      </c>
    </row>
    <row r="52" spans="1:6">
      <c r="A52" s="1293" t="s">
        <v>41</v>
      </c>
      <c r="B52" s="1293" t="s">
        <v>28</v>
      </c>
      <c r="C52" s="1294">
        <v>6</v>
      </c>
      <c r="D52" s="1294">
        <v>114754.509897146</v>
      </c>
      <c r="E52" s="1294">
        <v>10</v>
      </c>
      <c r="F52" s="1294">
        <v>244392.04954111399</v>
      </c>
    </row>
    <row r="53" spans="1:6">
      <c r="A53" s="1293" t="s">
        <v>43</v>
      </c>
      <c r="B53" s="1293" t="s">
        <v>44</v>
      </c>
      <c r="C53" s="1294">
        <v>84</v>
      </c>
      <c r="D53" s="1294">
        <v>4207120.7956968704</v>
      </c>
      <c r="E53" s="1294">
        <v>206</v>
      </c>
      <c r="F53" s="1294">
        <v>2096837.00340773</v>
      </c>
    </row>
    <row r="54" spans="1:6">
      <c r="A54" s="1293" t="s">
        <v>45</v>
      </c>
      <c r="B54" s="1293" t="s">
        <v>46</v>
      </c>
      <c r="C54" s="1294">
        <v>0</v>
      </c>
      <c r="D54" s="1294">
        <v>0</v>
      </c>
      <c r="E54" s="1294">
        <v>1</v>
      </c>
      <c r="F54" s="1294">
        <v>771561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548545.24237039499</v>
      </c>
      <c r="E57" s="1294">
        <v>132</v>
      </c>
      <c r="F57" s="1294">
        <v>3526565.3173020999</v>
      </c>
    </row>
    <row r="58" spans="1:6">
      <c r="A58" s="1293" t="s">
        <v>48</v>
      </c>
      <c r="B58" s="1293" t="s">
        <v>50</v>
      </c>
      <c r="C58" s="1294">
        <v>19</v>
      </c>
      <c r="D58" s="1294">
        <v>874654.16219199903</v>
      </c>
      <c r="E58" s="1294">
        <v>41</v>
      </c>
      <c r="F58" s="1294">
        <v>484353.67224393401</v>
      </c>
    </row>
    <row r="59" spans="1:6">
      <c r="A59" s="1293" t="s">
        <v>48</v>
      </c>
      <c r="B59" s="1293" t="s">
        <v>51</v>
      </c>
      <c r="C59" s="1294">
        <v>47</v>
      </c>
      <c r="D59" s="1294">
        <v>1695039.9838958301</v>
      </c>
      <c r="E59" s="1294">
        <v>133</v>
      </c>
      <c r="F59" s="1294">
        <v>4387781.5594471497</v>
      </c>
    </row>
    <row r="60" spans="1:6">
      <c r="A60" s="1293" t="s">
        <v>48</v>
      </c>
      <c r="B60" s="1293" t="s">
        <v>52</v>
      </c>
      <c r="C60" s="1294">
        <v>64</v>
      </c>
      <c r="D60" s="1294">
        <v>6486132.0482197301</v>
      </c>
      <c r="E60" s="1294">
        <v>113</v>
      </c>
      <c r="F60" s="1294">
        <v>5138671.3665002296</v>
      </c>
    </row>
    <row r="61" spans="1:6">
      <c r="A61" s="1293" t="s">
        <v>48</v>
      </c>
      <c r="B61" s="1293" t="s">
        <v>53</v>
      </c>
      <c r="C61" s="1294">
        <v>176</v>
      </c>
      <c r="D61" s="1294">
        <v>6697304.66756419</v>
      </c>
      <c r="E61" s="1294">
        <v>262</v>
      </c>
      <c r="F61" s="1294">
        <v>2944419.42513033</v>
      </c>
    </row>
    <row r="62" spans="1:6">
      <c r="A62" s="1293" t="s">
        <v>48</v>
      </c>
      <c r="B62" s="1293" t="s">
        <v>54</v>
      </c>
      <c r="C62" s="1294">
        <v>6</v>
      </c>
      <c r="D62" s="1294">
        <v>512481.04159572697</v>
      </c>
      <c r="E62" s="1294">
        <v>11</v>
      </c>
      <c r="F62" s="1294">
        <v>214817.52745437899</v>
      </c>
    </row>
    <row r="63" spans="1:6">
      <c r="A63" s="1293" t="s">
        <v>48</v>
      </c>
      <c r="B63" s="1293" t="s">
        <v>28</v>
      </c>
      <c r="C63" s="1294">
        <v>84</v>
      </c>
      <c r="D63" s="1294">
        <v>8112684.0361605501</v>
      </c>
      <c r="E63" s="1294">
        <v>101</v>
      </c>
      <c r="F63" s="1294">
        <v>4824248.5700797103</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49029.326185630103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98388397</v>
      </c>
      <c r="E73" s="445"/>
      <c r="F73" s="327"/>
    </row>
    <row r="74" spans="1:6">
      <c r="A74" s="1293" t="s">
        <v>63</v>
      </c>
      <c r="B74" s="1293" t="s">
        <v>749</v>
      </c>
      <c r="C74" s="1306" t="s">
        <v>743</v>
      </c>
      <c r="D74" s="1294">
        <v>6126421.2636336777</v>
      </c>
      <c r="E74" s="445"/>
      <c r="F74" s="327"/>
    </row>
    <row r="75" spans="1:6">
      <c r="A75" s="1293" t="s">
        <v>64</v>
      </c>
      <c r="B75" s="1293" t="s">
        <v>748</v>
      </c>
      <c r="C75" s="1306" t="s">
        <v>744</v>
      </c>
      <c r="D75" s="1294">
        <v>19927790</v>
      </c>
      <c r="E75" s="445"/>
      <c r="F75" s="327"/>
    </row>
    <row r="76" spans="1:6">
      <c r="A76" s="1293" t="s">
        <v>64</v>
      </c>
      <c r="B76" s="1293" t="s">
        <v>749</v>
      </c>
      <c r="C76" s="1306" t="s">
        <v>745</v>
      </c>
      <c r="D76" s="1294">
        <v>837843.26363367762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419939.47273264476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1092.608619630452</v>
      </c>
      <c r="C90" s="327"/>
      <c r="D90" s="327"/>
      <c r="E90" s="327"/>
      <c r="F90" s="327"/>
    </row>
    <row r="91" spans="1:6">
      <c r="A91" s="1293" t="s">
        <v>67</v>
      </c>
      <c r="B91" s="1294">
        <v>4392.2647274334677</v>
      </c>
      <c r="C91" s="327"/>
      <c r="D91" s="327"/>
      <c r="E91" s="327"/>
      <c r="F91" s="327"/>
    </row>
    <row r="92" spans="1:6">
      <c r="A92" s="1288" t="s">
        <v>68</v>
      </c>
      <c r="B92" s="1289">
        <v>1196.30834320177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2144</v>
      </c>
      <c r="C97" s="327"/>
      <c r="D97" s="327"/>
      <c r="E97" s="327"/>
      <c r="F97" s="327"/>
    </row>
    <row r="98" spans="1:6">
      <c r="A98" s="1293" t="s">
        <v>71</v>
      </c>
      <c r="B98" s="1294">
        <v>12</v>
      </c>
      <c r="C98" s="327"/>
      <c r="D98" s="327"/>
      <c r="E98" s="327"/>
      <c r="F98" s="327"/>
    </row>
    <row r="99" spans="1:6">
      <c r="A99" s="1293" t="s">
        <v>72</v>
      </c>
      <c r="B99" s="1294">
        <v>63</v>
      </c>
      <c r="C99" s="327"/>
      <c r="D99" s="327"/>
      <c r="E99" s="327"/>
      <c r="F99" s="327"/>
    </row>
    <row r="100" spans="1:6">
      <c r="A100" s="1293" t="s">
        <v>73</v>
      </c>
      <c r="B100" s="1294">
        <v>245</v>
      </c>
      <c r="C100" s="327"/>
      <c r="D100" s="327"/>
      <c r="E100" s="327"/>
      <c r="F100" s="327"/>
    </row>
    <row r="101" spans="1:6">
      <c r="A101" s="1293" t="s">
        <v>74</v>
      </c>
      <c r="B101" s="1294">
        <v>193</v>
      </c>
      <c r="C101" s="327"/>
      <c r="D101" s="327"/>
      <c r="E101" s="327"/>
      <c r="F101" s="327"/>
    </row>
    <row r="102" spans="1:6">
      <c r="A102" s="1293" t="s">
        <v>75</v>
      </c>
      <c r="B102" s="1294">
        <v>70</v>
      </c>
      <c r="C102" s="327"/>
      <c r="D102" s="327"/>
      <c r="E102" s="327"/>
      <c r="F102" s="327"/>
    </row>
    <row r="103" spans="1:6">
      <c r="A103" s="1293" t="s">
        <v>76</v>
      </c>
      <c r="B103" s="1294">
        <v>116</v>
      </c>
      <c r="C103" s="327"/>
      <c r="D103" s="327"/>
      <c r="E103" s="327"/>
      <c r="F103" s="327"/>
    </row>
    <row r="104" spans="1:6">
      <c r="A104" s="1293" t="s">
        <v>77</v>
      </c>
      <c r="B104" s="1294">
        <v>3477</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21</v>
      </c>
      <c r="C123" s="1294">
        <v>5</v>
      </c>
      <c r="D123" s="327"/>
      <c r="E123" s="327"/>
      <c r="F123" s="327"/>
    </row>
    <row r="124" spans="1:6">
      <c r="A124" s="1293" t="s">
        <v>88</v>
      </c>
      <c r="B124" s="1294">
        <v>2</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101</v>
      </c>
      <c r="C129" s="327"/>
      <c r="D129" s="327"/>
      <c r="E129" s="327"/>
      <c r="F129" s="327"/>
    </row>
    <row r="130" spans="1:6">
      <c r="A130" s="1293" t="s">
        <v>284</v>
      </c>
      <c r="B130" s="1294">
        <v>3</v>
      </c>
      <c r="C130" s="327"/>
      <c r="D130" s="327"/>
      <c r="E130" s="327"/>
      <c r="F130" s="327"/>
    </row>
    <row r="131" spans="1:6">
      <c r="A131" s="1293" t="s">
        <v>285</v>
      </c>
      <c r="B131" s="1294">
        <v>1</v>
      </c>
      <c r="C131" s="327"/>
      <c r="D131" s="327"/>
      <c r="E131" s="327"/>
      <c r="F131" s="327"/>
    </row>
    <row r="132" spans="1:6">
      <c r="A132" s="1288" t="s">
        <v>286</v>
      </c>
      <c r="B132" s="1289">
        <v>14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76436.028196883592</v>
      </c>
      <c r="C3" s="44" t="s">
        <v>163</v>
      </c>
      <c r="D3" s="44"/>
      <c r="E3" s="157"/>
      <c r="F3" s="44"/>
      <c r="G3" s="44"/>
      <c r="H3" s="44"/>
      <c r="I3" s="44"/>
      <c r="J3" s="44"/>
      <c r="K3" s="97"/>
    </row>
    <row r="4" spans="1:11">
      <c r="A4" s="352" t="s">
        <v>164</v>
      </c>
      <c r="B4" s="50">
        <f>IF(ISERROR('SEAP template'!B78+'SEAP template'!C78),0,'SEAP template'!B78+'SEAP template'!C78)</f>
        <v>8023.6816902656901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0.19780107541719424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7.5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771.56100000000004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771.56100000000004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0.19780107541719424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152.6155955499658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28997.479513982402</v>
      </c>
      <c r="C5" s="18">
        <f>IF(ISERROR('Eigen informatie GS &amp; warmtenet'!B57),0,'Eigen informatie GS &amp; warmtenet'!B57)</f>
        <v>0</v>
      </c>
      <c r="D5" s="31">
        <f>(SUM(HH_hh_gas_kWh,HH_rest_gas_kWh)/1000)*0.902</f>
        <v>66986.631743767721</v>
      </c>
      <c r="E5" s="18">
        <f>B32*B41</f>
        <v>1871.3704297153859</v>
      </c>
      <c r="F5" s="18">
        <f>B36*B45</f>
        <v>57052.651259997925</v>
      </c>
      <c r="G5" s="19"/>
      <c r="H5" s="18"/>
      <c r="I5" s="18"/>
      <c r="J5" s="18">
        <f>B35*B44+C35*C44</f>
        <v>1035.2004773540145</v>
      </c>
      <c r="K5" s="18"/>
      <c r="L5" s="18"/>
      <c r="M5" s="18"/>
      <c r="N5" s="18">
        <f>B34*B43+C34*C43</f>
        <v>10588.878594451187</v>
      </c>
      <c r="O5" s="18">
        <f>B52*B53*B54</f>
        <v>165.71333333333337</v>
      </c>
      <c r="P5" s="18">
        <f>B60*B61*B62/1000-B60*B61*B62/1000/B63</f>
        <v>705.4666666666667</v>
      </c>
    </row>
    <row r="6" spans="1:16">
      <c r="A6" s="17" t="s">
        <v>622</v>
      </c>
      <c r="B6" s="766">
        <f>kWh_PV_kleiner_dan_10kW</f>
        <v>4392.2647274334677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33389.744241415872</v>
      </c>
      <c r="C8" s="22">
        <f>C5</f>
        <v>0</v>
      </c>
      <c r="D8" s="22">
        <f>D5</f>
        <v>66986.631743767721</v>
      </c>
      <c r="E8" s="22">
        <f>E5</f>
        <v>1871.3704297153859</v>
      </c>
      <c r="F8" s="22">
        <f>F5</f>
        <v>57052.651259997925</v>
      </c>
      <c r="G8" s="22"/>
      <c r="H8" s="22"/>
      <c r="I8" s="22"/>
      <c r="J8" s="22">
        <f>J5</f>
        <v>1035.2004773540145</v>
      </c>
      <c r="K8" s="22"/>
      <c r="L8" s="22">
        <f>L5</f>
        <v>0</v>
      </c>
      <c r="M8" s="22">
        <f>M5</f>
        <v>0</v>
      </c>
      <c r="N8" s="22">
        <f>N5</f>
        <v>10588.878594451187</v>
      </c>
      <c r="O8" s="22">
        <f>O5</f>
        <v>165.71333333333337</v>
      </c>
      <c r="P8" s="22">
        <f>P5</f>
        <v>705.4666666666667</v>
      </c>
    </row>
    <row r="9" spans="1:16">
      <c r="B9" s="20"/>
      <c r="C9" s="20"/>
      <c r="D9" s="258"/>
      <c r="E9" s="20"/>
      <c r="F9" s="20"/>
      <c r="G9" s="20"/>
      <c r="H9" s="20"/>
      <c r="I9" s="20"/>
      <c r="J9" s="20"/>
      <c r="K9" s="20"/>
      <c r="L9" s="20"/>
      <c r="M9" s="20"/>
      <c r="N9" s="20"/>
      <c r="O9" s="20"/>
      <c r="P9" s="20"/>
    </row>
    <row r="10" spans="1:16">
      <c r="A10" s="25" t="s">
        <v>207</v>
      </c>
      <c r="B10" s="26">
        <f ca="1">'EF ele_warmte'!B12</f>
        <v>0.19780107541719424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6604.5273188571282</v>
      </c>
      <c r="C12" s="24">
        <f ca="1">C10*C8</f>
        <v>0</v>
      </c>
      <c r="D12" s="24">
        <f>D8*D10</f>
        <v>13531.29961224108</v>
      </c>
      <c r="E12" s="24">
        <f>E10*E8</f>
        <v>424.80108754539259</v>
      </c>
      <c r="F12" s="24">
        <f>F10*F8</f>
        <v>15233.057886419447</v>
      </c>
      <c r="G12" s="24"/>
      <c r="H12" s="24"/>
      <c r="I12" s="24"/>
      <c r="J12" s="24">
        <f>J10*J8</f>
        <v>366.46096898332115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7168</v>
      </c>
      <c r="C26" s="37"/>
      <c r="D26" s="228"/>
    </row>
    <row r="27" spans="1:5" s="16" customFormat="1">
      <c r="A27" s="230" t="s">
        <v>648</v>
      </c>
      <c r="B27" s="38">
        <f>SUM(HH_hh_gas_aantal,HH_rest_gas_aantal)</f>
        <v>3719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3533.05</v>
      </c>
      <c r="C31" s="35" t="s">
        <v>104</v>
      </c>
      <c r="D31" s="174"/>
    </row>
    <row r="32" spans="1:5">
      <c r="A32" s="171" t="s">
        <v>72</v>
      </c>
      <c r="B32" s="34">
        <f>IF((B21*($B$26-($B$27-0.05*$B$27)-$B$60))&lt;0,0,B21*($B$26-($B$27-0.05*$B$27)-$B$60))</f>
        <v>88.42081061846234</v>
      </c>
      <c r="C32" s="35" t="s">
        <v>104</v>
      </c>
      <c r="D32" s="174"/>
    </row>
    <row r="33" spans="1:6">
      <c r="A33" s="171" t="s">
        <v>73</v>
      </c>
      <c r="B33" s="34">
        <f>IF((B22*($B$26-($B$27-0.05*$B$27)-$B$60))&lt;0,0,B22*($B$26-($B$27-0.05*$B$27)-$B$60))</f>
        <v>595.17575888211275</v>
      </c>
      <c r="C33" s="35" t="s">
        <v>104</v>
      </c>
      <c r="D33" s="174"/>
    </row>
    <row r="34" spans="1:6">
      <c r="A34" s="171" t="s">
        <v>74</v>
      </c>
      <c r="B34" s="34">
        <f>IF((B24*($B$26-($B$27-0.05*$B$27)-$B$60))&lt;0,0,B24*($B$26-($B$27-0.05*$B$27)-$B$60))</f>
        <v>150.94911762077845</v>
      </c>
      <c r="C34" s="34">
        <f>B26*C24</f>
        <v>1465.8726847319099</v>
      </c>
      <c r="D34" s="233"/>
    </row>
    <row r="35" spans="1:6">
      <c r="A35" s="171" t="s">
        <v>76</v>
      </c>
      <c r="B35" s="34">
        <f>IF((B19*($B$26-($B$27-0.05*$B$27)-$B$60))&lt;0,0,B19*($B$26-($B$27-0.05*$B$27)-$B$60))</f>
        <v>56.118105010832743</v>
      </c>
      <c r="C35" s="34">
        <f>B35/2</f>
        <v>28.059052505416371</v>
      </c>
      <c r="D35" s="233"/>
    </row>
    <row r="36" spans="1:6">
      <c r="A36" s="171" t="s">
        <v>77</v>
      </c>
      <c r="B36" s="34">
        <f>IF((B18*($B$26-($B$27-0.05*$B$27)-$B$60))&lt;0,0,B18*($B$26-($B$27-0.05*$B$27)-$B$60))</f>
        <v>2707.2862078678127</v>
      </c>
      <c r="C36" s="35" t="s">
        <v>104</v>
      </c>
      <c r="D36" s="174"/>
    </row>
    <row r="37" spans="1:6">
      <c r="A37" s="171" t="s">
        <v>78</v>
      </c>
      <c r="B37" s="34">
        <f>B60</f>
        <v>37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106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21520.857438157833</v>
      </c>
      <c r="C5" s="18">
        <f>IF(ISERROR('Eigen informatie GS &amp; warmtenet'!B58),0,'Eigen informatie GS &amp; warmtenet'!B58)</f>
        <v>0</v>
      </c>
      <c r="D5" s="31">
        <f>SUM(D6:D12)</f>
        <v>22484.010746162578</v>
      </c>
      <c r="E5" s="18">
        <f>SUM(E6:E12)</f>
        <v>366.26737615380989</v>
      </c>
      <c r="F5" s="18">
        <f>SUM(F6:F12)</f>
        <v>4657.5875476272013</v>
      </c>
      <c r="G5" s="19"/>
      <c r="H5" s="18"/>
      <c r="I5" s="18"/>
      <c r="J5" s="18">
        <f>SUM(J6:J12)</f>
        <v>0</v>
      </c>
      <c r="K5" s="18"/>
      <c r="L5" s="18"/>
      <c r="M5" s="18"/>
      <c r="N5" s="18">
        <f>SUM(N6:N12)</f>
        <v>2379.4983194015749</v>
      </c>
      <c r="O5" s="18">
        <f>B38*B39*B40</f>
        <v>4.6900000000000004</v>
      </c>
      <c r="P5" s="18">
        <f>B46*B47*B48/1000-B46*B47*B48/1000/B49</f>
        <v>19.066666666666666</v>
      </c>
      <c r="R5" s="33"/>
    </row>
    <row r="6" spans="1:18">
      <c r="A6" s="33" t="s">
        <v>53</v>
      </c>
      <c r="B6" s="38">
        <f>B26</f>
        <v>2944.4194251303302</v>
      </c>
      <c r="C6" s="34"/>
      <c r="D6" s="38">
        <f>IF(ISERROR(TER_kantoor_gas_kWh/1000),0,TER_kantoor_gas_kWh/1000)*0.902</f>
        <v>6040.9688101428992</v>
      </c>
      <c r="E6" s="34">
        <f>$C$26*'E Balans VL '!I12/100/3.6*1000000</f>
        <v>4.8323890393456121</v>
      </c>
      <c r="F6" s="34">
        <f>$C$26*('E Balans VL '!L12+'E Balans VL '!N12)/100/3.6*1000000</f>
        <v>347.07777179592597</v>
      </c>
      <c r="G6" s="35"/>
      <c r="H6" s="34"/>
      <c r="I6" s="34"/>
      <c r="J6" s="34">
        <f>$C$26*('E Balans VL '!D12+'E Balans VL '!E12)/100/3.6*1000000</f>
        <v>0</v>
      </c>
      <c r="K6" s="34"/>
      <c r="L6" s="34"/>
      <c r="M6" s="34"/>
      <c r="N6" s="34">
        <f>$C$26*'E Balans VL '!Y12/100/3.6*1000000</f>
        <v>0.59490600188013076</v>
      </c>
      <c r="O6" s="34"/>
      <c r="P6" s="34"/>
      <c r="R6" s="33"/>
    </row>
    <row r="7" spans="1:18">
      <c r="A7" s="33" t="s">
        <v>52</v>
      </c>
      <c r="B7" s="38">
        <f t="shared" ref="B7:B12" si="0">B27</f>
        <v>5138.6713665002299</v>
      </c>
      <c r="C7" s="34"/>
      <c r="D7" s="38">
        <f>IF(ISERROR(TER_horeca_gas_kWh/1000),0,TER_horeca_gas_kWh/1000)*0.902</f>
        <v>5850.4911074941965</v>
      </c>
      <c r="E7" s="34">
        <f>$C$27*'E Balans VL '!I9/100/3.6*1000000</f>
        <v>266.65985969964123</v>
      </c>
      <c r="F7" s="34">
        <f>$C$27*('E Balans VL '!L9+'E Balans VL '!N9)/100/3.6*1000000</f>
        <v>1172.648534473776</v>
      </c>
      <c r="G7" s="35"/>
      <c r="H7" s="34"/>
      <c r="I7" s="34"/>
      <c r="J7" s="34">
        <f>$C$27*('E Balans VL '!D9+'E Balans VL '!E9)/100/3.6*1000000</f>
        <v>0</v>
      </c>
      <c r="K7" s="34"/>
      <c r="L7" s="34"/>
      <c r="M7" s="34"/>
      <c r="N7" s="34">
        <f>$C$27*'E Balans VL '!Y9/100/3.6*1000000</f>
        <v>0.54264134140353248</v>
      </c>
      <c r="O7" s="34"/>
      <c r="P7" s="34"/>
      <c r="R7" s="33"/>
    </row>
    <row r="8" spans="1:18">
      <c r="A8" s="6" t="s">
        <v>51</v>
      </c>
      <c r="B8" s="38">
        <f t="shared" si="0"/>
        <v>4387.7815594471494</v>
      </c>
      <c r="C8" s="34"/>
      <c r="D8" s="38">
        <f>IF(ISERROR(TER_handel_gas_kWh/1000),0,TER_handel_gas_kWh/1000)*0.902</f>
        <v>1528.9260654740388</v>
      </c>
      <c r="E8" s="34">
        <f>$C$28*'E Balans VL '!I13/100/3.6*1000000</f>
        <v>23.628742884312853</v>
      </c>
      <c r="F8" s="34">
        <f>$C$28*('E Balans VL '!L13+'E Balans VL '!N13)/100/3.6*1000000</f>
        <v>894.79905309513401</v>
      </c>
      <c r="G8" s="35"/>
      <c r="H8" s="34"/>
      <c r="I8" s="34"/>
      <c r="J8" s="34">
        <f>$C$28*('E Balans VL '!D13+'E Balans VL '!E13)/100/3.6*1000000</f>
        <v>0</v>
      </c>
      <c r="K8" s="34"/>
      <c r="L8" s="34"/>
      <c r="M8" s="34"/>
      <c r="N8" s="34">
        <f>$C$28*'E Balans VL '!Y13/100/3.6*1000000</f>
        <v>21.818120574075994</v>
      </c>
      <c r="O8" s="34"/>
      <c r="P8" s="34"/>
      <c r="R8" s="33"/>
    </row>
    <row r="9" spans="1:18">
      <c r="A9" s="33" t="s">
        <v>50</v>
      </c>
      <c r="B9" s="38">
        <f t="shared" si="0"/>
        <v>484.353672243934</v>
      </c>
      <c r="C9" s="34"/>
      <c r="D9" s="38">
        <f>IF(ISERROR(TER_gezond_gas_kWh/1000),0,TER_gezond_gas_kWh/1000)*0.902</f>
        <v>788.93805429718316</v>
      </c>
      <c r="E9" s="34">
        <f>$C$29*'E Balans VL '!I10/100/3.6*1000000</f>
        <v>0.47999999724090364</v>
      </c>
      <c r="F9" s="34">
        <f>$C$29*('E Balans VL '!L10+'E Balans VL '!N10)/100/3.6*1000000</f>
        <v>168.05676330964585</v>
      </c>
      <c r="G9" s="35"/>
      <c r="H9" s="34"/>
      <c r="I9" s="34"/>
      <c r="J9" s="34">
        <f>$C$29*('E Balans VL '!D10+'E Balans VL '!E10)/100/3.6*1000000</f>
        <v>0</v>
      </c>
      <c r="K9" s="34"/>
      <c r="L9" s="34"/>
      <c r="M9" s="34"/>
      <c r="N9" s="34">
        <f>$C$29*'E Balans VL '!Y10/100/3.6*1000000</f>
        <v>4.1736336343685183</v>
      </c>
      <c r="O9" s="34"/>
      <c r="P9" s="34"/>
      <c r="R9" s="33"/>
    </row>
    <row r="10" spans="1:18">
      <c r="A10" s="33" t="s">
        <v>49</v>
      </c>
      <c r="B10" s="38">
        <f t="shared" si="0"/>
        <v>3526.5653173021001</v>
      </c>
      <c r="C10" s="34"/>
      <c r="D10" s="38">
        <f>IF(ISERROR(TER_ander_gas_kWh/1000),0,TER_ander_gas_kWh/1000)*0.902</f>
        <v>494.78780861809634</v>
      </c>
      <c r="E10" s="34">
        <f>$C$30*'E Balans VL '!I14/100/3.6*1000000</f>
        <v>28.850828846554922</v>
      </c>
      <c r="F10" s="34">
        <f>$C$30*('E Balans VL '!L14+'E Balans VL '!N14)/100/3.6*1000000</f>
        <v>1031.0241263587998</v>
      </c>
      <c r="G10" s="35"/>
      <c r="H10" s="34"/>
      <c r="I10" s="34"/>
      <c r="J10" s="34">
        <f>$C$30*('E Balans VL '!D14+'E Balans VL '!E14)/100/3.6*1000000</f>
        <v>0</v>
      </c>
      <c r="K10" s="34"/>
      <c r="L10" s="34"/>
      <c r="M10" s="34"/>
      <c r="N10" s="34">
        <f>$C$30*'E Balans VL '!Y14/100/3.6*1000000</f>
        <v>2034.365463616042</v>
      </c>
      <c r="O10" s="34"/>
      <c r="P10" s="34"/>
      <c r="R10" s="33"/>
    </row>
    <row r="11" spans="1:18">
      <c r="A11" s="33" t="s">
        <v>54</v>
      </c>
      <c r="B11" s="38">
        <f t="shared" si="0"/>
        <v>214.81752745437899</v>
      </c>
      <c r="C11" s="34"/>
      <c r="D11" s="38">
        <f>IF(ISERROR(TER_onderwijs_gas_kWh/1000),0,TER_onderwijs_gas_kWh/1000)*0.902</f>
        <v>462.25789951934576</v>
      </c>
      <c r="E11" s="34">
        <f>$C$31*'E Balans VL '!I11/100/3.6*1000000</f>
        <v>0.1324044598715004</v>
      </c>
      <c r="F11" s="34">
        <f>$C$31*('E Balans VL '!L11+'E Balans VL '!N11)/100/3.6*1000000</f>
        <v>83.051935012683074</v>
      </c>
      <c r="G11" s="35"/>
      <c r="H11" s="34"/>
      <c r="I11" s="34"/>
      <c r="J11" s="34">
        <f>$C$31*('E Balans VL '!D11+'E Balans VL '!E11)/100/3.6*1000000</f>
        <v>0</v>
      </c>
      <c r="K11" s="34"/>
      <c r="L11" s="34"/>
      <c r="M11" s="34"/>
      <c r="N11" s="34">
        <f>$C$31*'E Balans VL '!Y11/100/3.6*1000000</f>
        <v>0.69875538239586255</v>
      </c>
      <c r="O11" s="34"/>
      <c r="P11" s="34"/>
      <c r="R11" s="33"/>
    </row>
    <row r="12" spans="1:18">
      <c r="A12" s="33" t="s">
        <v>249</v>
      </c>
      <c r="B12" s="38">
        <f t="shared" si="0"/>
        <v>4824.2485700797106</v>
      </c>
      <c r="C12" s="34"/>
      <c r="D12" s="38">
        <f>IF(ISERROR(TER_rest_gas_kWh/1000),0,TER_rest_gas_kWh/1000)*0.902</f>
        <v>7317.6410006168162</v>
      </c>
      <c r="E12" s="34">
        <f>$C$32*'E Balans VL '!I8/100/3.6*1000000</f>
        <v>41.683151226842902</v>
      </c>
      <c r="F12" s="34">
        <f>$C$32*('E Balans VL '!L8+'E Balans VL '!N8)/100/3.6*1000000</f>
        <v>960.92936358123711</v>
      </c>
      <c r="G12" s="35"/>
      <c r="H12" s="34"/>
      <c r="I12" s="34"/>
      <c r="J12" s="34">
        <f>$C$32*('E Balans VL '!D8+'E Balans VL '!E8)/100/3.6*1000000</f>
        <v>0</v>
      </c>
      <c r="K12" s="34"/>
      <c r="L12" s="34"/>
      <c r="M12" s="34"/>
      <c r="N12" s="34">
        <f>$C$32*'E Balans VL '!Y8/100/3.6*1000000</f>
        <v>317.30479885140869</v>
      </c>
      <c r="O12" s="34"/>
      <c r="P12" s="34"/>
      <c r="R12" s="33"/>
    </row>
    <row r="13" spans="1:18">
      <c r="A13" s="17" t="s">
        <v>489</v>
      </c>
      <c r="B13" s="246">
        <f ca="1">'lokale energieproductie'!N38+'lokale energieproductie'!N31</f>
        <v>1341</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-3831.4285714285716</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22861.857438157833</v>
      </c>
      <c r="C16" s="22">
        <f t="shared" ca="1" si="1"/>
        <v>0</v>
      </c>
      <c r="D16" s="22">
        <f t="shared" ca="1" si="1"/>
        <v>22484.010746162578</v>
      </c>
      <c r="E16" s="22">
        <f t="shared" si="1"/>
        <v>366.26737615380989</v>
      </c>
      <c r="F16" s="22">
        <f t="shared" ca="1" si="1"/>
        <v>4657.5875476272013</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0.19780107541719424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4522.099987302201</v>
      </c>
      <c r="C20" s="24">
        <f t="shared" ref="C20:P20" ca="1" si="2">C16*C18</f>
        <v>0</v>
      </c>
      <c r="D20" s="24">
        <f t="shared" ca="1" si="2"/>
        <v>4541.7701707248407</v>
      </c>
      <c r="E20" s="24">
        <f t="shared" si="2"/>
        <v>83.142694386914854</v>
      </c>
      <c r="F20" s="24">
        <f t="shared" ca="1" si="2"/>
        <v>1243.5758752164629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2944.4194251303302</v>
      </c>
      <c r="C26" s="40">
        <f>IF(ISERROR(B26*3.6/1000000/'E Balans VL '!Z12*100),0,B26*3.6/1000000/'E Balans VL '!Z12*100)</f>
        <v>6.2566801249444082E-2</v>
      </c>
      <c r="D26" s="236" t="s">
        <v>685</v>
      </c>
      <c r="F26" s="6"/>
    </row>
    <row r="27" spans="1:18">
      <c r="A27" s="231" t="s">
        <v>52</v>
      </c>
      <c r="B27" s="34">
        <f>IF(ISERROR(TER_horeca_ele_kWh/1000),0,TER_horeca_ele_kWh/1000)</f>
        <v>5138.6713665002299</v>
      </c>
      <c r="C27" s="40">
        <f>IF(ISERROR(B27*3.6/1000000/'E Balans VL '!Z9*100),0,B27*3.6/1000000/'E Balans VL '!Z9*100)</f>
        <v>0.40445317371691863</v>
      </c>
      <c r="D27" s="236" t="s">
        <v>685</v>
      </c>
      <c r="F27" s="6"/>
    </row>
    <row r="28" spans="1:18">
      <c r="A28" s="171" t="s">
        <v>51</v>
      </c>
      <c r="B28" s="34">
        <f>IF(ISERROR(TER_handel_ele_kWh/1000),0,TER_handel_ele_kWh/1000)</f>
        <v>4387.7815594471494</v>
      </c>
      <c r="C28" s="40">
        <f>IF(ISERROR(B28*3.6/1000000/'E Balans VL '!Z13*100),0,B28*3.6/1000000/'E Balans VL '!Z13*100)</f>
        <v>0.12290410972809714</v>
      </c>
      <c r="D28" s="236" t="s">
        <v>685</v>
      </c>
      <c r="F28" s="6"/>
    </row>
    <row r="29" spans="1:18">
      <c r="A29" s="231" t="s">
        <v>50</v>
      </c>
      <c r="B29" s="34">
        <f>IF(ISERROR(TER_gezond_ele_kWh/1000),0,TER_gezond_ele_kWh/1000)</f>
        <v>484.353672243934</v>
      </c>
      <c r="C29" s="40">
        <f>IF(ISERROR(B29*3.6/1000000/'E Balans VL '!Z10*100),0,B29*3.6/1000000/'E Balans VL '!Z10*100)</f>
        <v>6.1963480945178388E-2</v>
      </c>
      <c r="D29" s="236" t="s">
        <v>685</v>
      </c>
      <c r="F29" s="6"/>
    </row>
    <row r="30" spans="1:18">
      <c r="A30" s="231" t="s">
        <v>49</v>
      </c>
      <c r="B30" s="34">
        <f>IF(ISERROR(TER_ander_ele_kWh/1000),0,TER_ander_ele_kWh/1000)</f>
        <v>3526.5653173021001</v>
      </c>
      <c r="C30" s="40">
        <f>IF(ISERROR(B30*3.6/1000000/'E Balans VL '!Z14*100),0,B30*3.6/1000000/'E Balans VL '!Z14*100)</f>
        <v>0.26375737037573888</v>
      </c>
      <c r="D30" s="236" t="s">
        <v>685</v>
      </c>
      <c r="F30" s="6"/>
    </row>
    <row r="31" spans="1:18">
      <c r="A31" s="231" t="s">
        <v>54</v>
      </c>
      <c r="B31" s="34">
        <f>IF(ISERROR(TER_onderwijs_ele_kWh/1000),0,TER_onderwijs_ele_kWh/1000)</f>
        <v>214.81752745437899</v>
      </c>
      <c r="C31" s="40">
        <f>IF(ISERROR(B31*3.6/1000000/'E Balans VL '!Z11*100),0,B31*3.6/1000000/'E Balans VL '!Z11*100)</f>
        <v>4.5358999181815157E-2</v>
      </c>
      <c r="D31" s="236" t="s">
        <v>685</v>
      </c>
    </row>
    <row r="32" spans="1:18">
      <c r="A32" s="231" t="s">
        <v>249</v>
      </c>
      <c r="B32" s="34">
        <f>IF(ISERROR(TER_rest_ele_kWh/1000),0,TER_rest_ele_kWh/1000)</f>
        <v>4824.2485700797106</v>
      </c>
      <c r="C32" s="40">
        <f>IF(ISERROR(B32*3.6/1000000/'E Balans VL '!Z8*100),0,B32*3.6/1000000/'E Balans VL '!Z8*100)</f>
        <v>3.9741831987111099E-2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13080.377497912146</v>
      </c>
      <c r="C5" s="18">
        <f>IF(ISERROR('Eigen informatie GS &amp; warmtenet'!B59),0,'Eigen informatie GS &amp; warmtenet'!B59)</f>
        <v>0</v>
      </c>
      <c r="D5" s="31">
        <f>SUM(D6:D15)</f>
        <v>3951.7015167451077</v>
      </c>
      <c r="E5" s="18">
        <f>SUM(E6:E15)</f>
        <v>125.4661191472216</v>
      </c>
      <c r="F5" s="18">
        <f>SUM(F6:F15)</f>
        <v>2377.6580804301648</v>
      </c>
      <c r="G5" s="19"/>
      <c r="H5" s="18"/>
      <c r="I5" s="18"/>
      <c r="J5" s="18">
        <f>SUM(J6:J15)</f>
        <v>4.5741132351522724</v>
      </c>
      <c r="K5" s="18"/>
      <c r="L5" s="18"/>
      <c r="M5" s="18"/>
      <c r="N5" s="18">
        <f>SUM(N6:N15)</f>
        <v>316.85032047527142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77.998703799665108</v>
      </c>
      <c r="C8" s="34"/>
      <c r="D8" s="38">
        <f>IF( ISERROR(IND_metaal_Gas_kWH/1000),0,IND_metaal_Gas_kWH/1000)*0.902</f>
        <v>0</v>
      </c>
      <c r="E8" s="34">
        <f>C30*'E Balans VL '!I18/100/3.6*1000000</f>
        <v>0.71032013917349568</v>
      </c>
      <c r="F8" s="34">
        <f>C30*'E Balans VL '!L18/100/3.6*1000000+C30*'E Balans VL '!N18/100/3.6*1000000</f>
        <v>10.287436698845545</v>
      </c>
      <c r="G8" s="35"/>
      <c r="H8" s="34"/>
      <c r="I8" s="34"/>
      <c r="J8" s="41">
        <f>C30*'E Balans VL '!D18/100/3.6*1000000+C30*'E Balans VL '!E18/100/3.6*1000000</f>
        <v>1.2790654922746028</v>
      </c>
      <c r="K8" s="34"/>
      <c r="L8" s="34"/>
      <c r="M8" s="34"/>
      <c r="N8" s="34">
        <f>C30*'E Balans VL '!Y18/100/3.6*1000000</f>
        <v>0.26805056005384681</v>
      </c>
      <c r="O8" s="34"/>
      <c r="P8" s="34"/>
      <c r="R8" s="33"/>
    </row>
    <row r="9" spans="1:18">
      <c r="A9" s="6" t="s">
        <v>32</v>
      </c>
      <c r="B9" s="38">
        <f t="shared" si="0"/>
        <v>1262.423440752</v>
      </c>
      <c r="C9" s="34"/>
      <c r="D9" s="38">
        <f>IF( ISERROR(IND_andere_gas_kWh/1000),0,IND_andere_gas_kWh/1000)*0.902</f>
        <v>1448.1052153285304</v>
      </c>
      <c r="E9" s="34">
        <f>C31*'E Balans VL '!I19/100/3.6*1000000</f>
        <v>7.2969961411256792</v>
      </c>
      <c r="F9" s="34">
        <f>C31*'E Balans VL '!L19/100/3.6*1000000+C31*'E Balans VL '!N19/100/3.6*1000000</f>
        <v>1004.3185925304007</v>
      </c>
      <c r="G9" s="35"/>
      <c r="H9" s="34"/>
      <c r="I9" s="34"/>
      <c r="J9" s="41">
        <f>C31*'E Balans VL '!D19/100/3.6*1000000+C31*'E Balans VL '!E19/100/3.6*1000000</f>
        <v>0.11941123489273266</v>
      </c>
      <c r="K9" s="34"/>
      <c r="L9" s="34"/>
      <c r="M9" s="34"/>
      <c r="N9" s="34">
        <f>C31*'E Balans VL '!Y19/100/3.6*1000000</f>
        <v>95.647680278773095</v>
      </c>
      <c r="O9" s="34"/>
      <c r="P9" s="34"/>
      <c r="R9" s="33"/>
    </row>
    <row r="10" spans="1:18">
      <c r="A10" s="6" t="s">
        <v>40</v>
      </c>
      <c r="B10" s="38">
        <f t="shared" si="0"/>
        <v>11011.769819950201</v>
      </c>
      <c r="C10" s="34"/>
      <c r="D10" s="38">
        <f>IF( ISERROR(IND_voed_gas_kWh/1000),0,IND_voed_gas_kWh/1000)*0.902</f>
        <v>1593.8932045454699</v>
      </c>
      <c r="E10" s="34">
        <f>C32*'E Balans VL '!I20/100/3.6*1000000</f>
        <v>108.2745057862022</v>
      </c>
      <c r="F10" s="34">
        <f>C32*'E Balans VL '!L20/100/3.6*1000000+C32*'E Balans VL '!N20/100/3.6*1000000</f>
        <v>1223.0007712210513</v>
      </c>
      <c r="G10" s="35"/>
      <c r="H10" s="34"/>
      <c r="I10" s="34"/>
      <c r="J10" s="41">
        <f>C32*'E Balans VL '!D20/100/3.6*1000000+C32*'E Balans VL '!E20/100/3.6*1000000</f>
        <v>4.3402383903118083E-2</v>
      </c>
      <c r="K10" s="34"/>
      <c r="L10" s="34"/>
      <c r="M10" s="34"/>
      <c r="N10" s="34">
        <f>C32*'E Balans VL '!Y20/100/3.6*1000000</f>
        <v>163.05840862053148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105.322711487284</v>
      </c>
      <c r="C13" s="34"/>
      <c r="D13" s="38">
        <f>IF( ISERROR(IND_papier_gas_kWh/1000),0,IND_papier_gas_kWh/1000)*0.902</f>
        <v>0</v>
      </c>
      <c r="E13" s="34">
        <f>C35*'E Balans VL '!I23/100/3.6*1000000</f>
        <v>3.5874442613155906</v>
      </c>
      <c r="F13" s="34">
        <f>C35*'E Balans VL '!L23/100/3.6*1000000+C35*'E Balans VL '!N23/100/3.6*1000000</f>
        <v>17.396840066869132</v>
      </c>
      <c r="G13" s="35"/>
      <c r="H13" s="34"/>
      <c r="I13" s="34"/>
      <c r="J13" s="41">
        <f>C35*'E Balans VL '!D23/100/3.6*1000000+C35*'E Balans VL '!E23/100/3.6*1000000</f>
        <v>0</v>
      </c>
      <c r="K13" s="34"/>
      <c r="L13" s="34"/>
      <c r="M13" s="34"/>
      <c r="N13" s="34">
        <f>C35*'E Balans VL '!Y23/100/3.6*1000000</f>
        <v>38.755933291156609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622.86282192299598</v>
      </c>
      <c r="C15" s="34"/>
      <c r="D15" s="38">
        <f>IF( ISERROR(IND_rest_gas_kWh/1000),0,IND_rest_gas_kWh/1000)*0.902</f>
        <v>909.70309687110728</v>
      </c>
      <c r="E15" s="34">
        <f>C37*'E Balans VL '!I15/100/3.6*1000000</f>
        <v>5.5968528194046314</v>
      </c>
      <c r="F15" s="34">
        <f>C37*'E Balans VL '!L15/100/3.6*1000000+C37*'E Balans VL '!N15/100/3.6*1000000</f>
        <v>122.65443991299801</v>
      </c>
      <c r="G15" s="35"/>
      <c r="H15" s="34"/>
      <c r="I15" s="34"/>
      <c r="J15" s="41">
        <f>C37*'E Balans VL '!D15/100/3.6*1000000+C37*'E Balans VL '!E15/100/3.6*1000000</f>
        <v>3.132234124081819</v>
      </c>
      <c r="K15" s="34"/>
      <c r="L15" s="34"/>
      <c r="M15" s="34"/>
      <c r="N15" s="34">
        <f>C37*'E Balans VL '!Y15/100/3.6*1000000</f>
        <v>19.1202477247564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13080.377497912146</v>
      </c>
      <c r="C18" s="22">
        <f>C5+C16</f>
        <v>0</v>
      </c>
      <c r="D18" s="22">
        <f>MAX((D5+D16),0)</f>
        <v>3951.7015167451077</v>
      </c>
      <c r="E18" s="22">
        <f>MAX((E5+E16),0)</f>
        <v>125.4661191472216</v>
      </c>
      <c r="F18" s="22">
        <f>MAX((F5+F16),0)</f>
        <v>2377.6580804301648</v>
      </c>
      <c r="G18" s="22"/>
      <c r="H18" s="22"/>
      <c r="I18" s="22"/>
      <c r="J18" s="22">
        <f>MAX((J5+J16),0)</f>
        <v>4.5741132351522724</v>
      </c>
      <c r="K18" s="22"/>
      <c r="L18" s="22">
        <f>MAX((L5+L16),0)</f>
        <v>0</v>
      </c>
      <c r="M18" s="22"/>
      <c r="N18" s="22">
        <f>MAX((N5+N16),0)</f>
        <v>316.85032047527142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0.19780107541719424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2587.3127359498908</v>
      </c>
      <c r="C22" s="24">
        <f ca="1">C18*C20</f>
        <v>0</v>
      </c>
      <c r="D22" s="24">
        <f>D18*D20</f>
        <v>798.24370638251185</v>
      </c>
      <c r="E22" s="24">
        <f>E18*E20</f>
        <v>28.480809046419306</v>
      </c>
      <c r="F22" s="24">
        <f>F18*F20</f>
        <v>634.83470747485399</v>
      </c>
      <c r="G22" s="24"/>
      <c r="H22" s="24"/>
      <c r="I22" s="24"/>
      <c r="J22" s="24">
        <f>J18*J20</f>
        <v>1.6192360852439043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77.998703799665108</v>
      </c>
      <c r="C30" s="40">
        <f>IF(ISERROR(B30*3.6/1000000/'E Balans VL '!Z18*100),0,B30*3.6/1000000/'E Balans VL '!Z18*100)</f>
        <v>4.3401062935940144E-3</v>
      </c>
      <c r="D30" s="236" t="s">
        <v>685</v>
      </c>
    </row>
    <row r="31" spans="1:18">
      <c r="A31" s="6" t="s">
        <v>32</v>
      </c>
      <c r="B31" s="38">
        <f>IF( ISERROR(IND_ander_ele_kWh/1000),0,IND_ander_ele_kWh/1000)</f>
        <v>1262.423440752</v>
      </c>
      <c r="C31" s="40">
        <f>IF(ISERROR(B31*3.6/1000000/'E Balans VL '!Z19*100),0,B31*3.6/1000000/'E Balans VL '!Z19*100)</f>
        <v>5.8686750254448826E-2</v>
      </c>
      <c r="D31" s="236" t="s">
        <v>685</v>
      </c>
    </row>
    <row r="32" spans="1:18">
      <c r="A32" s="171" t="s">
        <v>40</v>
      </c>
      <c r="B32" s="38">
        <f>IF( ISERROR(IND_voed_ele_kWh/1000),0,IND_voed_ele_kWh/1000)</f>
        <v>11011.769819950201</v>
      </c>
      <c r="C32" s="40">
        <f>IF(ISERROR(B32*3.6/1000000/'E Balans VL '!Z20*100),0,B32*3.6/1000000/'E Balans VL '!Z20*100)</f>
        <v>0.38924382392424783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105.322711487284</v>
      </c>
      <c r="C35" s="40">
        <f>IF(ISERROR(B35*3.6/1000000/'E Balans VL '!Z22*100),0,B35*3.6/1000000/'E Balans VL '!Z22*100)</f>
        <v>2.1166895008818923E-2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622.86282192299598</v>
      </c>
      <c r="C37" s="40">
        <f>IF(ISERROR(B37*3.6/1000000/'E Balans VL '!Z15*100),0,B37*3.6/1000000/'E Balans VL '!Z15*100)</f>
        <v>4.7035344130406291E-3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4223.2666949307541</v>
      </c>
      <c r="C5" s="18">
        <f>'Eigen informatie GS &amp; warmtenet'!B60</f>
        <v>0</v>
      </c>
      <c r="D5" s="31">
        <f>IF(ISERROR(SUM(LB_lb_gas_kWh,LB_rest_gas_kWh)/1000),0,SUM(LB_lb_gas_kWh,LB_rest_gas_kWh)/1000)*0.902</f>
        <v>103.50856792722568</v>
      </c>
      <c r="E5" s="18">
        <f>B17*'E Balans VL '!I25/3.6*1000000/100</f>
        <v>39.786001947755615</v>
      </c>
      <c r="F5" s="18">
        <f>B17*('E Balans VL '!L25/3.6*1000000+'E Balans VL '!N25/3.6*1000000)/100</f>
        <v>13781.920804683843</v>
      </c>
      <c r="G5" s="19"/>
      <c r="H5" s="18"/>
      <c r="I5" s="18"/>
      <c r="J5" s="18">
        <f>('E Balans VL '!D25+'E Balans VL '!E25)/3.6*1000000*landbouw!B17/100</f>
        <v>522.43863212819235</v>
      </c>
      <c r="K5" s="18"/>
      <c r="L5" s="18">
        <f>L6*(-1)</f>
        <v>0</v>
      </c>
      <c r="M5" s="18"/>
      <c r="N5" s="18">
        <f>N6*(-1)</f>
        <v>10</v>
      </c>
      <c r="O5" s="18"/>
      <c r="P5" s="18"/>
      <c r="R5" s="33"/>
    </row>
    <row r="6" spans="1:18">
      <c r="A6" s="17" t="s">
        <v>489</v>
      </c>
      <c r="B6" s="18" t="s">
        <v>204</v>
      </c>
      <c r="C6" s="18">
        <f>'lokale energieproductie'!O39+'lokale energieproductie'!O32</f>
        <v>7.5</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4223.2666949307541</v>
      </c>
      <c r="C8" s="22">
        <f>C5+C6</f>
        <v>7.5</v>
      </c>
      <c r="D8" s="22">
        <f>MAX((D5+D6),0)</f>
        <v>103.50856792722568</v>
      </c>
      <c r="E8" s="22">
        <f>MAX((E5+E6),0)</f>
        <v>39.786001947755615</v>
      </c>
      <c r="F8" s="22">
        <f>MAX((F5+F6),0)</f>
        <v>13781.920804683843</v>
      </c>
      <c r="G8" s="22"/>
      <c r="H8" s="22"/>
      <c r="I8" s="22"/>
      <c r="J8" s="22">
        <f>MAX((J5+J6),0)</f>
        <v>522.43863212819235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0.19780107541719424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835.36669403092276</v>
      </c>
      <c r="C12" s="24">
        <f ca="1">C8*C10</f>
        <v>0</v>
      </c>
      <c r="D12" s="24">
        <f>D8*D10</f>
        <v>20.908730721299591</v>
      </c>
      <c r="E12" s="24">
        <f>E8*E10</f>
        <v>9.0314224421405243</v>
      </c>
      <c r="F12" s="24">
        <f>F8*F10</f>
        <v>3679.7728548505861</v>
      </c>
      <c r="G12" s="24"/>
      <c r="H12" s="24"/>
      <c r="I12" s="24"/>
      <c r="J12" s="24">
        <f>J8*J10</f>
        <v>184.94327577338009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0.57176282484915053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554.44051180306394</v>
      </c>
      <c r="C26" s="246">
        <f>B26*'GWP N2O_CH4'!B5</f>
        <v>11643.250747864342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317.80495854327961</v>
      </c>
      <c r="C27" s="246">
        <f>B27*'GWP N2O_CH4'!B5</f>
        <v>6673.904129408872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19.075198899773049</v>
      </c>
      <c r="C28" s="246">
        <f>B28*'GWP N2O_CH4'!B4</f>
        <v>5913.3116589296451</v>
      </c>
      <c r="D28" s="51"/>
    </row>
    <row r="29" spans="1:4">
      <c r="A29" s="42" t="s">
        <v>266</v>
      </c>
      <c r="B29" s="246">
        <f>B34*'ha_N2O bodem landbouw'!B4</f>
        <v>16.728101602608035</v>
      </c>
      <c r="C29" s="246">
        <f>B29*'GWP N2O_CH4'!B4</f>
        <v>5185.7114968084907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4.5160608276020205E-3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1.7143011690218816E-5</v>
      </c>
      <c r="C5" s="433" t="s">
        <v>204</v>
      </c>
      <c r="D5" s="418">
        <f>SUM(D6:D11)</f>
        <v>2.1645797865136637E-5</v>
      </c>
      <c r="E5" s="418">
        <f>SUM(E6:E11)</f>
        <v>1.3853834856869221E-3</v>
      </c>
      <c r="F5" s="431" t="s">
        <v>204</v>
      </c>
      <c r="G5" s="418">
        <f>SUM(G6:G11)</f>
        <v>0.28274867432987955</v>
      </c>
      <c r="H5" s="418">
        <f>SUM(H6:H11)</f>
        <v>5.2171293805508147E-2</v>
      </c>
      <c r="I5" s="433" t="s">
        <v>204</v>
      </c>
      <c r="J5" s="433" t="s">
        <v>204</v>
      </c>
      <c r="K5" s="433" t="s">
        <v>204</v>
      </c>
      <c r="L5" s="433" t="s">
        <v>204</v>
      </c>
      <c r="M5" s="418">
        <f>SUM(M6:M11)</f>
        <v>1.4970820895028516E-2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1.3814057125922645E-5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1.6088976393644826E-5</v>
      </c>
      <c r="E6" s="421">
        <f>vkm_GW_PW*SUMIFS(TableVerdeelsleutelVkm[LPG],TableVerdeelsleutelVkm[Voertuigtype],"Lichte voertuigen")*SUMIFS(TableECFTransport[EnergieConsumptieFactor (PJ per km)],TableECFTransport[Index],CONCATENATE($A6,"_LPG_LPG"))</f>
        <v>1.0438114444751322E-3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0.16285421000389894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3.924783884471042E-2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9.0440798478024845E-3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3.586083723738872E-7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5.9321738864717997E-2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1.5918136429867767E-6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2.6396238610535755E-3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2.9213032684688152E-6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5.5568214714918114E-6</v>
      </c>
      <c r="E8" s="421">
        <f>vkm_NGW_PW*SUMIFS(TableVerdeelsleutelVkm[LPG],TableVerdeelsleutelVkm[Voertuigtype],"Lichte voertuigen")*SUMIFS(TableECFTransport[EnergieConsumptieFactor (PJ per km)],TableECFTransport[Index],CONCATENATE($A8,"_LPG_LPG"))</f>
        <v>3.415720412117899E-4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5.0169336805082919E-2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1.2921600383922959E-2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2.824201079815378E-3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4.9042923453470235E-8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1.040338865617968E-2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2.6276323177645438E-7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4.6291610635707659E-4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4.7619476917274488</v>
      </c>
      <c r="C14" s="22"/>
      <c r="D14" s="22">
        <f t="shared" ref="D14:M14" si="0">((D5)*10^9/3600)+D12</f>
        <v>6.0127216292046208</v>
      </c>
      <c r="E14" s="22">
        <f t="shared" si="0"/>
        <v>384.82874602414506</v>
      </c>
      <c r="F14" s="22"/>
      <c r="G14" s="22">
        <f t="shared" si="0"/>
        <v>78541.298424966531</v>
      </c>
      <c r="H14" s="22">
        <f t="shared" si="0"/>
        <v>14492.026057085595</v>
      </c>
      <c r="I14" s="22"/>
      <c r="J14" s="22"/>
      <c r="K14" s="22"/>
      <c r="L14" s="22"/>
      <c r="M14" s="22">
        <f t="shared" si="0"/>
        <v>4158.5613597301435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0.19780107541719424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0.9419183745041152</v>
      </c>
      <c r="C18" s="24"/>
      <c r="D18" s="24">
        <f t="shared" ref="D18:M18" si="1">D14*D16</f>
        <v>1.2145697690993336</v>
      </c>
      <c r="E18" s="24">
        <f t="shared" si="1"/>
        <v>87.356125347480926</v>
      </c>
      <c r="F18" s="24"/>
      <c r="G18" s="24">
        <f t="shared" si="1"/>
        <v>20970.526679466064</v>
      </c>
      <c r="H18" s="24">
        <f t="shared" si="1"/>
        <v>3608.5144882143131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2.7440544123092149E-5</v>
      </c>
      <c r="C50" s="316">
        <f t="shared" ref="C50:P50" si="2">SUM(C51:C52)</f>
        <v>0</v>
      </c>
      <c r="D50" s="316">
        <f t="shared" si="2"/>
        <v>0</v>
      </c>
      <c r="E50" s="316">
        <f t="shared" si="2"/>
        <v>0</v>
      </c>
      <c r="F50" s="316">
        <f t="shared" si="2"/>
        <v>0</v>
      </c>
      <c r="G50" s="316">
        <f t="shared" si="2"/>
        <v>5.4730706261766505E-3</v>
      </c>
      <c r="H50" s="316">
        <f t="shared" si="2"/>
        <v>0</v>
      </c>
      <c r="I50" s="316">
        <f t="shared" si="2"/>
        <v>0</v>
      </c>
      <c r="J50" s="316">
        <f t="shared" si="2"/>
        <v>0</v>
      </c>
      <c r="K50" s="316">
        <f t="shared" si="2"/>
        <v>0</v>
      </c>
      <c r="L50" s="316">
        <f t="shared" si="2"/>
        <v>0</v>
      </c>
      <c r="M50" s="316">
        <f t="shared" si="2"/>
        <v>2.4190389252958007E-4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2.7440544123092149E-5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5.4730706261766505E-3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2.4190389252958007E-4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7.6223733675255971</v>
      </c>
      <c r="C54" s="22">
        <f t="shared" ref="C54:P54" si="3">(C50)*10^9/3600</f>
        <v>0</v>
      </c>
      <c r="D54" s="22">
        <f t="shared" si="3"/>
        <v>0</v>
      </c>
      <c r="E54" s="22">
        <f t="shared" si="3"/>
        <v>0</v>
      </c>
      <c r="F54" s="22">
        <f t="shared" si="3"/>
        <v>0</v>
      </c>
      <c r="G54" s="22">
        <f t="shared" si="3"/>
        <v>1520.2973961601808</v>
      </c>
      <c r="H54" s="22">
        <f t="shared" si="3"/>
        <v>0</v>
      </c>
      <c r="I54" s="22">
        <f t="shared" si="3"/>
        <v>0</v>
      </c>
      <c r="J54" s="22">
        <f t="shared" si="3"/>
        <v>0</v>
      </c>
      <c r="K54" s="22">
        <f t="shared" si="3"/>
        <v>0</v>
      </c>
      <c r="L54" s="22">
        <f t="shared" si="3"/>
        <v>0</v>
      </c>
      <c r="M54" s="22">
        <f t="shared" si="3"/>
        <v>67.195525702661129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0.19780107541719424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1.5077136493279435</v>
      </c>
      <c r="C58" s="24">
        <f t="shared" ref="C58:P58" ca="1" si="4">C54*C56</f>
        <v>0</v>
      </c>
      <c r="D58" s="24">
        <f t="shared" si="4"/>
        <v>0</v>
      </c>
      <c r="E58" s="24">
        <f t="shared" si="4"/>
        <v>0</v>
      </c>
      <c r="F58" s="24">
        <f t="shared" si="4"/>
        <v>0</v>
      </c>
      <c r="G58" s="24">
        <f t="shared" si="4"/>
        <v>405.91940477476828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1092.608619630452</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5588.5730706352379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1.5</v>
      </c>
      <c r="C8" s="544">
        <f>B48</f>
        <v>0</v>
      </c>
      <c r="D8" s="967"/>
      <c r="E8" s="967">
        <f>E48</f>
        <v>0</v>
      </c>
      <c r="F8" s="968"/>
      <c r="G8" s="545"/>
      <c r="H8" s="967">
        <f>I48</f>
        <v>0</v>
      </c>
      <c r="I8" s="967">
        <f>G48+F48</f>
        <v>0</v>
      </c>
      <c r="J8" s="967">
        <f>H48+D48+C48</f>
        <v>1.6666666666666665</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1341</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8023.6816902656901</v>
      </c>
      <c r="C10" s="556">
        <f t="shared" ref="C10:L10" si="0">SUM(C8:C9)</f>
        <v>0</v>
      </c>
      <c r="D10" s="556">
        <f t="shared" si="0"/>
        <v>0</v>
      </c>
      <c r="E10" s="556">
        <f t="shared" si="0"/>
        <v>0</v>
      </c>
      <c r="F10" s="556">
        <f t="shared" si="0"/>
        <v>0</v>
      </c>
      <c r="G10" s="556">
        <f t="shared" si="0"/>
        <v>0</v>
      </c>
      <c r="H10" s="556">
        <f t="shared" si="0"/>
        <v>0</v>
      </c>
      <c r="I10" s="556">
        <f t="shared" si="0"/>
        <v>0</v>
      </c>
      <c r="J10" s="556">
        <f t="shared" si="0"/>
        <v>3833.0952380952381</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7.5</v>
      </c>
      <c r="C17" s="568">
        <f>B49</f>
        <v>0</v>
      </c>
      <c r="D17" s="569"/>
      <c r="E17" s="569">
        <f>E49</f>
        <v>0</v>
      </c>
      <c r="F17" s="570"/>
      <c r="G17" s="571"/>
      <c r="H17" s="568">
        <f>I49</f>
        <v>0</v>
      </c>
      <c r="I17" s="569">
        <f>G49+F49</f>
        <v>0</v>
      </c>
      <c r="J17" s="569">
        <f>H49+D49+C49</f>
        <v>8.3333333333333339</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7.5</v>
      </c>
      <c r="C20" s="555">
        <f>SUM(C17:C19)</f>
        <v>0</v>
      </c>
      <c r="D20" s="555">
        <f t="shared" ref="D20:L20" si="1">SUM(D17:D19)</f>
        <v>0</v>
      </c>
      <c r="E20" s="555">
        <f t="shared" si="1"/>
        <v>0</v>
      </c>
      <c r="F20" s="555">
        <f t="shared" si="1"/>
        <v>0</v>
      </c>
      <c r="G20" s="555">
        <f t="shared" si="1"/>
        <v>0</v>
      </c>
      <c r="H20" s="555">
        <f t="shared" si="1"/>
        <v>0</v>
      </c>
      <c r="I20" s="555">
        <f t="shared" si="1"/>
        <v>0</v>
      </c>
      <c r="J20" s="555">
        <f t="shared" si="1"/>
        <v>8.3333333333333339</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v>13017</v>
      </c>
      <c r="C28" s="775">
        <v>2460</v>
      </c>
      <c r="D28" s="628"/>
      <c r="E28" s="627"/>
      <c r="F28" s="627"/>
      <c r="G28" s="627" t="s">
        <v>959</v>
      </c>
      <c r="H28" s="627" t="s">
        <v>959</v>
      </c>
      <c r="I28" s="627"/>
      <c r="J28" s="774"/>
      <c r="K28" s="774"/>
      <c r="L28" s="627" t="s">
        <v>960</v>
      </c>
      <c r="M28" s="627">
        <v>1</v>
      </c>
      <c r="N28" s="627">
        <v>1.5</v>
      </c>
      <c r="O28" s="627">
        <v>7.5</v>
      </c>
      <c r="P28" s="627">
        <v>0</v>
      </c>
      <c r="Q28" s="627">
        <v>0</v>
      </c>
      <c r="R28" s="627">
        <v>0</v>
      </c>
      <c r="S28" s="627">
        <v>0</v>
      </c>
      <c r="T28" s="627">
        <v>0</v>
      </c>
      <c r="U28" s="627">
        <v>0</v>
      </c>
      <c r="V28" s="627">
        <v>10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v>
      </c>
      <c r="N29" s="585">
        <f>SUM(N28:N28)</f>
        <v>1.5</v>
      </c>
      <c r="O29" s="585">
        <f>SUM(O28:O28)</f>
        <v>7.5</v>
      </c>
      <c r="P29" s="585">
        <f>SUM(P28:P28)</f>
        <v>0</v>
      </c>
      <c r="Q29" s="585">
        <f>SUM(Q28:Q28)</f>
        <v>0</v>
      </c>
      <c r="R29" s="585">
        <f>SUM(R28:R28)</f>
        <v>0</v>
      </c>
      <c r="S29" s="585">
        <f>SUM(S28:S28)</f>
        <v>0</v>
      </c>
      <c r="T29" s="585">
        <f>SUM(T28:T28)</f>
        <v>0</v>
      </c>
      <c r="U29" s="585">
        <f>SUM(U28:U28)</f>
        <v>0</v>
      </c>
      <c r="V29" s="585">
        <f>SUM(V28:V28)</f>
        <v>10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v>
      </c>
      <c r="N32" s="590">
        <f>SUMIF($Z$28:$Z$28,"landbouw",N28:N28)</f>
        <v>1.5</v>
      </c>
      <c r="O32" s="590">
        <f>SUMIF($Z$28:$Z$28,"landbouw",O28:O28)</f>
        <v>7.5</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10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13017</v>
      </c>
      <c r="C35" s="775">
        <v>2460</v>
      </c>
      <c r="D35" s="630"/>
      <c r="E35" s="630"/>
      <c r="F35" s="630"/>
      <c r="G35" s="630" t="s">
        <v>961</v>
      </c>
      <c r="H35" s="630" t="s">
        <v>962</v>
      </c>
      <c r="I35" s="630"/>
      <c r="J35" s="774"/>
      <c r="K35" s="774"/>
      <c r="L35" s="630" t="s">
        <v>963</v>
      </c>
      <c r="M35" s="630">
        <v>298</v>
      </c>
      <c r="N35" s="630">
        <v>1341</v>
      </c>
      <c r="O35" s="630">
        <v>0</v>
      </c>
      <c r="P35" s="630">
        <v>0</v>
      </c>
      <c r="Q35" s="630">
        <v>3831.4285714285716</v>
      </c>
      <c r="R35" s="630">
        <v>0</v>
      </c>
      <c r="S35" s="630">
        <v>0</v>
      </c>
      <c r="T35" s="630">
        <v>0</v>
      </c>
      <c r="U35" s="630">
        <v>0</v>
      </c>
      <c r="V35" s="630">
        <v>0</v>
      </c>
      <c r="W35" s="630"/>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298</v>
      </c>
      <c r="N36" s="585">
        <f>SUM(N35:N35)</f>
        <v>1341</v>
      </c>
      <c r="O36" s="585">
        <f>SUM(O35:O35)</f>
        <v>0</v>
      </c>
      <c r="P36" s="585">
        <f>SUM(P35:P35)</f>
        <v>0</v>
      </c>
      <c r="Q36" s="585">
        <f>SUM(Q35:Q35)</f>
        <v>3831.4285714285716</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298</v>
      </c>
      <c r="N38" s="585">
        <f>SUMIF($Z$35:$Z$36,"tertiair",N35:N36)</f>
        <v>1341</v>
      </c>
      <c r="O38" s="585">
        <f>SUMIF($Z$35:$Z$36,"tertiair",O35:O36)</f>
        <v>0</v>
      </c>
      <c r="P38" s="585">
        <f>SUMIF($Z$35:$Z$36,"tertiair",P35:P36)</f>
        <v>0</v>
      </c>
      <c r="Q38" s="585">
        <f>SUMIF($Z$35:$Z$36,"tertiair",Q35:Q36)</f>
        <v>3831.4285714285716</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0.83333333333333337</v>
      </c>
      <c r="C45" s="610">
        <f>IF(ISERROR(N29/(O29+N29)),0,N29/(N29+O29))</f>
        <v>0.16666666666666666</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1.6666666666666665</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8.3333333333333339</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2021-11-11T13:30:43Z</dcterms:modified>
</cp:coreProperties>
</file>