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D49E0DD2-82CD-407A-AC71-316A5FFC728E}"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U43" i="18"/>
  <c r="T43" i="18"/>
  <c r="I9" i="18" s="1"/>
  <c r="S43" i="18"/>
  <c r="E9" i="18" s="1"/>
  <c r="R43" i="18"/>
  <c r="Q43" i="18"/>
  <c r="P43" i="18"/>
  <c r="C9" i="18" s="1"/>
  <c r="O43" i="18"/>
  <c r="N43" i="18"/>
  <c r="B9" i="18" s="1"/>
  <c r="M43"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N36" i="18"/>
  <c r="M36" i="18"/>
  <c r="G22" i="18"/>
  <c r="F22" i="18"/>
  <c r="E22" i="18"/>
  <c r="D22" i="18"/>
  <c r="C22" i="18"/>
  <c r="L20" i="18"/>
  <c r="D20" i="18"/>
  <c r="G12" i="18"/>
  <c r="F12" i="18"/>
  <c r="E12" i="18"/>
  <c r="D12" i="18"/>
  <c r="C12" i="18"/>
  <c r="L10" i="18"/>
  <c r="K10" i="18"/>
  <c r="G10" i="18"/>
  <c r="D10" i="18"/>
  <c r="B8" i="18"/>
  <c r="B6" i="18"/>
  <c r="B5" i="18"/>
  <c r="B4" i="18"/>
  <c r="B52" i="18" l="1"/>
  <c r="J9" i="18"/>
  <c r="O9" i="18" s="1"/>
  <c r="F20" i="18"/>
  <c r="B17" i="18"/>
  <c r="C52" i="18"/>
  <c r="B55" i="18" s="1"/>
  <c r="C8" i="18" s="1"/>
  <c r="G20" i="18"/>
  <c r="K20" i="18"/>
  <c r="B10" i="18"/>
  <c r="O19" i="18"/>
  <c r="O18" i="18"/>
  <c r="B20" i="18"/>
  <c r="I56" i="18"/>
  <c r="H17" i="18" s="1"/>
  <c r="H20" i="18" s="1"/>
  <c r="E56" i="18"/>
  <c r="E17" i="18" s="1"/>
  <c r="E20" i="18" s="1"/>
  <c r="G56" i="18"/>
  <c r="C56" i="18"/>
  <c r="H56" i="18"/>
  <c r="D56" i="18"/>
  <c r="F56" i="18"/>
  <c r="B56" i="18"/>
  <c r="C17" i="18" s="1"/>
  <c r="I55" i="18"/>
  <c r="H8" i="18" s="1"/>
  <c r="H10" i="18" s="1"/>
  <c r="E55" i="18"/>
  <c r="E8" i="18" s="1"/>
  <c r="E10" i="18" s="1"/>
  <c r="C55" i="18"/>
  <c r="H55" i="18"/>
  <c r="D55" i="18"/>
  <c r="F55" i="18"/>
  <c r="N6" i="17"/>
  <c r="L6" i="17"/>
  <c r="F6" i="17"/>
  <c r="D6" i="17"/>
  <c r="C6" i="17"/>
  <c r="N16" i="16"/>
  <c r="L16" i="16"/>
  <c r="F16" i="16"/>
  <c r="D16" i="16"/>
  <c r="C16" i="16"/>
  <c r="B16" i="16"/>
  <c r="B13" i="15"/>
  <c r="G55"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27" i="48" l="1"/>
  <c r="O32"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3" i="13"/>
  <c r="B35" i="13"/>
  <c r="C35" i="13" s="1"/>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<sst xmlns="http://schemas.openxmlformats.org/spreadsheetml/2006/main" count="2593" uniqueCount="963">
  <si>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</si>
  <si>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</si>
  <si>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</si>
  <si>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</si>
  <si>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</si>
  <si>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</si>
  <si>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</si>
  <si>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</si>
  <si>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</si>
  <si>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</si>
  <si>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</si>
  <si>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</si>
  <si>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</si>
  <si>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</si>
  <si>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</si>
  <si>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</si>
  <si>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</si>
  <si>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</si>
  <si>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</si>
  <si>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</si>
  <si>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</si>
  <si>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</si>
  <si>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</si>
  <si>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</si>
  <si>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</si>
  <si>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</si>
  <si>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</si>
  <si>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</si>
  <si>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</si>
  <si>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</si>
  <si>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</si>
  <si>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</si>
  <si>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</si>
  <si>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</si>
  <si>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</si>
  <si>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</si>
  <si>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</si>
  <si>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</si>
  <si>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</si>
  <si>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</si>
  <si>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</si>
  <si>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</si>
  <si>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</si>
  <si>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</si>
  <si>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</si>
  <si>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</si>
  <si>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</si>
  <si>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</si>
  <si>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</si>
  <si>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</si>
  <si>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</si>
  <si>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</si>
  <si>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</si>
  <si>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</si>
  <si>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</si>
  <si>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</si>
  <si>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</si>
  <si>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</si>
  <si>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</si>
  <si>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</si>
  <si>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</si>
  <si>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</si>
  <si>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</si>
  <si>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</si>
  <si>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</si>
  <si>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</si>
  <si>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</si>
  <si>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</si>
  <si>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</si>
  <si>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</si>
  <si>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</si>
  <si>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</si>
  <si>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</si>
  <si>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</si>
  <si>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</si>
  <si>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</si>
  <si>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</si>
  <si>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</si>
  <si>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</si>
  <si>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</si>
  <si>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</si>
  <si>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</si>
  <si>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</si>
  <si>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</si>
  <si>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</si>
  <si>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</si>
  <si>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</si>
  <si>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</si>
  <si>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</si>
  <si>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</si>
  <si>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</si>
  <si>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</si>
  <si>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</si>
  <si>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</si>
  <si>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</si>
  <si>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</si>
  <si>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</si>
  <si>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</si>
  <si>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</si>
  <si>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</si>
  <si>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</si>
  <si>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</si>
  <si>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</si>
  <si>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</si>
  <si>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</si>
  <si>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</si>
  <si>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</si>
  <si>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</si>
  <si>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</si>
  <si>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</si>
  <si>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</si>
  <si>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</si>
  <si>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</si>
  <si>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</si>
  <si>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</si>
  <si>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</si>
  <si>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</si>
  <si>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</si>
  <si>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</si>
  <si>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</si>
  <si>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</si>
  <si>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</si>
  <si>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</si>
  <si>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</si>
  <si>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</si>
  <si>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</si>
  <si>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</si>
  <si>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</si>
  <si>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</si>
  <si>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</si>
  <si>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</si>
  <si>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</si>
  <si>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</si>
  <si>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</si>
  <si>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</si>
  <si>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</si>
  <si>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</si>
  <si>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</si>
  <si>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</si>
  <si>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</si>
  <si>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</si>
  <si>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</si>
  <si>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</si>
  <si>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</si>
  <si>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</si>
  <si>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</si>
  <si>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</si>
  <si>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</si>
  <si>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</si>
  <si>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</si>
  <si>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</si>
  <si>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</si>
  <si>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</si>
  <si>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</si>
  <si>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</si>
  <si>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</si>
  <si>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</si>
  <si>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</si>
  <si>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</si>
  <si>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</si>
  <si>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</si>
  <si>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</si>
  <si>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</si>
  <si>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</si>
  <si>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</si>
  <si>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</si>
  <si>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</si>
  <si>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</si>
  <si>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</si>
  <si>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</si>
  <si>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</si>
  <si>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</si>
  <si>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</si>
  <si>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</si>
  <si>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</si>
  <si>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</si>
  <si>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</si>
  <si>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</si>
  <si>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</si>
  <si>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</si>
  <si>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</si>
  <si>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</si>
  <si>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</si>
  <si>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</si>
  <si>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</si>
  <si>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</si>
  <si>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</si>
  <si>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</si>
  <si>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</si>
  <si>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</si>
  <si>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</si>
  <si>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</si>
  <si>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</si>
  <si>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</si>
  <si>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</si>
  <si>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</si>
  <si>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</si>
  <si>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</si>
  <si>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</si>
  <si>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</si>
  <si>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</si>
  <si>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</si>
  <si>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</si>
  <si>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</si>
  <si>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</si>
  <si>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</si>
  <si>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</si>
  <si>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</si>
  <si>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</si>
  <si>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</si>
  <si>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</si>
  <si>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</si>
  <si>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</si>
  <si>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</si>
  <si>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</si>
  <si>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</si>
  <si>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</si>
  <si>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</si>
  <si>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</si>
  <si>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</si>
  <si>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</si>
  <si>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</si>
  <si>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</si>
  <si>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</si>
  <si>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</si>
  <si>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</si>
  <si>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</si>
  <si>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</si>
  <si>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</si>
  <si>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</si>
  <si>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</si>
  <si>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</si>
  <si>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</si>
  <si>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</si>
  <si>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</si>
  <si>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</si>
  <si>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</si>
  <si>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</si>
  <si>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</si>
  <si>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</si>
  <si>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</si>
  <si>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</si>
  <si>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</si>
  <si>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</si>
  <si>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</si>
  <si>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</si>
  <si>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</si>
  <si>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</si>
  <si>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</si>
  <si>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</si>
  <si>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</si>
  <si>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</si>
  <si>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</si>
  <si>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</si>
  <si>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</si>
  <si>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</si>
  <si>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</si>
  <si>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</si>
  <si>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</si>
  <si>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</si>
  <si>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</si>
  <si>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</si>
  <si>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</si>
  <si>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</si>
  <si>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</si>
  <si>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</si>
  <si>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</si>
  <si>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</si>
  <si>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</si>
  <si>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</si>
  <si>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</si>
  <si>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</si>
  <si>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</si>
  <si>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</si>
  <si>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</si>
  <si>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</si>
  <si>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</si>
  <si>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</si>
  <si>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</si>
  <si>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</si>
  <si>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</si>
  <si>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</si>
  <si>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</si>
  <si>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</si>
  <si>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</si>
  <si>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</si>
  <si>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</si>
  <si>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</si>
  <si>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</si>
  <si>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</si>
  <si>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</si>
  <si>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</si>
  <si>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</si>
  <si>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</si>
  <si>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</si>
  <si>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</si>
  <si>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</si>
  <si>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</si>
  <si>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</si>
  <si>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</si>
  <si>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</si>
  <si>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</si>
  <si>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</si>
  <si>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</si>
  <si>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</si>
  <si>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</si>
  <si>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</si>
  <si>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</si>
  <si>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</si>
  <si>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</si>
  <si>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</si>
  <si>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</si>
  <si>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</si>
  <si>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</si>
  <si>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</si>
  <si>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</si>
  <si>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</si>
  <si>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</si>
  <si>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</si>
  <si>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</si>
  <si>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</si>
  <si>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</si>
  <si>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</si>
  <si>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</si>
  <si>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</si>
  <si>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</si>
  <si>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</si>
  <si>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</si>
  <si>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</si>
  <si>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</si>
  <si>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</si>
  <si>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</si>
  <si>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</si>
  <si>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</si>
  <si>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</si>
  <si>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</si>
  <si>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</si>
  <si>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</si>
  <si>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</si>
  <si>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</si>
  <si>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</si>
  <si>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</si>
  <si>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</si>
  <si>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</si>
  <si>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</si>
  <si>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</si>
  <si>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</si>
  <si>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</si>
  <si>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</si>
  <si>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</si>
  <si>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</si>
  <si>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</si>
  <si>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</si>
  <si>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</si>
  <si>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</si>
  <si>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</si>
  <si>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</si>
  <si>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</si>
  <si>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</si>
  <si>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</si>
  <si>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</si>
  <si>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</si>
  <si>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</si>
  <si>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</si>
  <si>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</si>
  <si>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</si>
  <si>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</si>
  <si>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</si>
  <si>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</si>
  <si>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</si>
  <si>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</si>
  <si>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</si>
  <si>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</si>
  <si>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</si>
  <si>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</si>
  <si>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</si>
  <si>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</si>
  <si>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</si>
  <si>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</si>
  <si>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</si>
  <si>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</si>
  <si>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</si>
  <si>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</si>
  <si>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</si>
  <si>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</si>
  <si>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</si>
  <si>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</si>
  <si>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</si>
  <si>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</si>
  <si>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</si>
  <si>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</si>
  <si>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</si>
  <si>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</si>
  <si>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</si>
  <si>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</si>
  <si>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</si>
  <si>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</si>
  <si>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</si>
  <si>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</si>
  <si>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</si>
  <si>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</si>
  <si>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</si>
  <si>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</si>
  <si>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</si>
  <si>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</si>
  <si>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</si>
  <si>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</si>
  <si>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</si>
  <si>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</si>
  <si>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</si>
  <si>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</si>
  <si>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</si>
  <si>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</si>
  <si>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</si>
  <si>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</si>
  <si>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</si>
  <si>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</si>
  <si>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</si>
  <si>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</si>
  <si>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</si>
  <si>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</si>
  <si>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</si>
  <si>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</si>
  <si>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</si>
  <si>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</si>
  <si>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</si>
  <si>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</si>
  <si>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</si>
  <si>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</si>
  <si>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</si>
  <si>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</si>
  <si>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</si>
  <si>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</si>
  <si>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</si>
  <si>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</si>
  <si>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</si>
  <si>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</si>
  <si>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</si>
  <si>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</si>
  <si>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</si>
  <si>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</si>
  <si>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</si>
  <si>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</si>
  <si>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</si>
  <si>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</si>
  <si>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</si>
  <si>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</si>
  <si>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</si>
  <si>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</si>
  <si>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</si>
  <si>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</si>
  <si>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</si>
  <si>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</si>
  <si>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</si>
  <si>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</si>
  <si>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</si>
  <si>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</si>
  <si>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</si>
  <si>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</si>
  <si>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</si>
  <si>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</si>
  <si>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</si>
  <si>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</si>
  <si>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</si>
  <si>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</si>
  <si>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</si>
  <si>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</si>
  <si>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</si>
  <si>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</si>
  <si>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</si>
  <si>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</si>
  <si>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</si>
  <si>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</si>
  <si>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</si>
  <si>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</si>
  <si>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</si>
  <si>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</si>
  <si>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</si>
  <si>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</si>
  <si>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</si>
  <si>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</si>
  <si>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</si>
  <si>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</si>
  <si>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</si>
  <si>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</si>
  <si>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</si>
  <si>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</si>
  <si>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</si>
  <si>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</si>
  <si>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</si>
  <si>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</si>
  <si>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</si>
  <si>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</si>
  <si>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</si>
  <si>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</si>
  <si>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</si>
  <si>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</si>
  <si>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</si>
  <si>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</si>
  <si>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</si>
  <si>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</si>
  <si>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</si>
  <si>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</si>
  <si>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</si>
  <si>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</si>
  <si>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</si>
  <si>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</si>
  <si>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</si>
  <si>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</si>
  <si>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</si>
  <si>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</si>
  <si>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</si>
  <si>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</si>
  <si>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</si>
  <si>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</si>
  <si>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</si>
  <si>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</si>
  <si>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</si>
  <si>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</si>
  <si>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</si>
  <si>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</si>
  <si>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</si>
  <si>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</si>
  <si>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</si>
  <si>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</si>
  <si>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</si>
  <si>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</si>
  <si>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</si>
  <si>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</si>
  <si>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</si>
  <si>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</si>
  <si>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</si>
  <si>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</si>
  <si>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</si>
  <si>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</si>
  <si>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</si>
  <si>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</si>
  <si>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</si>
  <si>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</si>
  <si>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</si>
  <si>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</si>
  <si>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</si>
  <si>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</si>
  <si>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</si>
  <si>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</si>
  <si>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</si>
  <si>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</si>
  <si>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</si>
  <si>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</si>
  <si>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</si>
  <si>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</si>
  <si>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</si>
  <si>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</si>
  <si>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</si>
  <si>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</si>
  <si>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</si>
  <si>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</si>
  <si>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</si>
  <si>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</si>
  <si>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</si>
  <si>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</si>
  <si>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</si>
  <si>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</si>
  <si>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</si>
  <si>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</si>
  <si>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</si>
  <si>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</si>
  <si>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</si>
  <si>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</si>
  <si>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</si>
  <si>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</si>
  <si>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</si>
  <si>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</si>
  <si>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</si>
  <si>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</si>
  <si>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</si>
  <si>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</si>
  <si>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</si>
  <si>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</si>
  <si>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</si>
  <si>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</si>
  <si>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</si>
  <si>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</si>
  <si>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</si>
  <si>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</si>
  <si>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</si>
  <si>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</si>
  <si>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</si>
  <si>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</si>
  <si>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</si>
  <si>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</si>
  <si>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</si>
  <si>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</si>
  <si>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</si>
  <si>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</si>
  <si>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</si>
  <si>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</si>
  <si>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</si>
  <si>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</si>
  <si>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</si>
  <si>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</si>
  <si>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</si>
  <si>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</si>
  <si>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</si>
  <si>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</si>
  <si>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</si>
  <si>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</si>
  <si>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</si>
  <si>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</si>
  <si>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</si>
  <si>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</si>
  <si>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</si>
  <si>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</si>
  <si>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</si>
  <si>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</si>
  <si>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</si>
  <si>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</si>
  <si>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</si>
  <si>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</si>
  <si>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</si>
  <si>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</si>
  <si>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</si>
  <si>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</si>
  <si>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</si>
  <si>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</si>
  <si>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</si>
  <si>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</si>
  <si>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</si>
  <si>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</si>
  <si>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</si>
  <si>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</si>
  <si>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</si>
  <si>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</si>
  <si>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</si>
  <si>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</si>
  <si>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</si>
  <si>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</si>
  <si>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</si>
  <si>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</si>
  <si>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</si>
  <si>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</si>
  <si>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</si>
  <si>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</si>
  <si>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</si>
  <si>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</si>
  <si>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</si>
  <si>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</si>
  <si>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</si>
  <si>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</si>
  <si>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</si>
  <si>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</si>
  <si>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</si>
  <si>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</si>
  <si>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</si>
  <si>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</si>
  <si>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</si>
  <si>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</si>
  <si>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</si>
  <si>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</si>
  <si>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</si>
  <si>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</si>
  <si>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</si>
  <si>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</si>
  <si>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</si>
  <si>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</si>
  <si>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</si>
  <si>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</si>
  <si>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</si>
  <si>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</si>
  <si>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</si>
  <si>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</si>
  <si>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</si>
  <si>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</si>
  <si>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</si>
  <si>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</si>
  <si>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</si>
  <si>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</si>
  <si>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</si>
  <si>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</si>
  <si>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</si>
  <si>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</si>
  <si>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</si>
  <si>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</si>
  <si>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</si>
  <si>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</si>
  <si>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</si>
  <si>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</si>
  <si>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</si>
  <si>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</si>
  <si>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</si>
  <si>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</si>
  <si>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</si>
  <si>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</si>
  <si>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</si>
  <si>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</si>
  <si>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</si>
  <si>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</si>
  <si>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</si>
  <si>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</si>
  <si>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</si>
  <si>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</si>
  <si>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</si>
  <si>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</si>
  <si>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</si>
  <si>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</si>
  <si>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</si>
  <si>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</si>
  <si>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</si>
  <si>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</si>
  <si>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</si>
  <si>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</si>
  <si>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</si>
  <si>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</si>
  <si>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</si>
  <si>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</si>
  <si>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</si>
  <si>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</si>
  <si>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</si>
  <si>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</si>
  <si>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</si>
  <si>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</si>
  <si>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</si>
  <si>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</si>
  <si>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</si>
  <si>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</si>
  <si>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</si>
  <si>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</si>
  <si>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</si>
  <si>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</si>
  <si>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</si>
  <si>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</si>
  <si>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</si>
  <si>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</si>
  <si>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</si>
  <si>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</si>
  <si>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</si>
  <si>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</si>
  <si>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</si>
  <si>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</si>
  <si>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</si>
  <si>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</si>
  <si>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</si>
  <si>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</si>
  <si>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</si>
  <si>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</si>
  <si>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</si>
  <si>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</si>
  <si>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</si>
  <si>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</si>
  <si>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</si>
  <si>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</si>
  <si>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</si>
  <si>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</si>
  <si>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</si>
  <si>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</si>
  <si>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</si>
  <si>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</si>
  <si>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</si>
  <si>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</si>
  <si>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</si>
  <si>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</si>
  <si>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</si>
  <si>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</si>
  <si>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</si>
  <si>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</si>
  <si>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</si>
  <si>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</si>
  <si>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</si>
  <si>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</si>
  <si>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</si>
  <si>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</si>
  <si>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</si>
  <si>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</si>
  <si>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</si>
  <si>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</si>
  <si>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</si>
  <si>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</si>
  <si>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</si>
  <si>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</si>
  <si>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</si>
  <si>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</si>
  <si>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</si>
  <si>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</si>
  <si>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</si>
  <si>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</si>
  <si>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</si>
  <si>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</si>
  <si>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</si>
  <si>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</si>
  <si>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</si>
  <si>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</si>
  <si>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</si>
  <si>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</si>
  <si>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</si>
  <si>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</si>
  <si>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</si>
  <si>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</si>
  <si>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</si>
  <si>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</si>
  <si>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</si>
  <si>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</si>
  <si>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</si>
  <si>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</si>
  <si>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</si>
  <si>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</si>
  <si>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</si>
  <si>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</si>
  <si>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</si>
  <si>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</si>
  <si>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</si>
  <si>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</si>
  <si>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</si>
  <si>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</si>
  <si>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</si>
  <si>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</si>
  <si>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</si>
  <si>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</si>
  <si>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</si>
  <si>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</si>
  <si>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</si>
  <si>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</si>
  <si>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</si>
  <si>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</si>
  <si>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</si>
  <si>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</si>
  <si>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</si>
  <si>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</si>
  <si>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</si>
  <si>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</si>
  <si>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</si>
  <si>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</si>
  <si>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</si>
  <si>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</si>
  <si>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</si>
  <si>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</si>
  <si>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</si>
  <si>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</si>
  <si>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</si>
  <si>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</si>
  <si>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</si>
  <si>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</si>
  <si>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</si>
  <si>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</si>
  <si>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</si>
  <si>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</si>
  <si>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</si>
  <si>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</si>
  <si>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</si>
  <si>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</si>
  <si>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</si>
  <si>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</si>
  <si>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</si>
  <si>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</si>
  <si>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</si>
  <si>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</si>
  <si>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</si>
  <si>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</si>
  <si>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</si>
  <si>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</si>
  <si>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</si>
  <si>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</si>
  <si>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</si>
  <si>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</si>
  <si>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</si>
  <si>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</si>
  <si>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</si>
  <si>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</si>
  <si>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</si>
  <si>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</si>
  <si>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</si>
  <si>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</si>
  <si>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</si>
  <si>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</si>
  <si>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</si>
  <si>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</si>
  <si>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</si>
  <si>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</si>
  <si>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</si>
  <si>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</si>
  <si>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</si>
  <si>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</si>
  <si>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</si>
  <si>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</si>
  <si>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</si>
  <si>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</si>
  <si>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</si>
  <si>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</si>
  <si>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</si>
  <si>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</si>
  <si>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</si>
  <si>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</si>
  <si>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</si>
  <si>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</si>
  <si>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</si>
  <si>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</si>
  <si>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</si>
  <si>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</si>
  <si>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</si>
  <si>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</si>
  <si>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</si>
  <si>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</si>
  <si>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</si>
  <si>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</si>
  <si>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</si>
  <si>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</si>
  <si>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</si>
  <si>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</si>
  <si>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</si>
  <si>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</si>
  <si>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</si>
  <si>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</si>
  <si>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</si>
  <si>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</si>
  <si>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</si>
  <si>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</si>
  <si>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</si>
  <si>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</si>
  <si>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</si>
  <si>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</si>
  <si>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</si>
  <si>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</si>
  <si>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</si>
  <si>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</si>
  <si>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</si>
  <si>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</si>
  <si>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</si>
  <si>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</si>
  <si>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</si>
  <si>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</si>
  <si>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</si>
  <si>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</si>
  <si>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</si>
  <si>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</si>
  <si>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</si>
  <si>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</si>
  <si>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</si>
  <si>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</si>
  <si>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</si>
  <si>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</si>
  <si>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</si>
  <si>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</si>
  <si>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</si>
  <si>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</si>
  <si>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</si>
  <si>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</si>
  <si>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</si>
  <si>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</si>
  <si>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</si>
  <si>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</si>
  <si>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</si>
  <si>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</si>
  <si>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</si>
  <si>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</si>
  <si>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12029</t>
  </si>
  <si>
    <t>PUTTE</t>
  </si>
  <si>
    <t>Paarden&amp;pony's 200 - 600 kg</t>
  </si>
  <si>
    <t>Paarden&amp;pony's &lt; 200 kg</t>
  </si>
  <si>
    <t>Fluvius</t>
  </si>
  <si>
    <t>referentietaak LNE (2017); Jaarverslag De Lijn</t>
  </si>
  <si>
    <t>interne verbrandingsmotor</t>
  </si>
  <si>
    <t>WKK interne verbrandinsgmotor (gas)</t>
  </si>
  <si>
    <t>IVERLEK</t>
  </si>
  <si>
    <t>WKK interne verbrandinsgmotor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</si>
</sst>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93BD3CD4-7BE8-4298-B2E3-8035414E8293}"/>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12029</v>
      </c>
      <c r="B6" s="384"/>
      <c r="C6" s="385"/>
    </row>
    <row r="7" spans="1:7" s="382" customFormat="1" ht="15.75" customHeight="1">
      <c r="A7" s="386" t="str">
        <f>txtMunicipality</f>
        <v>PUTTE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13833.022345291734</v>
      </c>
      <c r="D10" s="674">
        <f ca="1">tertiair!C16</f>
        <v>0</v>
      </c>
      <c r="E10" s="674">
        <f ca="1">tertiair!D16</f>
        <v>40325.951593125792</v>
      </c>
      <c r="F10" s="674">
        <f>tertiair!E16</f>
        <v>136.11658449490457</v>
      </c>
      <c r="G10" s="674">
        <f ca="1">tertiair!F16</f>
        <v>2492.4064101107429</v>
      </c>
      <c r="H10" s="674">
        <f>tertiair!G16</f>
        <v>0</v>
      </c>
      <c r="I10" s="674">
        <f>tertiair!H16</f>
        <v>0</v>
      </c>
      <c r="J10" s="674">
        <f>tertiair!I16</f>
        <v>0</v>
      </c>
      <c r="K10" s="674">
        <f>tertiair!J16</f>
        <v>0</v>
      </c>
      <c r="L10" s="674">
        <f>tertiair!K16</f>
        <v>0</v>
      </c>
      <c r="M10" s="674">
        <f ca="1">tertiair!L16</f>
        <v>0</v>
      </c>
      <c r="N10" s="674">
        <f>tertiair!M16</f>
        <v>0</v>
      </c>
      <c r="O10" s="674">
        <f ca="1">tertiair!N16</f>
        <v>563.36122270221563</v>
      </c>
      <c r="P10" s="674">
        <f>tertiair!O16</f>
        <v>0</v>
      </c>
      <c r="Q10" s="675">
        <f>tertiair!P16</f>
        <v>38.133333333333333</v>
      </c>
      <c r="R10" s="677">
        <f ca="1">SUM(C10:Q10)</f>
        <v>57388.991489058724</v>
      </c>
      <c r="S10" s="68"/>
    </row>
    <row r="11" spans="1:19" s="443" customFormat="1">
      <c r="A11" s="789" t="s">
        <v>214</v>
      </c>
      <c r="B11" s="794"/>
      <c r="C11" s="674">
        <f>huishoudens!B8</f>
        <v>33115.304713772864</v>
      </c>
      <c r="D11" s="674">
        <f>huishoudens!C8</f>
        <v>0</v>
      </c>
      <c r="E11" s="674">
        <f>huishoudens!D8</f>
        <v>54090.922408069775</v>
      </c>
      <c r="F11" s="674">
        <f>huishoudens!E8</f>
        <v>1948.2963699188088</v>
      </c>
      <c r="G11" s="674">
        <f>huishoudens!F8</f>
        <v>59397.899838036443</v>
      </c>
      <c r="H11" s="674">
        <f>huishoudens!G8</f>
        <v>0</v>
      </c>
      <c r="I11" s="674">
        <f>huishoudens!H8</f>
        <v>0</v>
      </c>
      <c r="J11" s="674">
        <f>huishoudens!I8</f>
        <v>0</v>
      </c>
      <c r="K11" s="674">
        <f>huishoudens!J8</f>
        <v>1077.7541956104269</v>
      </c>
      <c r="L11" s="674">
        <f>huishoudens!K8</f>
        <v>0</v>
      </c>
      <c r="M11" s="674">
        <f>huishoudens!L8</f>
        <v>0</v>
      </c>
      <c r="N11" s="674">
        <f>huishoudens!M8</f>
        <v>0</v>
      </c>
      <c r="O11" s="674">
        <f>huishoudens!N8</f>
        <v>10369.969422839651</v>
      </c>
      <c r="P11" s="674">
        <f>huishoudens!O8</f>
        <v>103.17999999999999</v>
      </c>
      <c r="Q11" s="675">
        <f>huishoudens!P8</f>
        <v>514.79999999999995</v>
      </c>
      <c r="R11" s="677">
        <f>SUM(C11:Q11)</f>
        <v>160618.12694824795</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7439.5504006084575</v>
      </c>
      <c r="D13" s="674">
        <f>industrie!C18</f>
        <v>0</v>
      </c>
      <c r="E13" s="674">
        <f>industrie!D18</f>
        <v>4758.0455370882792</v>
      </c>
      <c r="F13" s="674">
        <f>industrie!E18</f>
        <v>67.986176885626037</v>
      </c>
      <c r="G13" s="674">
        <f>industrie!F18</f>
        <v>2229.4004131355377</v>
      </c>
      <c r="H13" s="674">
        <f>industrie!G18</f>
        <v>0</v>
      </c>
      <c r="I13" s="674">
        <f>industrie!H18</f>
        <v>0</v>
      </c>
      <c r="J13" s="674">
        <f>industrie!I18</f>
        <v>0</v>
      </c>
      <c r="K13" s="674">
        <f>industrie!J18</f>
        <v>31.672752870027495</v>
      </c>
      <c r="L13" s="674">
        <f>industrie!K18</f>
        <v>0</v>
      </c>
      <c r="M13" s="674">
        <f>industrie!L18</f>
        <v>0</v>
      </c>
      <c r="N13" s="674">
        <f>industrie!M18</f>
        <v>0</v>
      </c>
      <c r="O13" s="674">
        <f>industrie!N18</f>
        <v>313.58119731018968</v>
      </c>
      <c r="P13" s="674">
        <f>industrie!O18</f>
        <v>0</v>
      </c>
      <c r="Q13" s="675">
        <f>industrie!P18</f>
        <v>0</v>
      </c>
      <c r="R13" s="677">
        <f>SUM(C13:Q13)</f>
        <v>14840.236477898117</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54387.877459673058</v>
      </c>
      <c r="D16" s="707">
        <f t="shared" ref="D16:R16" ca="1" si="0">SUM(D9:D15)</f>
        <v>0</v>
      </c>
      <c r="E16" s="707">
        <f t="shared" ca="1" si="0"/>
        <v>99174.919538283852</v>
      </c>
      <c r="F16" s="707">
        <f t="shared" si="0"/>
        <v>2152.3991312993394</v>
      </c>
      <c r="G16" s="707">
        <f t="shared" ca="1" si="0"/>
        <v>64119.706661282726</v>
      </c>
      <c r="H16" s="707">
        <f t="shared" si="0"/>
        <v>0</v>
      </c>
      <c r="I16" s="707">
        <f t="shared" si="0"/>
        <v>0</v>
      </c>
      <c r="J16" s="707">
        <f t="shared" si="0"/>
        <v>0</v>
      </c>
      <c r="K16" s="707">
        <f t="shared" si="0"/>
        <v>1109.4269484804545</v>
      </c>
      <c r="L16" s="707">
        <f t="shared" si="0"/>
        <v>0</v>
      </c>
      <c r="M16" s="707">
        <f t="shared" ca="1" si="0"/>
        <v>0</v>
      </c>
      <c r="N16" s="707">
        <f t="shared" si="0"/>
        <v>0</v>
      </c>
      <c r="O16" s="707">
        <f t="shared" ca="1" si="0"/>
        <v>11246.911842852056</v>
      </c>
      <c r="P16" s="707">
        <f t="shared" si="0"/>
        <v>103.17999999999999</v>
      </c>
      <c r="Q16" s="707">
        <f t="shared" si="0"/>
        <v>552.93333333333328</v>
      </c>
      <c r="R16" s="707">
        <f t="shared" ca="1" si="0"/>
        <v>232847.35491520478</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8.2026743736970769</v>
      </c>
      <c r="D19" s="674">
        <f>transport!C54</f>
        <v>0</v>
      </c>
      <c r="E19" s="674">
        <f>transport!D54</f>
        <v>0</v>
      </c>
      <c r="F19" s="674">
        <f>transport!E54</f>
        <v>0</v>
      </c>
      <c r="G19" s="674">
        <f>transport!F54</f>
        <v>0</v>
      </c>
      <c r="H19" s="674">
        <f>transport!G54</f>
        <v>1636.0395759424375</v>
      </c>
      <c r="I19" s="674">
        <f>transport!H54</f>
        <v>0</v>
      </c>
      <c r="J19" s="674">
        <f>transport!I54</f>
        <v>0</v>
      </c>
      <c r="K19" s="674">
        <f>transport!J54</f>
        <v>0</v>
      </c>
      <c r="L19" s="674">
        <f>transport!K54</f>
        <v>0</v>
      </c>
      <c r="M19" s="674">
        <f>transport!L54</f>
        <v>0</v>
      </c>
      <c r="N19" s="674">
        <f>transport!M54</f>
        <v>72.311206776695684</v>
      </c>
      <c r="O19" s="674">
        <f>transport!N54</f>
        <v>0</v>
      </c>
      <c r="P19" s="674">
        <f>transport!O54</f>
        <v>0</v>
      </c>
      <c r="Q19" s="675">
        <f>transport!P54</f>
        <v>0</v>
      </c>
      <c r="R19" s="677">
        <f>SUM(C19:Q19)</f>
        <v>1716.5534570928303</v>
      </c>
      <c r="S19" s="68"/>
    </row>
    <row r="20" spans="1:19" s="443" customFormat="1">
      <c r="A20" s="789" t="s">
        <v>296</v>
      </c>
      <c r="B20" s="794"/>
      <c r="C20" s="674">
        <f>transport!B14</f>
        <v>4.8685715753056833</v>
      </c>
      <c r="D20" s="674">
        <f>transport!C14</f>
        <v>0</v>
      </c>
      <c r="E20" s="674">
        <f>transport!D14</f>
        <v>6.1871971155381944</v>
      </c>
      <c r="F20" s="674">
        <f>transport!E14</f>
        <v>395.85124041432607</v>
      </c>
      <c r="G20" s="674">
        <f>transport!F14</f>
        <v>0</v>
      </c>
      <c r="H20" s="674">
        <f>transport!G14</f>
        <v>77324.049600379236</v>
      </c>
      <c r="I20" s="674">
        <f>transport!H14</f>
        <v>14907.632040421109</v>
      </c>
      <c r="J20" s="674">
        <f>transport!I14</f>
        <v>0</v>
      </c>
      <c r="K20" s="674">
        <f>transport!J14</f>
        <v>0</v>
      </c>
      <c r="L20" s="674">
        <f>transport!K14</f>
        <v>0</v>
      </c>
      <c r="M20" s="674">
        <f>transport!L14</f>
        <v>0</v>
      </c>
      <c r="N20" s="674">
        <f>transport!M14</f>
        <v>4123.4366333856851</v>
      </c>
      <c r="O20" s="674">
        <f>transport!N14</f>
        <v>0</v>
      </c>
      <c r="P20" s="674">
        <f>transport!O14</f>
        <v>0</v>
      </c>
      <c r="Q20" s="675">
        <f>transport!P14</f>
        <v>0</v>
      </c>
      <c r="R20" s="677">
        <f>SUM(C20:Q20)</f>
        <v>96762.025283291208</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13.07124594900276</v>
      </c>
      <c r="D22" s="792">
        <f t="shared" ref="D22:R22" si="1">SUM(D18:D21)</f>
        <v>0</v>
      </c>
      <c r="E22" s="792">
        <f t="shared" si="1"/>
        <v>6.1871971155381944</v>
      </c>
      <c r="F22" s="792">
        <f t="shared" si="1"/>
        <v>395.85124041432607</v>
      </c>
      <c r="G22" s="792">
        <f t="shared" si="1"/>
        <v>0</v>
      </c>
      <c r="H22" s="792">
        <f t="shared" si="1"/>
        <v>78960.089176321679</v>
      </c>
      <c r="I22" s="792">
        <f t="shared" si="1"/>
        <v>14907.632040421109</v>
      </c>
      <c r="J22" s="792">
        <f t="shared" si="1"/>
        <v>0</v>
      </c>
      <c r="K22" s="792">
        <f t="shared" si="1"/>
        <v>0</v>
      </c>
      <c r="L22" s="792">
        <f t="shared" si="1"/>
        <v>0</v>
      </c>
      <c r="M22" s="792">
        <f t="shared" si="1"/>
        <v>0</v>
      </c>
      <c r="N22" s="792">
        <f t="shared" si="1"/>
        <v>4195.7478401623812</v>
      </c>
      <c r="O22" s="792">
        <f t="shared" si="1"/>
        <v>0</v>
      </c>
      <c r="P22" s="792">
        <f t="shared" si="1"/>
        <v>0</v>
      </c>
      <c r="Q22" s="792">
        <f t="shared" si="1"/>
        <v>0</v>
      </c>
      <c r="R22" s="792">
        <f t="shared" si="1"/>
        <v>98478.578740384037</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2332.450017362376</v>
      </c>
      <c r="D24" s="674">
        <f>+landbouw!C8</f>
        <v>67025.410714285725</v>
      </c>
      <c r="E24" s="674">
        <f>+landbouw!D8</f>
        <v>0</v>
      </c>
      <c r="F24" s="674">
        <f>+landbouw!E8</f>
        <v>21.973241956329662</v>
      </c>
      <c r="G24" s="674">
        <f>+landbouw!F8</f>
        <v>4635.9334788326514</v>
      </c>
      <c r="H24" s="674">
        <f>+landbouw!G8</f>
        <v>0</v>
      </c>
      <c r="I24" s="674">
        <f>+landbouw!H8</f>
        <v>0</v>
      </c>
      <c r="J24" s="674">
        <f>+landbouw!I8</f>
        <v>0</v>
      </c>
      <c r="K24" s="674">
        <f>+landbouw!J8</f>
        <v>288.53541218243112</v>
      </c>
      <c r="L24" s="674">
        <f>+landbouw!K8</f>
        <v>0</v>
      </c>
      <c r="M24" s="674">
        <f>+landbouw!L8</f>
        <v>0</v>
      </c>
      <c r="N24" s="674">
        <f>+landbouw!M8</f>
        <v>0</v>
      </c>
      <c r="O24" s="674">
        <f>+landbouw!N8</f>
        <v>0</v>
      </c>
      <c r="P24" s="674">
        <f>+landbouw!O8</f>
        <v>0</v>
      </c>
      <c r="Q24" s="675">
        <f>+landbouw!P8</f>
        <v>0</v>
      </c>
      <c r="R24" s="677">
        <f>SUM(C24:Q24)</f>
        <v>74304.302864619516</v>
      </c>
      <c r="S24" s="68"/>
    </row>
    <row r="25" spans="1:19" s="443" customFormat="1" ht="15" thickBot="1">
      <c r="A25" s="811" t="s">
        <v>873</v>
      </c>
      <c r="B25" s="977"/>
      <c r="C25" s="978">
        <f>IF(Onbekend_ele_kWh="---",0,Onbekend_ele_kWh)/1000+IF(REST_rest_ele_kWh="---",0,REST_rest_ele_kWh)/1000</f>
        <v>898.02468284728207</v>
      </c>
      <c r="D25" s="978"/>
      <c r="E25" s="978">
        <f>IF(onbekend_gas_kWh="---",0,onbekend_gas_kWh)/1000+IF(REST_rest_gas_kWh="---",0,REST_rest_gas_kWh)/1000</f>
        <v>47111.881234638102</v>
      </c>
      <c r="F25" s="978"/>
      <c r="G25" s="978"/>
      <c r="H25" s="978"/>
      <c r="I25" s="978"/>
      <c r="J25" s="978"/>
      <c r="K25" s="978"/>
      <c r="L25" s="978"/>
      <c r="M25" s="978"/>
      <c r="N25" s="978"/>
      <c r="O25" s="978"/>
      <c r="P25" s="978"/>
      <c r="Q25" s="979"/>
      <c r="R25" s="677">
        <f>SUM(C25:Q25)</f>
        <v>48009.905917485383</v>
      </c>
      <c r="S25" s="68"/>
    </row>
    <row r="26" spans="1:19" s="443" customFormat="1" ht="15.75" thickBot="1">
      <c r="A26" s="680" t="s">
        <v>874</v>
      </c>
      <c r="B26" s="797"/>
      <c r="C26" s="792">
        <f>SUM(C24:C25)</f>
        <v>3230.4747002096583</v>
      </c>
      <c r="D26" s="792">
        <f t="shared" ref="D26:R26" si="2">SUM(D24:D25)</f>
        <v>67025.410714285725</v>
      </c>
      <c r="E26" s="792">
        <f t="shared" si="2"/>
        <v>47111.881234638102</v>
      </c>
      <c r="F26" s="792">
        <f t="shared" si="2"/>
        <v>21.973241956329662</v>
      </c>
      <c r="G26" s="792">
        <f t="shared" si="2"/>
        <v>4635.9334788326514</v>
      </c>
      <c r="H26" s="792">
        <f t="shared" si="2"/>
        <v>0</v>
      </c>
      <c r="I26" s="792">
        <f t="shared" si="2"/>
        <v>0</v>
      </c>
      <c r="J26" s="792">
        <f t="shared" si="2"/>
        <v>0</v>
      </c>
      <c r="K26" s="792">
        <f t="shared" si="2"/>
        <v>288.53541218243112</v>
      </c>
      <c r="L26" s="792">
        <f t="shared" si="2"/>
        <v>0</v>
      </c>
      <c r="M26" s="792">
        <f t="shared" si="2"/>
        <v>0</v>
      </c>
      <c r="N26" s="792">
        <f t="shared" si="2"/>
        <v>0</v>
      </c>
      <c r="O26" s="792">
        <f t="shared" si="2"/>
        <v>0</v>
      </c>
      <c r="P26" s="792">
        <f t="shared" si="2"/>
        <v>0</v>
      </c>
      <c r="Q26" s="792">
        <f t="shared" si="2"/>
        <v>0</v>
      </c>
      <c r="R26" s="792">
        <f t="shared" si="2"/>
        <v>122314.20878210489</v>
      </c>
      <c r="S26" s="68"/>
    </row>
    <row r="27" spans="1:19" s="443" customFormat="1" ht="17.25" thickTop="1" thickBot="1">
      <c r="A27" s="681" t="s">
        <v>109</v>
      </c>
      <c r="B27" s="784"/>
      <c r="C27" s="682">
        <f ca="1">C22+C16+C26</f>
        <v>57631.423405831716</v>
      </c>
      <c r="D27" s="682">
        <f t="shared" ref="D27:R27" ca="1" si="3">D22+D16+D26</f>
        <v>67025.410714285725</v>
      </c>
      <c r="E27" s="682">
        <f t="shared" ca="1" si="3"/>
        <v>146292.9879700375</v>
      </c>
      <c r="F27" s="682">
        <f t="shared" si="3"/>
        <v>2570.2236136699953</v>
      </c>
      <c r="G27" s="682">
        <f t="shared" ca="1" si="3"/>
        <v>68755.640140115371</v>
      </c>
      <c r="H27" s="682">
        <f t="shared" si="3"/>
        <v>78960.089176321679</v>
      </c>
      <c r="I27" s="682">
        <f t="shared" si="3"/>
        <v>14907.632040421109</v>
      </c>
      <c r="J27" s="682">
        <f t="shared" si="3"/>
        <v>0</v>
      </c>
      <c r="K27" s="682">
        <f t="shared" si="3"/>
        <v>1397.9623606628857</v>
      </c>
      <c r="L27" s="682">
        <f t="shared" si="3"/>
        <v>0</v>
      </c>
      <c r="M27" s="682">
        <f t="shared" ca="1" si="3"/>
        <v>0</v>
      </c>
      <c r="N27" s="682">
        <f t="shared" si="3"/>
        <v>4195.7478401623812</v>
      </c>
      <c r="O27" s="682">
        <f t="shared" ca="1" si="3"/>
        <v>11246.911842852056</v>
      </c>
      <c r="P27" s="682">
        <f t="shared" si="3"/>
        <v>103.17999999999999</v>
      </c>
      <c r="Q27" s="682">
        <f t="shared" si="3"/>
        <v>552.93333333333328</v>
      </c>
      <c r="R27" s="682">
        <f t="shared" ca="1" si="3"/>
        <v>453640.14243769372</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2935.8300123510794</v>
      </c>
      <c r="D40" s="674">
        <f ca="1">tertiair!C20</f>
        <v>0</v>
      </c>
      <c r="E40" s="674">
        <f ca="1">tertiair!D20</f>
        <v>8145.8422218114101</v>
      </c>
      <c r="F40" s="674">
        <f>tertiair!E20</f>
        <v>30.898464680343338</v>
      </c>
      <c r="G40" s="674">
        <f ca="1">tertiair!F20</f>
        <v>665.47251149956833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11778.043210342403</v>
      </c>
    </row>
    <row r="41" spans="1:18">
      <c r="A41" s="802" t="s">
        <v>214</v>
      </c>
      <c r="B41" s="809"/>
      <c r="C41" s="674">
        <f ca="1">huishoudens!B12</f>
        <v>7028.1752620703355</v>
      </c>
      <c r="D41" s="674">
        <f ca="1">huishoudens!C12</f>
        <v>0</v>
      </c>
      <c r="E41" s="674">
        <f>huishoudens!D12</f>
        <v>10926.366326430096</v>
      </c>
      <c r="F41" s="674">
        <f>huishoudens!E12</f>
        <v>442.26327597156961</v>
      </c>
      <c r="G41" s="674">
        <f>huishoudens!F12</f>
        <v>15859.239256755731</v>
      </c>
      <c r="H41" s="674">
        <f>huishoudens!G12</f>
        <v>0</v>
      </c>
      <c r="I41" s="674">
        <f>huishoudens!H12</f>
        <v>0</v>
      </c>
      <c r="J41" s="674">
        <f>huishoudens!I12</f>
        <v>0</v>
      </c>
      <c r="K41" s="674">
        <f>huishoudens!J12</f>
        <v>381.52498524609109</v>
      </c>
      <c r="L41" s="674">
        <f>huishoudens!K12</f>
        <v>0</v>
      </c>
      <c r="M41" s="674">
        <f>huishoudens!L12</f>
        <v>0</v>
      </c>
      <c r="N41" s="674">
        <f>huishoudens!M12</f>
        <v>0</v>
      </c>
      <c r="O41" s="674">
        <f>huishoudens!N12</f>
        <v>0</v>
      </c>
      <c r="P41" s="674">
        <f>huishoudens!O12</f>
        <v>0</v>
      </c>
      <c r="Q41" s="749">
        <f>huishoudens!P12</f>
        <v>0</v>
      </c>
      <c r="R41" s="830">
        <f t="shared" ca="1" si="4"/>
        <v>34637.569106473828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1578.9214243508241</v>
      </c>
      <c r="D43" s="674">
        <f ca="1">industrie!C22</f>
        <v>0</v>
      </c>
      <c r="E43" s="674">
        <f>industrie!D22</f>
        <v>961.12519849183241</v>
      </c>
      <c r="F43" s="674">
        <f>industrie!E22</f>
        <v>15.43286215303711</v>
      </c>
      <c r="G43" s="674">
        <f>industrie!F22</f>
        <v>595.24991030718866</v>
      </c>
      <c r="H43" s="674">
        <f>industrie!G22</f>
        <v>0</v>
      </c>
      <c r="I43" s="674">
        <f>industrie!H22</f>
        <v>0</v>
      </c>
      <c r="J43" s="674">
        <f>industrie!I22</f>
        <v>0</v>
      </c>
      <c r="K43" s="674">
        <f>industrie!J22</f>
        <v>11.212154515989733</v>
      </c>
      <c r="L43" s="674">
        <f>industrie!K22</f>
        <v>0</v>
      </c>
      <c r="M43" s="674">
        <f>industrie!L22</f>
        <v>0</v>
      </c>
      <c r="N43" s="674">
        <f>industrie!M22</f>
        <v>0</v>
      </c>
      <c r="O43" s="674">
        <f>industrie!N22</f>
        <v>0</v>
      </c>
      <c r="P43" s="674">
        <f>industrie!O22</f>
        <v>0</v>
      </c>
      <c r="Q43" s="749">
        <f>industrie!P22</f>
        <v>0</v>
      </c>
      <c r="R43" s="829">
        <f t="shared" ca="1" si="4"/>
        <v>3161.9415498188723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11542.92669877224</v>
      </c>
      <c r="D46" s="707">
        <f t="shared" ref="D46:Q46" ca="1" si="5">SUM(D39:D45)</f>
        <v>0</v>
      </c>
      <c r="E46" s="707">
        <f t="shared" ca="1" si="5"/>
        <v>20033.333746733337</v>
      </c>
      <c r="F46" s="707">
        <f t="shared" si="5"/>
        <v>488.59460280495006</v>
      </c>
      <c r="G46" s="707">
        <f t="shared" ca="1" si="5"/>
        <v>17119.961678562489</v>
      </c>
      <c r="H46" s="707">
        <f t="shared" si="5"/>
        <v>0</v>
      </c>
      <c r="I46" s="707">
        <f t="shared" si="5"/>
        <v>0</v>
      </c>
      <c r="J46" s="707">
        <f t="shared" si="5"/>
        <v>0</v>
      </c>
      <c r="K46" s="707">
        <f t="shared" si="5"/>
        <v>392.7371397620808</v>
      </c>
      <c r="L46" s="707">
        <f t="shared" si="5"/>
        <v>0</v>
      </c>
      <c r="M46" s="707">
        <f t="shared" ca="1" si="5"/>
        <v>0</v>
      </c>
      <c r="N46" s="707">
        <f t="shared" si="5"/>
        <v>0</v>
      </c>
      <c r="O46" s="707">
        <f t="shared" ca="1" si="5"/>
        <v>0</v>
      </c>
      <c r="P46" s="707">
        <f t="shared" si="5"/>
        <v>0</v>
      </c>
      <c r="Q46" s="707">
        <f t="shared" si="5"/>
        <v>0</v>
      </c>
      <c r="R46" s="707">
        <f ca="1">SUM(R39:R45)</f>
        <v>49577.553866635106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1.7408818555143522</v>
      </c>
      <c r="D49" s="674">
        <f ca="1">transport!C58</f>
        <v>0</v>
      </c>
      <c r="E49" s="674">
        <f>transport!D58</f>
        <v>0</v>
      </c>
      <c r="F49" s="674">
        <f>transport!E58</f>
        <v>0</v>
      </c>
      <c r="G49" s="674">
        <f>transport!F58</f>
        <v>0</v>
      </c>
      <c r="H49" s="674">
        <f>transport!G58</f>
        <v>436.82256677663082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438.5634486321452</v>
      </c>
    </row>
    <row r="50" spans="1:18">
      <c r="A50" s="805" t="s">
        <v>296</v>
      </c>
      <c r="B50" s="815"/>
      <c r="C50" s="984">
        <f ca="1">transport!B18</f>
        <v>1.0332737265422494</v>
      </c>
      <c r="D50" s="984">
        <f>transport!C18</f>
        <v>0</v>
      </c>
      <c r="E50" s="984">
        <f>transport!D18</f>
        <v>1.2498138173387154</v>
      </c>
      <c r="F50" s="984">
        <f>transport!E18</f>
        <v>89.858231574052027</v>
      </c>
      <c r="G50" s="984">
        <f>transport!F18</f>
        <v>0</v>
      </c>
      <c r="H50" s="984">
        <f>transport!G18</f>
        <v>20645.521243301257</v>
      </c>
      <c r="I50" s="984">
        <f>transport!H18</f>
        <v>3712.0003780648562</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24449.662940484046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2.7741555820566015</v>
      </c>
      <c r="D52" s="707">
        <f t="shared" ref="D52:Q52" ca="1" si="6">SUM(D48:D51)</f>
        <v>0</v>
      </c>
      <c r="E52" s="707">
        <f t="shared" si="6"/>
        <v>1.2498138173387154</v>
      </c>
      <c r="F52" s="707">
        <f t="shared" si="6"/>
        <v>89.858231574052027</v>
      </c>
      <c r="G52" s="707">
        <f t="shared" si="6"/>
        <v>0</v>
      </c>
      <c r="H52" s="707">
        <f t="shared" si="6"/>
        <v>21082.343810077888</v>
      </c>
      <c r="I52" s="707">
        <f t="shared" si="6"/>
        <v>3712.0003780648562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24888.226389116193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495.02390673228132</v>
      </c>
      <c r="D54" s="984">
        <f ca="1">+landbouw!C12</f>
        <v>14989.776876172878</v>
      </c>
      <c r="E54" s="984">
        <f>+landbouw!D12</f>
        <v>0</v>
      </c>
      <c r="F54" s="984">
        <f>+landbouw!E12</f>
        <v>4.9879259240868334</v>
      </c>
      <c r="G54" s="984">
        <f>+landbouw!F12</f>
        <v>1237.7942388483179</v>
      </c>
      <c r="H54" s="984">
        <f>+landbouw!G12</f>
        <v>0</v>
      </c>
      <c r="I54" s="984">
        <f>+landbouw!H12</f>
        <v>0</v>
      </c>
      <c r="J54" s="984">
        <f>+landbouw!I12</f>
        <v>0</v>
      </c>
      <c r="K54" s="984">
        <f>+landbouw!J12</f>
        <v>102.14153591258061</v>
      </c>
      <c r="L54" s="984">
        <f>+landbouw!K12</f>
        <v>0</v>
      </c>
      <c r="M54" s="984">
        <f>+landbouw!L12</f>
        <v>0</v>
      </c>
      <c r="N54" s="984">
        <f>+landbouw!M12</f>
        <v>0</v>
      </c>
      <c r="O54" s="984">
        <f>+landbouw!N12</f>
        <v>0</v>
      </c>
      <c r="P54" s="984">
        <f>+landbouw!O12</f>
        <v>0</v>
      </c>
      <c r="Q54" s="985">
        <f>+landbouw!P12</f>
        <v>0</v>
      </c>
      <c r="R54" s="706">
        <f ca="1">SUM(C54:Q54)</f>
        <v>16829.724483590147</v>
      </c>
    </row>
    <row r="55" spans="1:18" ht="15" thickBot="1">
      <c r="A55" s="805" t="s">
        <v>873</v>
      </c>
      <c r="B55" s="815"/>
      <c r="C55" s="984">
        <f ca="1">C25*'EF ele_warmte'!B12</f>
        <v>190.59087377477292</v>
      </c>
      <c r="D55" s="984"/>
      <c r="E55" s="984">
        <f>E25*EF_CO2_aardgas</f>
        <v>9516.6000093968978</v>
      </c>
      <c r="F55" s="984"/>
      <c r="G55" s="984"/>
      <c r="H55" s="984"/>
      <c r="I55" s="984"/>
      <c r="J55" s="984"/>
      <c r="K55" s="984"/>
      <c r="L55" s="984"/>
      <c r="M55" s="984"/>
      <c r="N55" s="984"/>
      <c r="O55" s="984"/>
      <c r="P55" s="984"/>
      <c r="Q55" s="985"/>
      <c r="R55" s="706">
        <f ca="1">SUM(C55:Q55)</f>
        <v>9707.1908831716701</v>
      </c>
    </row>
    <row r="56" spans="1:18" ht="15.75" thickBot="1">
      <c r="A56" s="803" t="s">
        <v>874</v>
      </c>
      <c r="B56" s="816"/>
      <c r="C56" s="707">
        <f ca="1">SUM(C54:C55)</f>
        <v>685.61478050705421</v>
      </c>
      <c r="D56" s="707">
        <f t="shared" ref="D56:Q56" ca="1" si="7">SUM(D54:D55)</f>
        <v>14989.776876172878</v>
      </c>
      <c r="E56" s="707">
        <f t="shared" si="7"/>
        <v>9516.6000093968978</v>
      </c>
      <c r="F56" s="707">
        <f t="shared" si="7"/>
        <v>4.9879259240868334</v>
      </c>
      <c r="G56" s="707">
        <f t="shared" si="7"/>
        <v>1237.7942388483179</v>
      </c>
      <c r="H56" s="707">
        <f t="shared" si="7"/>
        <v>0</v>
      </c>
      <c r="I56" s="707">
        <f t="shared" si="7"/>
        <v>0</v>
      </c>
      <c r="J56" s="707">
        <f t="shared" si="7"/>
        <v>0</v>
      </c>
      <c r="K56" s="707">
        <f t="shared" si="7"/>
        <v>102.14153591258061</v>
      </c>
      <c r="L56" s="707">
        <f t="shared" si="7"/>
        <v>0</v>
      </c>
      <c r="M56" s="707">
        <f t="shared" si="7"/>
        <v>0</v>
      </c>
      <c r="N56" s="707">
        <f t="shared" si="7"/>
        <v>0</v>
      </c>
      <c r="O56" s="707">
        <f t="shared" si="7"/>
        <v>0</v>
      </c>
      <c r="P56" s="707">
        <f t="shared" si="7"/>
        <v>0</v>
      </c>
      <c r="Q56" s="708">
        <f t="shared" si="7"/>
        <v>0</v>
      </c>
      <c r="R56" s="709">
        <f ca="1">SUM(R54:R55)</f>
        <v>26536.915366761816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12231.31563486135</v>
      </c>
      <c r="D61" s="715">
        <f t="shared" ref="D61:Q61" ca="1" si="8">D46+D52+D56</f>
        <v>14989.776876172878</v>
      </c>
      <c r="E61" s="715">
        <f t="shared" ca="1" si="8"/>
        <v>29551.183569947574</v>
      </c>
      <c r="F61" s="715">
        <f t="shared" si="8"/>
        <v>583.44076030308895</v>
      </c>
      <c r="G61" s="715">
        <f t="shared" ca="1" si="8"/>
        <v>18357.755917410806</v>
      </c>
      <c r="H61" s="715">
        <f t="shared" si="8"/>
        <v>21082.343810077888</v>
      </c>
      <c r="I61" s="715">
        <f t="shared" si="8"/>
        <v>3712.0003780648562</v>
      </c>
      <c r="J61" s="715">
        <f t="shared" si="8"/>
        <v>0</v>
      </c>
      <c r="K61" s="715">
        <f t="shared" si="8"/>
        <v>494.87867567466139</v>
      </c>
      <c r="L61" s="715">
        <f t="shared" si="8"/>
        <v>0</v>
      </c>
      <c r="M61" s="715">
        <f t="shared" ca="1" si="8"/>
        <v>0</v>
      </c>
      <c r="N61" s="715">
        <f t="shared" si="8"/>
        <v>0</v>
      </c>
      <c r="O61" s="715">
        <f t="shared" ca="1" si="8"/>
        <v>0</v>
      </c>
      <c r="P61" s="715">
        <f t="shared" si="8"/>
        <v>0</v>
      </c>
      <c r="Q61" s="715">
        <f t="shared" si="8"/>
        <v>0</v>
      </c>
      <c r="R61" s="715">
        <f ca="1">R46+R52+R56</f>
        <v>101002.69562251313</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0.21223344682518575</v>
      </c>
      <c r="D63" s="759">
        <f t="shared" ca="1" si="9"/>
        <v>0.22364319317744924</v>
      </c>
      <c r="E63" s="986">
        <f t="shared" ca="1" si="9"/>
        <v>0.20199999999999999</v>
      </c>
      <c r="F63" s="759">
        <f t="shared" si="9"/>
        <v>0.22700000000000001</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2859.3478064525575</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3163.6887433155075</v>
      </c>
      <c r="C76" s="725">
        <f>'lokale energieproductie'!B8*IFERROR(SUM(D76:H76)/SUM(D76:O76),0)</f>
        <v>44765.811256684494</v>
      </c>
      <c r="D76" s="996">
        <f>'lokale energieproductie'!C8</f>
        <v>51424.998049701164</v>
      </c>
      <c r="E76" s="997">
        <f>'lokale energieproductie'!D8</f>
        <v>0</v>
      </c>
      <c r="F76" s="997">
        <f>'lokale energieproductie'!E8</f>
        <v>1240.6622522805912</v>
      </c>
      <c r="G76" s="997">
        <f>'lokale energieproductie'!F8</f>
        <v>0</v>
      </c>
      <c r="H76" s="997">
        <f>'lokale energieproductie'!G8</f>
        <v>0</v>
      </c>
      <c r="I76" s="997">
        <f>'lokale energieproductie'!I8</f>
        <v>3721.986756841774</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10719.106427398554</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6023.036549768065</v>
      </c>
      <c r="C78" s="730">
        <f>SUM(C72:C77)</f>
        <v>44765.811256684494</v>
      </c>
      <c r="D78" s="731">
        <f t="shared" ref="D78:H78" si="10">SUM(D76:D77)</f>
        <v>51424.998049701164</v>
      </c>
      <c r="E78" s="731">
        <f t="shared" si="10"/>
        <v>0</v>
      </c>
      <c r="F78" s="731">
        <f t="shared" si="10"/>
        <v>1240.6622522805912</v>
      </c>
      <c r="G78" s="731">
        <f t="shared" si="10"/>
        <v>0</v>
      </c>
      <c r="H78" s="731">
        <f t="shared" si="10"/>
        <v>0</v>
      </c>
      <c r="I78" s="731">
        <f>SUM(I76:I77)</f>
        <v>3721.986756841774</v>
      </c>
      <c r="J78" s="731">
        <f>SUM(J76:J77)</f>
        <v>0</v>
      </c>
      <c r="K78" s="731">
        <f t="shared" ref="K78:L78" si="11">SUM(K76:K77)</f>
        <v>0</v>
      </c>
      <c r="L78" s="731">
        <f t="shared" si="11"/>
        <v>0</v>
      </c>
      <c r="M78" s="731">
        <f>SUM(M76:M77)</f>
        <v>0</v>
      </c>
      <c r="N78" s="731">
        <f>SUM(N76:N77)</f>
        <v>0</v>
      </c>
      <c r="O78" s="840">
        <f>SUM(O76:O77)</f>
        <v>0</v>
      </c>
      <c r="P78" s="732">
        <v>0</v>
      </c>
      <c r="Q78" s="732">
        <f>SUM(Q76:Q77)</f>
        <v>10719.106427398554</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4424.1550066844911</v>
      </c>
      <c r="C87" s="741">
        <f>'lokale energieproductie'!B17*IFERROR(SUM(D87:H87)/SUM(D87:O87),0)</f>
        <v>62601.255707601231</v>
      </c>
      <c r="D87" s="752">
        <f>'lokale energieproductie'!C17</f>
        <v>71913.573378870278</v>
      </c>
      <c r="E87" s="752">
        <f>'lokale energieproductie'!D17</f>
        <v>0</v>
      </c>
      <c r="F87" s="752">
        <f>'lokale energieproductie'!E17</f>
        <v>1734.9627477194085</v>
      </c>
      <c r="G87" s="752">
        <f>'lokale energieproductie'!F17</f>
        <v>0</v>
      </c>
      <c r="H87" s="752">
        <f>'lokale energieproductie'!G17</f>
        <v>0</v>
      </c>
      <c r="I87" s="752">
        <f>'lokale energieproductie'!I17</f>
        <v>5204.888243158226</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14989.776876172878</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4424.1550066844911</v>
      </c>
      <c r="C90" s="730">
        <f>SUM(C87:C89)</f>
        <v>62601.255707601231</v>
      </c>
      <c r="D90" s="730">
        <f t="shared" ref="D90:H90" si="12">SUM(D87:D89)</f>
        <v>71913.573378870278</v>
      </c>
      <c r="E90" s="730">
        <f t="shared" si="12"/>
        <v>0</v>
      </c>
      <c r="F90" s="730">
        <f t="shared" si="12"/>
        <v>1734.9627477194085</v>
      </c>
      <c r="G90" s="730">
        <f t="shared" si="12"/>
        <v>0</v>
      </c>
      <c r="H90" s="730">
        <f t="shared" si="12"/>
        <v>0</v>
      </c>
      <c r="I90" s="730">
        <f>SUM(I87:I89)</f>
        <v>5204.888243158226</v>
      </c>
      <c r="J90" s="730">
        <f>SUM(J87:J89)</f>
        <v>0</v>
      </c>
      <c r="K90" s="730">
        <f t="shared" ref="K90:L90" si="13">SUM(K87:K89)</f>
        <v>0</v>
      </c>
      <c r="L90" s="730">
        <f t="shared" si="13"/>
        <v>0</v>
      </c>
      <c r="M90" s="730">
        <f>SUM(M87:M89)</f>
        <v>0</v>
      </c>
      <c r="N90" s="730">
        <f>SUM(N87:N89)</f>
        <v>0</v>
      </c>
      <c r="O90" s="730">
        <f>SUM(O87:O89)</f>
        <v>0</v>
      </c>
      <c r="P90" s="730">
        <v>0</v>
      </c>
      <c r="Q90" s="730">
        <f>SUM(Q87:Q89)</f>
        <v>14989.776876172878</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33115.304713772864</v>
      </c>
      <c r="C4" s="447">
        <f>huishoudens!C8</f>
        <v>0</v>
      </c>
      <c r="D4" s="447">
        <f>huishoudens!D8</f>
        <v>54090.922408069775</v>
      </c>
      <c r="E4" s="447">
        <f>huishoudens!E8</f>
        <v>1948.2963699188088</v>
      </c>
      <c r="F4" s="447">
        <f>huishoudens!F8</f>
        <v>59397.899838036443</v>
      </c>
      <c r="G4" s="447">
        <f>huishoudens!G8</f>
        <v>0</v>
      </c>
      <c r="H4" s="447">
        <f>huishoudens!H8</f>
        <v>0</v>
      </c>
      <c r="I4" s="447">
        <f>huishoudens!I8</f>
        <v>0</v>
      </c>
      <c r="J4" s="447">
        <f>huishoudens!J8</f>
        <v>1077.7541956104269</v>
      </c>
      <c r="K4" s="447">
        <f>huishoudens!K8</f>
        <v>0</v>
      </c>
      <c r="L4" s="447">
        <f>huishoudens!L8</f>
        <v>0</v>
      </c>
      <c r="M4" s="447">
        <f>huishoudens!M8</f>
        <v>0</v>
      </c>
      <c r="N4" s="447">
        <f>huishoudens!N8</f>
        <v>10369.969422839651</v>
      </c>
      <c r="O4" s="447">
        <f>huishoudens!O8</f>
        <v>103.17999999999999</v>
      </c>
      <c r="P4" s="448">
        <f>huishoudens!P8</f>
        <v>514.79999999999995</v>
      </c>
      <c r="Q4" s="449">
        <f>SUM(B4:P4)</f>
        <v>160618.12694824795</v>
      </c>
    </row>
    <row r="5" spans="1:17">
      <c r="A5" s="446" t="s">
        <v>149</v>
      </c>
      <c r="B5" s="447">
        <f ca="1">tertiair!B16</f>
        <v>12800.672345291734</v>
      </c>
      <c r="C5" s="447">
        <f ca="1">tertiair!C16</f>
        <v>0</v>
      </c>
      <c r="D5" s="447">
        <f ca="1">tertiair!D16</f>
        <v>40325.951593125792</v>
      </c>
      <c r="E5" s="447">
        <f>tertiair!E16</f>
        <v>136.11658449490457</v>
      </c>
      <c r="F5" s="447">
        <f ca="1">tertiair!F16</f>
        <v>2492.4064101107429</v>
      </c>
      <c r="G5" s="447">
        <f>tertiair!G16</f>
        <v>0</v>
      </c>
      <c r="H5" s="447">
        <f>tertiair!H16</f>
        <v>0</v>
      </c>
      <c r="I5" s="447">
        <f>tertiair!I16</f>
        <v>0</v>
      </c>
      <c r="J5" s="447">
        <f>tertiair!J16</f>
        <v>0</v>
      </c>
      <c r="K5" s="447">
        <f>tertiair!K16</f>
        <v>0</v>
      </c>
      <c r="L5" s="447">
        <f ca="1">tertiair!L16</f>
        <v>0</v>
      </c>
      <c r="M5" s="447">
        <f>tertiair!M16</f>
        <v>0</v>
      </c>
      <c r="N5" s="447">
        <f ca="1">tertiair!N16</f>
        <v>563.36122270221563</v>
      </c>
      <c r="O5" s="447">
        <f>tertiair!O16</f>
        <v>0</v>
      </c>
      <c r="P5" s="448">
        <f>tertiair!P16</f>
        <v>38.133333333333333</v>
      </c>
      <c r="Q5" s="446">
        <f t="shared" ref="Q5:Q14" ca="1" si="0">SUM(B5:P5)</f>
        <v>56356.641489058726</v>
      </c>
    </row>
    <row r="6" spans="1:17">
      <c r="A6" s="446" t="s">
        <v>187</v>
      </c>
      <c r="B6" s="447">
        <f>'openbare verlichting'!B8</f>
        <v>1032.3499999999999</v>
      </c>
      <c r="C6" s="447"/>
      <c r="D6" s="447"/>
      <c r="E6" s="447"/>
      <c r="F6" s="447"/>
      <c r="G6" s="447"/>
      <c r="H6" s="447"/>
      <c r="I6" s="447"/>
      <c r="J6" s="447"/>
      <c r="K6" s="447"/>
      <c r="L6" s="447"/>
      <c r="M6" s="447"/>
      <c r="N6" s="447"/>
      <c r="O6" s="447"/>
      <c r="P6" s="448"/>
      <c r="Q6" s="446">
        <f t="shared" si="0"/>
        <v>1032.3499999999999</v>
      </c>
    </row>
    <row r="7" spans="1:17">
      <c r="A7" s="446" t="s">
        <v>105</v>
      </c>
      <c r="B7" s="447">
        <f>landbouw!B8</f>
        <v>2332.450017362376</v>
      </c>
      <c r="C7" s="447">
        <f>landbouw!C8</f>
        <v>67025.410714285725</v>
      </c>
      <c r="D7" s="447">
        <f>landbouw!D8</f>
        <v>0</v>
      </c>
      <c r="E7" s="447">
        <f>landbouw!E8</f>
        <v>21.973241956329662</v>
      </c>
      <c r="F7" s="447">
        <f>landbouw!F8</f>
        <v>4635.9334788326514</v>
      </c>
      <c r="G7" s="447">
        <f>landbouw!G8</f>
        <v>0</v>
      </c>
      <c r="H7" s="447">
        <f>landbouw!H8</f>
        <v>0</v>
      </c>
      <c r="I7" s="447">
        <f>landbouw!I8</f>
        <v>0</v>
      </c>
      <c r="J7" s="447">
        <f>landbouw!J8</f>
        <v>288.53541218243112</v>
      </c>
      <c r="K7" s="447">
        <f>landbouw!K8</f>
        <v>0</v>
      </c>
      <c r="L7" s="447">
        <f>landbouw!L8</f>
        <v>0</v>
      </c>
      <c r="M7" s="447">
        <f>landbouw!M8</f>
        <v>0</v>
      </c>
      <c r="N7" s="447">
        <f>landbouw!N8</f>
        <v>0</v>
      </c>
      <c r="O7" s="447">
        <f>landbouw!O8</f>
        <v>0</v>
      </c>
      <c r="P7" s="448">
        <f>landbouw!P8</f>
        <v>0</v>
      </c>
      <c r="Q7" s="446">
        <f t="shared" si="0"/>
        <v>74304.302864619516</v>
      </c>
    </row>
    <row r="8" spans="1:17">
      <c r="A8" s="446" t="s">
        <v>665</v>
      </c>
      <c r="B8" s="447">
        <f>industrie!B18</f>
        <v>7439.5504006084575</v>
      </c>
      <c r="C8" s="447">
        <f>industrie!C18</f>
        <v>0</v>
      </c>
      <c r="D8" s="447">
        <f>industrie!D18</f>
        <v>4758.0455370882792</v>
      </c>
      <c r="E8" s="447">
        <f>industrie!E18</f>
        <v>67.986176885626037</v>
      </c>
      <c r="F8" s="447">
        <f>industrie!F18</f>
        <v>2229.4004131355377</v>
      </c>
      <c r="G8" s="447">
        <f>industrie!G18</f>
        <v>0</v>
      </c>
      <c r="H8" s="447">
        <f>industrie!H18</f>
        <v>0</v>
      </c>
      <c r="I8" s="447">
        <f>industrie!I18</f>
        <v>0</v>
      </c>
      <c r="J8" s="447">
        <f>industrie!J18</f>
        <v>31.672752870027495</v>
      </c>
      <c r="K8" s="447">
        <f>industrie!K18</f>
        <v>0</v>
      </c>
      <c r="L8" s="447">
        <f>industrie!L18</f>
        <v>0</v>
      </c>
      <c r="M8" s="447">
        <f>industrie!M18</f>
        <v>0</v>
      </c>
      <c r="N8" s="447">
        <f>industrie!N18</f>
        <v>313.58119731018968</v>
      </c>
      <c r="O8" s="447">
        <f>industrie!O18</f>
        <v>0</v>
      </c>
      <c r="P8" s="448">
        <f>industrie!P18</f>
        <v>0</v>
      </c>
      <c r="Q8" s="446">
        <f t="shared" si="0"/>
        <v>14840.236477898117</v>
      </c>
    </row>
    <row r="9" spans="1:17" s="452" customFormat="1">
      <c r="A9" s="450" t="s">
        <v>562</v>
      </c>
      <c r="B9" s="451">
        <f>transport!B14</f>
        <v>4.8685715753056833</v>
      </c>
      <c r="C9" s="451">
        <f>transport!C14</f>
        <v>0</v>
      </c>
      <c r="D9" s="451">
        <f>transport!D14</f>
        <v>6.1871971155381944</v>
      </c>
      <c r="E9" s="451">
        <f>transport!E14</f>
        <v>395.85124041432607</v>
      </c>
      <c r="F9" s="451">
        <f>transport!F14</f>
        <v>0</v>
      </c>
      <c r="G9" s="451">
        <f>transport!G14</f>
        <v>77324.049600379236</v>
      </c>
      <c r="H9" s="451">
        <f>transport!H14</f>
        <v>14907.632040421109</v>
      </c>
      <c r="I9" s="451">
        <f>transport!I14</f>
        <v>0</v>
      </c>
      <c r="J9" s="451">
        <f>transport!J14</f>
        <v>0</v>
      </c>
      <c r="K9" s="451">
        <f>transport!K14</f>
        <v>0</v>
      </c>
      <c r="L9" s="451">
        <f>transport!L14</f>
        <v>0</v>
      </c>
      <c r="M9" s="451">
        <f>transport!M14</f>
        <v>4123.4366333856851</v>
      </c>
      <c r="N9" s="451">
        <f>transport!N14</f>
        <v>0</v>
      </c>
      <c r="O9" s="451">
        <f>transport!O14</f>
        <v>0</v>
      </c>
      <c r="P9" s="451">
        <f>transport!P14</f>
        <v>0</v>
      </c>
      <c r="Q9" s="450">
        <f>SUM(B9:P9)</f>
        <v>96762.025283291208</v>
      </c>
    </row>
    <row r="10" spans="1:17">
      <c r="A10" s="446" t="s">
        <v>552</v>
      </c>
      <c r="B10" s="447">
        <f>transport!B54</f>
        <v>8.2026743736970769</v>
      </c>
      <c r="C10" s="447">
        <f>transport!C54</f>
        <v>0</v>
      </c>
      <c r="D10" s="447">
        <f>transport!D54</f>
        <v>0</v>
      </c>
      <c r="E10" s="447">
        <f>transport!E54</f>
        <v>0</v>
      </c>
      <c r="F10" s="447">
        <f>transport!F54</f>
        <v>0</v>
      </c>
      <c r="G10" s="447">
        <f>transport!G54</f>
        <v>1636.0395759424375</v>
      </c>
      <c r="H10" s="447">
        <f>transport!H54</f>
        <v>0</v>
      </c>
      <c r="I10" s="447">
        <f>transport!I54</f>
        <v>0</v>
      </c>
      <c r="J10" s="447">
        <f>transport!J54</f>
        <v>0</v>
      </c>
      <c r="K10" s="447">
        <f>transport!K54</f>
        <v>0</v>
      </c>
      <c r="L10" s="447">
        <f>transport!L54</f>
        <v>0</v>
      </c>
      <c r="M10" s="447">
        <f>transport!M54</f>
        <v>72.311206776695684</v>
      </c>
      <c r="N10" s="447">
        <f>transport!N54</f>
        <v>0</v>
      </c>
      <c r="O10" s="447">
        <f>transport!O54</f>
        <v>0</v>
      </c>
      <c r="P10" s="448">
        <f>transport!P54</f>
        <v>0</v>
      </c>
      <c r="Q10" s="446">
        <f t="shared" si="0"/>
        <v>1716.5534570928303</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898.02468284728207</v>
      </c>
      <c r="C14" s="454"/>
      <c r="D14" s="454">
        <f>'SEAP template'!E25</f>
        <v>47111.881234638102</v>
      </c>
      <c r="E14" s="454"/>
      <c r="F14" s="454"/>
      <c r="G14" s="454"/>
      <c r="H14" s="454"/>
      <c r="I14" s="454"/>
      <c r="J14" s="454"/>
      <c r="K14" s="454"/>
      <c r="L14" s="454"/>
      <c r="M14" s="454"/>
      <c r="N14" s="454"/>
      <c r="O14" s="454"/>
      <c r="P14" s="455"/>
      <c r="Q14" s="446">
        <f t="shared" si="0"/>
        <v>48009.905917485383</v>
      </c>
    </row>
    <row r="15" spans="1:17" s="459" customFormat="1">
      <c r="A15" s="456" t="s">
        <v>556</v>
      </c>
      <c r="B15" s="457">
        <f ca="1">SUM(B4:B14)</f>
        <v>57631.423405831723</v>
      </c>
      <c r="C15" s="457">
        <f t="shared" ref="C15:Q15" ca="1" si="1">SUM(C4:C14)</f>
        <v>67025.410714285725</v>
      </c>
      <c r="D15" s="457">
        <f t="shared" ca="1" si="1"/>
        <v>146292.9879700375</v>
      </c>
      <c r="E15" s="457">
        <f t="shared" si="1"/>
        <v>2570.2236136699953</v>
      </c>
      <c r="F15" s="457">
        <f t="shared" ca="1" si="1"/>
        <v>68755.640140115371</v>
      </c>
      <c r="G15" s="457">
        <f t="shared" si="1"/>
        <v>78960.089176321679</v>
      </c>
      <c r="H15" s="457">
        <f t="shared" si="1"/>
        <v>14907.632040421109</v>
      </c>
      <c r="I15" s="457">
        <f t="shared" si="1"/>
        <v>0</v>
      </c>
      <c r="J15" s="457">
        <f t="shared" si="1"/>
        <v>1397.9623606628857</v>
      </c>
      <c r="K15" s="457">
        <f t="shared" si="1"/>
        <v>0</v>
      </c>
      <c r="L15" s="457">
        <f t="shared" ca="1" si="1"/>
        <v>0</v>
      </c>
      <c r="M15" s="457">
        <f t="shared" si="1"/>
        <v>4195.7478401623812</v>
      </c>
      <c r="N15" s="457">
        <f t="shared" ca="1" si="1"/>
        <v>11246.911842852056</v>
      </c>
      <c r="O15" s="457">
        <f t="shared" si="1"/>
        <v>103.17999999999999</v>
      </c>
      <c r="P15" s="457">
        <f t="shared" si="1"/>
        <v>552.93333333333328</v>
      </c>
      <c r="Q15" s="457">
        <f t="shared" ca="1" si="1"/>
        <v>453640.14243769378</v>
      </c>
    </row>
    <row r="17" spans="1:17">
      <c r="A17" s="460" t="s">
        <v>557</v>
      </c>
      <c r="B17" s="764">
        <f ca="1">huishoudens!B10</f>
        <v>0.21223344682518572</v>
      </c>
      <c r="C17" s="764">
        <f ca="1">huishoudens!C10</f>
        <v>0.22364319317744924</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7028.1752620703355</v>
      </c>
      <c r="C22" s="447">
        <f t="shared" ref="C22:C32" ca="1" si="3">C4*$C$17</f>
        <v>0</v>
      </c>
      <c r="D22" s="447">
        <f t="shared" ref="D22:D32" si="4">D4*$D$17</f>
        <v>10926.366326430096</v>
      </c>
      <c r="E22" s="447">
        <f t="shared" ref="E22:E32" si="5">E4*$E$17</f>
        <v>442.26327597156961</v>
      </c>
      <c r="F22" s="447">
        <f t="shared" ref="F22:F32" si="6">F4*$F$17</f>
        <v>15859.239256755731</v>
      </c>
      <c r="G22" s="447">
        <f t="shared" ref="G22:G32" si="7">G4*$G$17</f>
        <v>0</v>
      </c>
      <c r="H22" s="447">
        <f t="shared" ref="H22:H32" si="8">H4*$H$17</f>
        <v>0</v>
      </c>
      <c r="I22" s="447">
        <f t="shared" ref="I22:I32" si="9">I4*$I$17</f>
        <v>0</v>
      </c>
      <c r="J22" s="447">
        <f t="shared" ref="J22:J32" si="10">J4*$J$17</f>
        <v>381.52498524609109</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34637.569106473828</v>
      </c>
    </row>
    <row r="23" spans="1:17">
      <c r="A23" s="446" t="s">
        <v>149</v>
      </c>
      <c r="B23" s="447">
        <f t="shared" ca="1" si="2"/>
        <v>2716.7308135210988</v>
      </c>
      <c r="C23" s="447">
        <f t="shared" ca="1" si="3"/>
        <v>0</v>
      </c>
      <c r="D23" s="447">
        <f t="shared" ca="1" si="4"/>
        <v>8145.8422218114101</v>
      </c>
      <c r="E23" s="447">
        <f t="shared" si="5"/>
        <v>30.898464680343338</v>
      </c>
      <c r="F23" s="447">
        <f t="shared" ca="1" si="6"/>
        <v>665.47251149956833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11558.944011512422</v>
      </c>
    </row>
    <row r="24" spans="1:17">
      <c r="A24" s="446" t="s">
        <v>187</v>
      </c>
      <c r="B24" s="447">
        <f t="shared" ca="1" si="2"/>
        <v>219.09919882998045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219.09919882998045</v>
      </c>
    </row>
    <row r="25" spans="1:17">
      <c r="A25" s="446" t="s">
        <v>105</v>
      </c>
      <c r="B25" s="447">
        <f t="shared" ca="1" si="2"/>
        <v>495.02390673228132</v>
      </c>
      <c r="C25" s="447">
        <f t="shared" ca="1" si="3"/>
        <v>14989.776876172878</v>
      </c>
      <c r="D25" s="447">
        <f t="shared" si="4"/>
        <v>0</v>
      </c>
      <c r="E25" s="447">
        <f t="shared" si="5"/>
        <v>4.9879259240868334</v>
      </c>
      <c r="F25" s="447">
        <f t="shared" si="6"/>
        <v>1237.7942388483179</v>
      </c>
      <c r="G25" s="447">
        <f t="shared" si="7"/>
        <v>0</v>
      </c>
      <c r="H25" s="447">
        <f t="shared" si="8"/>
        <v>0</v>
      </c>
      <c r="I25" s="447">
        <f t="shared" si="9"/>
        <v>0</v>
      </c>
      <c r="J25" s="447">
        <f t="shared" si="10"/>
        <v>102.14153591258061</v>
      </c>
      <c r="K25" s="447">
        <f t="shared" si="11"/>
        <v>0</v>
      </c>
      <c r="L25" s="447">
        <f t="shared" si="12"/>
        <v>0</v>
      </c>
      <c r="M25" s="447">
        <f t="shared" si="13"/>
        <v>0</v>
      </c>
      <c r="N25" s="447">
        <f t="shared" si="14"/>
        <v>0</v>
      </c>
      <c r="O25" s="447">
        <f t="shared" si="15"/>
        <v>0</v>
      </c>
      <c r="P25" s="448">
        <f t="shared" si="16"/>
        <v>0</v>
      </c>
      <c r="Q25" s="446">
        <f t="shared" ca="1" si="17"/>
        <v>16829.724483590147</v>
      </c>
    </row>
    <row r="26" spans="1:17">
      <c r="A26" s="446" t="s">
        <v>665</v>
      </c>
      <c r="B26" s="447">
        <f t="shared" ca="1" si="2"/>
        <v>1578.9214243508241</v>
      </c>
      <c r="C26" s="447">
        <f t="shared" ca="1" si="3"/>
        <v>0</v>
      </c>
      <c r="D26" s="447">
        <f t="shared" si="4"/>
        <v>961.12519849183241</v>
      </c>
      <c r="E26" s="447">
        <f t="shared" si="5"/>
        <v>15.43286215303711</v>
      </c>
      <c r="F26" s="447">
        <f t="shared" si="6"/>
        <v>595.24991030718866</v>
      </c>
      <c r="G26" s="447">
        <f t="shared" si="7"/>
        <v>0</v>
      </c>
      <c r="H26" s="447">
        <f t="shared" si="8"/>
        <v>0</v>
      </c>
      <c r="I26" s="447">
        <f t="shared" si="9"/>
        <v>0</v>
      </c>
      <c r="J26" s="447">
        <f t="shared" si="10"/>
        <v>11.212154515989733</v>
      </c>
      <c r="K26" s="447">
        <f t="shared" si="11"/>
        <v>0</v>
      </c>
      <c r="L26" s="447">
        <f t="shared" si="12"/>
        <v>0</v>
      </c>
      <c r="M26" s="447">
        <f t="shared" si="13"/>
        <v>0</v>
      </c>
      <c r="N26" s="447">
        <f t="shared" si="14"/>
        <v>0</v>
      </c>
      <c r="O26" s="447">
        <f t="shared" si="15"/>
        <v>0</v>
      </c>
      <c r="P26" s="448">
        <f t="shared" si="16"/>
        <v>0</v>
      </c>
      <c r="Q26" s="446">
        <f t="shared" ca="1" si="17"/>
        <v>3161.9415498188723</v>
      </c>
    </row>
    <row r="27" spans="1:17" s="452" customFormat="1">
      <c r="A27" s="450" t="s">
        <v>562</v>
      </c>
      <c r="B27" s="758">
        <f t="shared" ca="1" si="2"/>
        <v>1.0332737265422494</v>
      </c>
      <c r="C27" s="451">
        <f t="shared" ca="1" si="3"/>
        <v>0</v>
      </c>
      <c r="D27" s="451">
        <f t="shared" si="4"/>
        <v>1.2498138173387154</v>
      </c>
      <c r="E27" s="451">
        <f t="shared" si="5"/>
        <v>89.858231574052027</v>
      </c>
      <c r="F27" s="451">
        <f t="shared" si="6"/>
        <v>0</v>
      </c>
      <c r="G27" s="451">
        <f t="shared" si="7"/>
        <v>20645.521243301257</v>
      </c>
      <c r="H27" s="451">
        <f t="shared" si="8"/>
        <v>3712.0003780648562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24449.662940484046</v>
      </c>
    </row>
    <row r="28" spans="1:17">
      <c r="A28" s="446" t="s">
        <v>552</v>
      </c>
      <c r="B28" s="447">
        <f t="shared" ca="1" si="2"/>
        <v>1.7408818555143522</v>
      </c>
      <c r="C28" s="447">
        <f t="shared" ca="1" si="3"/>
        <v>0</v>
      </c>
      <c r="D28" s="447">
        <f t="shared" si="4"/>
        <v>0</v>
      </c>
      <c r="E28" s="447">
        <f t="shared" si="5"/>
        <v>0</v>
      </c>
      <c r="F28" s="447">
        <f t="shared" si="6"/>
        <v>0</v>
      </c>
      <c r="G28" s="447">
        <f t="shared" si="7"/>
        <v>436.82256677663082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438.5634486321452</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190.59087377477292</v>
      </c>
      <c r="C32" s="447">
        <f t="shared" ca="1" si="3"/>
        <v>0</v>
      </c>
      <c r="D32" s="447">
        <f t="shared" si="4"/>
        <v>9516.6000093968978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9707.1908831716701</v>
      </c>
    </row>
    <row r="33" spans="1:17" s="459" customFormat="1">
      <c r="A33" s="456" t="s">
        <v>556</v>
      </c>
      <c r="B33" s="457">
        <f ca="1">SUM(B22:B32)</f>
        <v>12231.315634861348</v>
      </c>
      <c r="C33" s="457">
        <f t="shared" ref="C33:Q33" ca="1" si="18">SUM(C22:C32)</f>
        <v>14989.776876172878</v>
      </c>
      <c r="D33" s="457">
        <f t="shared" ca="1" si="18"/>
        <v>29551.183569947574</v>
      </c>
      <c r="E33" s="457">
        <f t="shared" si="18"/>
        <v>583.44076030308895</v>
      </c>
      <c r="F33" s="457">
        <f t="shared" ca="1" si="18"/>
        <v>18357.755917410806</v>
      </c>
      <c r="G33" s="457">
        <f t="shared" si="18"/>
        <v>21082.343810077888</v>
      </c>
      <c r="H33" s="457">
        <f t="shared" si="18"/>
        <v>3712.0003780648562</v>
      </c>
      <c r="I33" s="457">
        <f t="shared" si="18"/>
        <v>0</v>
      </c>
      <c r="J33" s="457">
        <f t="shared" si="18"/>
        <v>494.87867567466139</v>
      </c>
      <c r="K33" s="457">
        <f t="shared" si="18"/>
        <v>0</v>
      </c>
      <c r="L33" s="457">
        <f t="shared" ca="1" si="18"/>
        <v>0</v>
      </c>
      <c r="M33" s="457">
        <f t="shared" si="18"/>
        <v>0</v>
      </c>
      <c r="N33" s="457">
        <f t="shared" ca="1" si="18"/>
        <v>0</v>
      </c>
      <c r="O33" s="457">
        <f t="shared" si="18"/>
        <v>0</v>
      </c>
      <c r="P33" s="457">
        <f t="shared" si="18"/>
        <v>0</v>
      </c>
      <c r="Q33" s="457">
        <f t="shared" ca="1" si="18"/>
        <v>101002.69562251313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2859.3478064525575</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3163.6887433155075</v>
      </c>
      <c r="C8" s="1013">
        <f>'SEAP template'!C76</f>
        <v>44765.811256684494</v>
      </c>
      <c r="D8" s="1013">
        <f>'SEAP template'!D76</f>
        <v>51424.998049701164</v>
      </c>
      <c r="E8" s="1013">
        <f>'SEAP template'!E76</f>
        <v>0</v>
      </c>
      <c r="F8" s="1013">
        <f>'SEAP template'!F76</f>
        <v>1240.6622522805912</v>
      </c>
      <c r="G8" s="1013">
        <f>'SEAP template'!G76</f>
        <v>0</v>
      </c>
      <c r="H8" s="1013">
        <f>'SEAP template'!H76</f>
        <v>0</v>
      </c>
      <c r="I8" s="1013">
        <f>'SEAP template'!I76</f>
        <v>3721.986756841774</v>
      </c>
      <c r="J8" s="1013">
        <f>'SEAP template'!J76</f>
        <v>0</v>
      </c>
      <c r="K8" s="1013">
        <f>'SEAP template'!K76</f>
        <v>0</v>
      </c>
      <c r="L8" s="1013">
        <f>'SEAP template'!L76</f>
        <v>0</v>
      </c>
      <c r="M8" s="1013">
        <f>'SEAP template'!M76</f>
        <v>0</v>
      </c>
      <c r="N8" s="1013">
        <f>'SEAP template'!N76</f>
        <v>0</v>
      </c>
      <c r="O8" s="1013">
        <f>'SEAP template'!O76</f>
        <v>0</v>
      </c>
      <c r="P8" s="1014">
        <f>'SEAP template'!Q76</f>
        <v>10719.106427398554</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6023.036549768065</v>
      </c>
      <c r="C10" s="1017">
        <f>SUM(C4:C9)</f>
        <v>44765.811256684494</v>
      </c>
      <c r="D10" s="1017">
        <f t="shared" ref="D10:H10" si="0">SUM(D8:D9)</f>
        <v>51424.998049701164</v>
      </c>
      <c r="E10" s="1017">
        <f t="shared" si="0"/>
        <v>0</v>
      </c>
      <c r="F10" s="1017">
        <f t="shared" si="0"/>
        <v>1240.6622522805912</v>
      </c>
      <c r="G10" s="1017">
        <f t="shared" si="0"/>
        <v>0</v>
      </c>
      <c r="H10" s="1017">
        <f t="shared" si="0"/>
        <v>0</v>
      </c>
      <c r="I10" s="1017">
        <f>SUM(I8:I9)</f>
        <v>3721.986756841774</v>
      </c>
      <c r="J10" s="1017">
        <f>SUM(J8:J9)</f>
        <v>0</v>
      </c>
      <c r="K10" s="1017">
        <f t="shared" ref="K10:L10" si="1">SUM(K8:K9)</f>
        <v>0</v>
      </c>
      <c r="L10" s="1017">
        <f t="shared" si="1"/>
        <v>0</v>
      </c>
      <c r="M10" s="1017">
        <f>SUM(M8:M9)</f>
        <v>0</v>
      </c>
      <c r="N10" s="1017">
        <f>SUM(N8:N9)</f>
        <v>0</v>
      </c>
      <c r="O10" s="1017">
        <f>SUM(O8:O9)</f>
        <v>0</v>
      </c>
      <c r="P10" s="1017">
        <f>SUM(P8:P9)</f>
        <v>10719.106427398554</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0.21223344682518572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4424.1550066844911</v>
      </c>
      <c r="C17" s="1020">
        <f>'SEAP template'!C87</f>
        <v>62601.255707601231</v>
      </c>
      <c r="D17" s="1014">
        <f>'SEAP template'!D87</f>
        <v>71913.573378870278</v>
      </c>
      <c r="E17" s="1014">
        <f>'SEAP template'!E87</f>
        <v>0</v>
      </c>
      <c r="F17" s="1014">
        <f>'SEAP template'!F87</f>
        <v>1734.9627477194085</v>
      </c>
      <c r="G17" s="1014">
        <f>'SEAP template'!G87</f>
        <v>0</v>
      </c>
      <c r="H17" s="1014">
        <f>'SEAP template'!H87</f>
        <v>0</v>
      </c>
      <c r="I17" s="1014">
        <f>'SEAP template'!I87</f>
        <v>5204.888243158226</v>
      </c>
      <c r="J17" s="1014">
        <f>'SEAP template'!J87</f>
        <v>0</v>
      </c>
      <c r="K17" s="1014">
        <f>'SEAP template'!K87</f>
        <v>0</v>
      </c>
      <c r="L17" s="1014">
        <f>'SEAP template'!L87</f>
        <v>0</v>
      </c>
      <c r="M17" s="1014">
        <f>'SEAP template'!M87</f>
        <v>0</v>
      </c>
      <c r="N17" s="1014">
        <f>'SEAP template'!N87</f>
        <v>0</v>
      </c>
      <c r="O17" s="1014">
        <f>'SEAP template'!O87</f>
        <v>0</v>
      </c>
      <c r="P17" s="1014">
        <f>'SEAP template'!Q87</f>
        <v>14989.776876172878</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4424.1550066844911</v>
      </c>
      <c r="C20" s="1017">
        <f>SUM(C17:C19)</f>
        <v>62601.255707601231</v>
      </c>
      <c r="D20" s="1017">
        <f t="shared" ref="D20:H20" si="2">SUM(D17:D19)</f>
        <v>71913.573378870278</v>
      </c>
      <c r="E20" s="1017">
        <f t="shared" si="2"/>
        <v>0</v>
      </c>
      <c r="F20" s="1017">
        <f t="shared" si="2"/>
        <v>1734.9627477194085</v>
      </c>
      <c r="G20" s="1017">
        <f t="shared" si="2"/>
        <v>0</v>
      </c>
      <c r="H20" s="1017">
        <f t="shared" si="2"/>
        <v>0</v>
      </c>
      <c r="I20" s="1017">
        <f>SUM(I17:I19)</f>
        <v>5204.888243158226</v>
      </c>
      <c r="J20" s="1017">
        <f>SUM(J17:J19)</f>
        <v>0</v>
      </c>
      <c r="K20" s="1017">
        <f t="shared" ref="K20:L20" si="3">SUM(K17:K19)</f>
        <v>0</v>
      </c>
      <c r="L20" s="1017">
        <f t="shared" si="3"/>
        <v>0</v>
      </c>
      <c r="M20" s="1017">
        <f>SUM(M17:M19)</f>
        <v>0</v>
      </c>
      <c r="N20" s="1017">
        <f>SUM(N17:N19)</f>
        <v>0</v>
      </c>
      <c r="O20" s="1017">
        <f>SUM(O17:O19)</f>
        <v>0</v>
      </c>
      <c r="P20" s="1017">
        <f>SUM(P17:P19)</f>
        <v>14989.776876172878</v>
      </c>
    </row>
    <row r="22" spans="1:16">
      <c r="A22" s="460" t="s">
        <v>893</v>
      </c>
      <c r="B22" s="764" t="s">
        <v>887</v>
      </c>
      <c r="C22" s="764">
        <f ca="1">'EF ele_warmte'!B22</f>
        <v>0.22364319317744924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0.21223344682518572</v>
      </c>
      <c r="C17" s="496">
        <f ca="1">'EF ele_warmte'!B22</f>
        <v>0.22364319317744924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2</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3.1266666666666669</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0.21223344682518572</v>
      </c>
      <c r="C17" s="496">
        <f ca="1">'EF ele_warmte'!B22</f>
        <v>0.22364319317744924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0.21223344682518572</v>
      </c>
      <c r="C29" s="497">
        <f ca="1">'EF ele_warmte'!B22</f>
        <v>0.22364319317744924</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6943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1462</v>
      </c>
      <c r="C14" s="327"/>
      <c r="D14" s="327"/>
      <c r="E14" s="327"/>
      <c r="F14" s="327"/>
    </row>
    <row r="15" spans="1:6">
      <c r="A15" s="1293" t="s">
        <v>177</v>
      </c>
      <c r="B15" s="1294">
        <v>1</v>
      </c>
      <c r="C15" s="327"/>
      <c r="D15" s="327"/>
      <c r="E15" s="327"/>
      <c r="F15" s="327"/>
    </row>
    <row r="16" spans="1:6">
      <c r="A16" s="1293" t="s">
        <v>6</v>
      </c>
      <c r="B16" s="1294">
        <v>229</v>
      </c>
      <c r="C16" s="327"/>
      <c r="D16" s="327"/>
      <c r="E16" s="327"/>
      <c r="F16" s="327"/>
    </row>
    <row r="17" spans="1:6">
      <c r="A17" s="1293" t="s">
        <v>7</v>
      </c>
      <c r="B17" s="1294">
        <v>234</v>
      </c>
      <c r="C17" s="327"/>
      <c r="D17" s="327"/>
      <c r="E17" s="327"/>
      <c r="F17" s="327"/>
    </row>
    <row r="18" spans="1:6">
      <c r="A18" s="1293" t="s">
        <v>8</v>
      </c>
      <c r="B18" s="1294">
        <v>429</v>
      </c>
      <c r="C18" s="327"/>
      <c r="D18" s="327"/>
      <c r="E18" s="327"/>
      <c r="F18" s="327"/>
    </row>
    <row r="19" spans="1:6">
      <c r="A19" s="1293" t="s">
        <v>9</v>
      </c>
      <c r="B19" s="1294">
        <v>512</v>
      </c>
      <c r="C19" s="327"/>
      <c r="D19" s="327"/>
      <c r="E19" s="327"/>
      <c r="F19" s="327"/>
    </row>
    <row r="20" spans="1:6">
      <c r="A20" s="1293" t="s">
        <v>10</v>
      </c>
      <c r="B20" s="1294">
        <v>294</v>
      </c>
      <c r="C20" s="327"/>
      <c r="D20" s="327"/>
      <c r="E20" s="327"/>
      <c r="F20" s="327"/>
    </row>
    <row r="21" spans="1:6">
      <c r="A21" s="1293" t="s">
        <v>11</v>
      </c>
      <c r="B21" s="1294">
        <v>14</v>
      </c>
      <c r="C21" s="327"/>
      <c r="D21" s="327"/>
      <c r="E21" s="327"/>
      <c r="F21" s="327"/>
    </row>
    <row r="22" spans="1:6">
      <c r="A22" s="1293" t="s">
        <v>12</v>
      </c>
      <c r="B22" s="1294">
        <v>869</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161</v>
      </c>
      <c r="C26" s="327"/>
      <c r="D26" s="327"/>
      <c r="E26" s="327"/>
      <c r="F26" s="327"/>
    </row>
    <row r="27" spans="1:6">
      <c r="A27" s="1293" t="s">
        <v>17</v>
      </c>
      <c r="B27" s="1294">
        <v>15</v>
      </c>
      <c r="C27" s="327"/>
      <c r="D27" s="327"/>
      <c r="E27" s="327"/>
      <c r="F27" s="327"/>
    </row>
    <row r="28" spans="1:6">
      <c r="A28" s="1293" t="s">
        <v>18</v>
      </c>
      <c r="B28" s="1295">
        <v>24375</v>
      </c>
      <c r="C28" s="327"/>
      <c r="D28" s="327"/>
      <c r="E28" s="327"/>
      <c r="F28" s="327"/>
    </row>
    <row r="29" spans="1:6">
      <c r="A29" s="1293" t="s">
        <v>955</v>
      </c>
      <c r="B29" s="1295">
        <v>197</v>
      </c>
      <c r="C29" s="327"/>
      <c r="D29" s="327"/>
      <c r="E29" s="327"/>
      <c r="F29" s="327"/>
    </row>
    <row r="30" spans="1:6">
      <c r="A30" s="1288" t="s">
        <v>956</v>
      </c>
      <c r="B30" s="1296">
        <v>117</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824.59949430239999</v>
      </c>
    </row>
    <row r="39" spans="1:6">
      <c r="A39" s="1293" t="s">
        <v>29</v>
      </c>
      <c r="B39" s="1293" t="s">
        <v>30</v>
      </c>
      <c r="C39" s="1294">
        <v>3337</v>
      </c>
      <c r="D39" s="1294">
        <v>59967763.201851197</v>
      </c>
      <c r="E39" s="1294">
        <v>6932</v>
      </c>
      <c r="F39" s="1294">
        <v>30552072.833855402</v>
      </c>
    </row>
    <row r="40" spans="1:6">
      <c r="A40" s="1293" t="s">
        <v>29</v>
      </c>
      <c r="B40" s="1293" t="s">
        <v>28</v>
      </c>
      <c r="C40" s="1294">
        <v>0</v>
      </c>
      <c r="D40" s="1294">
        <v>0</v>
      </c>
      <c r="E40" s="1294">
        <v>0</v>
      </c>
      <c r="F40" s="1294">
        <v>0</v>
      </c>
    </row>
    <row r="41" spans="1:6">
      <c r="A41" s="1293" t="s">
        <v>31</v>
      </c>
      <c r="B41" s="1293" t="s">
        <v>32</v>
      </c>
      <c r="C41" s="1294">
        <v>24</v>
      </c>
      <c r="D41" s="1294">
        <v>1995247.5063493701</v>
      </c>
      <c r="E41" s="1294">
        <v>127</v>
      </c>
      <c r="F41" s="1294">
        <v>1581280.2241539401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11</v>
      </c>
      <c r="F44" s="1294">
        <v>881009.17202972097</v>
      </c>
    </row>
    <row r="45" spans="1:6">
      <c r="A45" s="1293" t="s">
        <v>31</v>
      </c>
      <c r="B45" s="1293" t="s">
        <v>36</v>
      </c>
      <c r="C45" s="1294">
        <v>0</v>
      </c>
      <c r="D45" s="1294">
        <v>0</v>
      </c>
      <c r="E45" s="1294">
        <v>3</v>
      </c>
      <c r="F45" s="1294">
        <v>22479.094648302598</v>
      </c>
    </row>
    <row r="46" spans="1:6">
      <c r="A46" s="1293" t="s">
        <v>31</v>
      </c>
      <c r="B46" s="1293" t="s">
        <v>37</v>
      </c>
      <c r="C46" s="1294">
        <v>0</v>
      </c>
      <c r="D46" s="1294">
        <v>0</v>
      </c>
      <c r="E46" s="1294">
        <v>0</v>
      </c>
      <c r="F46" s="1294">
        <v>0</v>
      </c>
    </row>
    <row r="47" spans="1:6">
      <c r="A47" s="1293" t="s">
        <v>31</v>
      </c>
      <c r="B47" s="1293" t="s">
        <v>38</v>
      </c>
      <c r="C47" s="1294">
        <v>0</v>
      </c>
      <c r="D47" s="1294">
        <v>0</v>
      </c>
      <c r="E47" s="1294">
        <v>4</v>
      </c>
      <c r="F47" s="1294">
        <v>180962.637641774</v>
      </c>
    </row>
    <row r="48" spans="1:6">
      <c r="A48" s="1293" t="s">
        <v>31</v>
      </c>
      <c r="B48" s="1293" t="s">
        <v>28</v>
      </c>
      <c r="C48" s="1294">
        <v>23</v>
      </c>
      <c r="D48" s="1294">
        <v>2216963.6007486801</v>
      </c>
      <c r="E48" s="1294">
        <v>31</v>
      </c>
      <c r="F48" s="1294">
        <v>3365017.5970430402</v>
      </c>
    </row>
    <row r="49" spans="1:6">
      <c r="A49" s="1293" t="s">
        <v>31</v>
      </c>
      <c r="B49" s="1293" t="s">
        <v>39</v>
      </c>
      <c r="C49" s="1294">
        <v>0</v>
      </c>
      <c r="D49" s="1294">
        <v>0</v>
      </c>
      <c r="E49" s="1294">
        <v>0</v>
      </c>
      <c r="F49" s="1294">
        <v>0</v>
      </c>
    </row>
    <row r="50" spans="1:6">
      <c r="A50" s="1293" t="s">
        <v>31</v>
      </c>
      <c r="B50" s="1293" t="s">
        <v>40</v>
      </c>
      <c r="C50" s="1294">
        <v>7</v>
      </c>
      <c r="D50" s="1294">
        <v>1062783.94510625</v>
      </c>
      <c r="E50" s="1294">
        <v>17</v>
      </c>
      <c r="F50" s="1294">
        <v>1408801.6750916799</v>
      </c>
    </row>
    <row r="51" spans="1:6">
      <c r="A51" s="1293" t="s">
        <v>41</v>
      </c>
      <c r="B51" s="1293" t="s">
        <v>42</v>
      </c>
      <c r="C51" s="1294">
        <v>13</v>
      </c>
      <c r="D51" s="1294">
        <v>52981540.148056403</v>
      </c>
      <c r="E51" s="1294">
        <v>86</v>
      </c>
      <c r="F51" s="1294">
        <v>2177532.8798179501</v>
      </c>
    </row>
    <row r="52" spans="1:6">
      <c r="A52" s="1293" t="s">
        <v>41</v>
      </c>
      <c r="B52" s="1293" t="s">
        <v>28</v>
      </c>
      <c r="C52" s="1294">
        <v>5</v>
      </c>
      <c r="D52" s="1294">
        <v>545591.46062063798</v>
      </c>
      <c r="E52" s="1294">
        <v>12</v>
      </c>
      <c r="F52" s="1294">
        <v>154917.13754442599</v>
      </c>
    </row>
    <row r="53" spans="1:6">
      <c r="A53" s="1293" t="s">
        <v>43</v>
      </c>
      <c r="B53" s="1293" t="s">
        <v>44</v>
      </c>
      <c r="C53" s="1294">
        <v>80</v>
      </c>
      <c r="D53" s="1294">
        <v>47111881.234638102</v>
      </c>
      <c r="E53" s="1294">
        <v>181</v>
      </c>
      <c r="F53" s="1294">
        <v>898024.68284728203</v>
      </c>
    </row>
    <row r="54" spans="1:6">
      <c r="A54" s="1293" t="s">
        <v>45</v>
      </c>
      <c r="B54" s="1293" t="s">
        <v>46</v>
      </c>
      <c r="C54" s="1294">
        <v>0</v>
      </c>
      <c r="D54" s="1294">
        <v>0</v>
      </c>
      <c r="E54" s="1294">
        <v>1</v>
      </c>
      <c r="F54" s="1294">
        <v>1032350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23</v>
      </c>
      <c r="D57" s="1294">
        <v>676430.33217982703</v>
      </c>
      <c r="E57" s="1294">
        <v>62</v>
      </c>
      <c r="F57" s="1294">
        <v>752853.25975368998</v>
      </c>
    </row>
    <row r="58" spans="1:6">
      <c r="A58" s="1293" t="s">
        <v>48</v>
      </c>
      <c r="B58" s="1293" t="s">
        <v>50</v>
      </c>
      <c r="C58" s="1294">
        <v>0</v>
      </c>
      <c r="D58" s="1294">
        <v>0</v>
      </c>
      <c r="E58" s="1294">
        <v>13</v>
      </c>
      <c r="F58" s="1294">
        <v>132873.42553679401</v>
      </c>
    </row>
    <row r="59" spans="1:6">
      <c r="A59" s="1293" t="s">
        <v>48</v>
      </c>
      <c r="B59" s="1293" t="s">
        <v>51</v>
      </c>
      <c r="C59" s="1294">
        <v>53</v>
      </c>
      <c r="D59" s="1294">
        <v>1941080.63028126</v>
      </c>
      <c r="E59" s="1294">
        <v>198</v>
      </c>
      <c r="F59" s="1294">
        <v>5556175.1935618501</v>
      </c>
    </row>
    <row r="60" spans="1:6">
      <c r="A60" s="1293" t="s">
        <v>48</v>
      </c>
      <c r="B60" s="1293" t="s">
        <v>52</v>
      </c>
      <c r="C60" s="1294">
        <v>38</v>
      </c>
      <c r="D60" s="1294">
        <v>1706048.34028166</v>
      </c>
      <c r="E60" s="1294">
        <v>71</v>
      </c>
      <c r="F60" s="1294">
        <v>1574556.4035497601</v>
      </c>
    </row>
    <row r="61" spans="1:6">
      <c r="A61" s="1293" t="s">
        <v>48</v>
      </c>
      <c r="B61" s="1293" t="s">
        <v>53</v>
      </c>
      <c r="C61" s="1294">
        <v>68</v>
      </c>
      <c r="D61" s="1294">
        <v>3711999.16777782</v>
      </c>
      <c r="E61" s="1294">
        <v>212</v>
      </c>
      <c r="F61" s="1294">
        <v>3103183.0015025199</v>
      </c>
    </row>
    <row r="62" spans="1:6">
      <c r="A62" s="1293" t="s">
        <v>48</v>
      </c>
      <c r="B62" s="1293" t="s">
        <v>54</v>
      </c>
      <c r="C62" s="1294">
        <v>0</v>
      </c>
      <c r="D62" s="1294">
        <v>0</v>
      </c>
      <c r="E62" s="1294">
        <v>7</v>
      </c>
      <c r="F62" s="1294">
        <v>177042.973453899</v>
      </c>
    </row>
    <row r="63" spans="1:6">
      <c r="A63" s="1293" t="s">
        <v>48</v>
      </c>
      <c r="B63" s="1293" t="s">
        <v>28</v>
      </c>
      <c r="C63" s="1294">
        <v>72</v>
      </c>
      <c r="D63" s="1294">
        <v>36671704.936492503</v>
      </c>
      <c r="E63" s="1294">
        <v>84</v>
      </c>
      <c r="F63" s="1294">
        <v>1503988.08793322</v>
      </c>
    </row>
    <row r="64" spans="1:6">
      <c r="A64" s="1293" t="s">
        <v>55</v>
      </c>
      <c r="B64" s="1293" t="s">
        <v>56</v>
      </c>
      <c r="C64" s="1294">
        <v>0</v>
      </c>
      <c r="D64" s="1294">
        <v>0</v>
      </c>
      <c r="E64" s="1294">
        <v>0</v>
      </c>
      <c r="F64" s="1294">
        <v>0</v>
      </c>
    </row>
    <row r="65" spans="1:6">
      <c r="A65" s="1293" t="s">
        <v>55</v>
      </c>
      <c r="B65" s="1293" t="s">
        <v>28</v>
      </c>
      <c r="C65" s="1294">
        <v>3</v>
      </c>
      <c r="D65" s="1294">
        <v>160078.08702066299</v>
      </c>
      <c r="E65" s="1294">
        <v>2</v>
      </c>
      <c r="F65" s="1294">
        <v>8716.9767123862002</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11</v>
      </c>
      <c r="F68" s="1296">
        <v>148414.58347222299</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100311002</v>
      </c>
      <c r="E73" s="445"/>
      <c r="F73" s="327"/>
    </row>
    <row r="74" spans="1:6">
      <c r="A74" s="1293" t="s">
        <v>63</v>
      </c>
      <c r="B74" s="1293" t="s">
        <v>749</v>
      </c>
      <c r="C74" s="1306" t="s">
        <v>743</v>
      </c>
      <c r="D74" s="1294">
        <v>5970602.9998052157</v>
      </c>
      <c r="E74" s="445"/>
      <c r="F74" s="327"/>
    </row>
    <row r="75" spans="1:6">
      <c r="A75" s="1293" t="s">
        <v>64</v>
      </c>
      <c r="B75" s="1293" t="s">
        <v>748</v>
      </c>
      <c r="C75" s="1306" t="s">
        <v>744</v>
      </c>
      <c r="D75" s="1294">
        <v>21052839</v>
      </c>
      <c r="E75" s="445"/>
      <c r="F75" s="327"/>
    </row>
    <row r="76" spans="1:6">
      <c r="A76" s="1293" t="s">
        <v>64</v>
      </c>
      <c r="B76" s="1293" t="s">
        <v>749</v>
      </c>
      <c r="C76" s="1306" t="s">
        <v>745</v>
      </c>
      <c r="D76" s="1294">
        <v>122040.99980521583</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451910.00038956833</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2563.2318799174659</v>
      </c>
      <c r="C91" s="327"/>
      <c r="D91" s="327"/>
      <c r="E91" s="327"/>
      <c r="F91" s="327"/>
    </row>
    <row r="92" spans="1:6">
      <c r="A92" s="1288" t="s">
        <v>68</v>
      </c>
      <c r="B92" s="1289">
        <v>296.11592653509155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1455</v>
      </c>
      <c r="C97" s="327"/>
      <c r="D97" s="327"/>
      <c r="E97" s="327"/>
      <c r="F97" s="327"/>
    </row>
    <row r="98" spans="1:6">
      <c r="A98" s="1293" t="s">
        <v>71</v>
      </c>
      <c r="B98" s="1294">
        <v>17</v>
      </c>
      <c r="C98" s="327"/>
      <c r="D98" s="327"/>
      <c r="E98" s="327"/>
      <c r="F98" s="327"/>
    </row>
    <row r="99" spans="1:6">
      <c r="A99" s="1293" t="s">
        <v>72</v>
      </c>
      <c r="B99" s="1294">
        <v>84</v>
      </c>
      <c r="C99" s="327"/>
      <c r="D99" s="327"/>
      <c r="E99" s="327"/>
      <c r="F99" s="327"/>
    </row>
    <row r="100" spans="1:6">
      <c r="A100" s="1293" t="s">
        <v>73</v>
      </c>
      <c r="B100" s="1294">
        <v>402</v>
      </c>
      <c r="C100" s="327"/>
      <c r="D100" s="327"/>
      <c r="E100" s="327"/>
      <c r="F100" s="327"/>
    </row>
    <row r="101" spans="1:6">
      <c r="A101" s="1293" t="s">
        <v>74</v>
      </c>
      <c r="B101" s="1294">
        <v>55</v>
      </c>
      <c r="C101" s="327"/>
      <c r="D101" s="327"/>
      <c r="E101" s="327"/>
      <c r="F101" s="327"/>
    </row>
    <row r="102" spans="1:6">
      <c r="A102" s="1293" t="s">
        <v>75</v>
      </c>
      <c r="B102" s="1294">
        <v>81</v>
      </c>
      <c r="C102" s="327"/>
      <c r="D102" s="327"/>
      <c r="E102" s="327"/>
      <c r="F102" s="327"/>
    </row>
    <row r="103" spans="1:6">
      <c r="A103" s="1293" t="s">
        <v>76</v>
      </c>
      <c r="B103" s="1294">
        <v>190</v>
      </c>
      <c r="C103" s="327"/>
      <c r="D103" s="327"/>
      <c r="E103" s="327"/>
      <c r="F103" s="327"/>
    </row>
    <row r="104" spans="1:6">
      <c r="A104" s="1293" t="s">
        <v>77</v>
      </c>
      <c r="B104" s="1294">
        <v>3725</v>
      </c>
      <c r="C104" s="327"/>
      <c r="D104" s="327"/>
      <c r="E104" s="327"/>
      <c r="F104" s="327"/>
    </row>
    <row r="105" spans="1:6">
      <c r="A105" s="1288" t="s">
        <v>78</v>
      </c>
      <c r="B105" s="1296">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2</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18</v>
      </c>
      <c r="C123" s="1294">
        <v>12</v>
      </c>
      <c r="D123" s="327"/>
      <c r="E123" s="327"/>
      <c r="F123" s="327"/>
    </row>
    <row r="124" spans="1:6">
      <c r="A124" s="1293" t="s">
        <v>88</v>
      </c>
      <c r="B124" s="1294">
        <v>1</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54</v>
      </c>
      <c r="C129" s="327"/>
      <c r="D129" s="327"/>
      <c r="E129" s="327"/>
      <c r="F129" s="327"/>
    </row>
    <row r="130" spans="1:6">
      <c r="A130" s="1293" t="s">
        <v>284</v>
      </c>
      <c r="B130" s="1294">
        <v>0</v>
      </c>
      <c r="C130" s="327"/>
      <c r="D130" s="327"/>
      <c r="E130" s="327"/>
      <c r="F130" s="327"/>
    </row>
    <row r="131" spans="1:6">
      <c r="A131" s="1293" t="s">
        <v>285</v>
      </c>
      <c r="B131" s="1294">
        <v>2</v>
      </c>
      <c r="C131" s="327"/>
      <c r="D131" s="327"/>
      <c r="E131" s="327"/>
      <c r="F131" s="327"/>
    </row>
    <row r="132" spans="1:6">
      <c r="A132" s="1288" t="s">
        <v>286</v>
      </c>
      <c r="B132" s="1289">
        <v>8</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57631.423405831716</v>
      </c>
      <c r="C3" s="44" t="s">
        <v>163</v>
      </c>
      <c r="D3" s="44"/>
      <c r="E3" s="157"/>
      <c r="F3" s="44"/>
      <c r="G3" s="44"/>
      <c r="H3" s="44"/>
      <c r="I3" s="44"/>
      <c r="J3" s="44"/>
      <c r="K3" s="97"/>
    </row>
    <row r="4" spans="1:11">
      <c r="A4" s="352" t="s">
        <v>164</v>
      </c>
      <c r="B4" s="50">
        <f>IF(ISERROR('SEAP template'!B78+'SEAP template'!C78),0,'SEAP template'!B78+'SEAP template'!C78)</f>
        <v>50788.847806452555</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10719.106427398554</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0.21223344682518572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14989.776876172878</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67025.410714285725</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0.22364319317744924</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1032.3499999999999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1032.3499999999999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0.21223344682518572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219.09919882998045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30552.0728338554</v>
      </c>
      <c r="C5" s="18">
        <f>IF(ISERROR('Eigen informatie GS &amp; warmtenet'!B57),0,'Eigen informatie GS &amp; warmtenet'!B57)</f>
        <v>0</v>
      </c>
      <c r="D5" s="31">
        <f>(SUM(HH_hh_gas_kWh,HH_rest_gas_kWh)/1000)*0.902</f>
        <v>54090.922408069775</v>
      </c>
      <c r="E5" s="18">
        <f>B32*B41</f>
        <v>1948.2963699188088</v>
      </c>
      <c r="F5" s="18">
        <f>B36*B45</f>
        <v>59397.899838036443</v>
      </c>
      <c r="G5" s="19"/>
      <c r="H5" s="18"/>
      <c r="I5" s="18"/>
      <c r="J5" s="18">
        <f>B35*B44+C35*C44</f>
        <v>1077.7541956104269</v>
      </c>
      <c r="K5" s="18"/>
      <c r="L5" s="18"/>
      <c r="M5" s="18"/>
      <c r="N5" s="18">
        <f>B34*B43+C34*C43</f>
        <v>10369.969422839651</v>
      </c>
      <c r="O5" s="18">
        <f>B52*B53*B54</f>
        <v>103.17999999999999</v>
      </c>
      <c r="P5" s="18">
        <f>B60*B61*B62/1000-B60*B61*B62/1000/B63</f>
        <v>514.79999999999995</v>
      </c>
    </row>
    <row r="6" spans="1:16">
      <c r="A6" s="17" t="s">
        <v>622</v>
      </c>
      <c r="B6" s="766">
        <f>kWh_PV_kleiner_dan_10kW</f>
        <v>2563.2318799174659</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33115.304713772864</v>
      </c>
      <c r="C8" s="22">
        <f>C5</f>
        <v>0</v>
      </c>
      <c r="D8" s="22">
        <f>D5</f>
        <v>54090.922408069775</v>
      </c>
      <c r="E8" s="22">
        <f>E5</f>
        <v>1948.2963699188088</v>
      </c>
      <c r="F8" s="22">
        <f>F5</f>
        <v>59397.899838036443</v>
      </c>
      <c r="G8" s="22"/>
      <c r="H8" s="22"/>
      <c r="I8" s="22"/>
      <c r="J8" s="22">
        <f>J5</f>
        <v>1077.7541956104269</v>
      </c>
      <c r="K8" s="22"/>
      <c r="L8" s="22">
        <f>L5</f>
        <v>0</v>
      </c>
      <c r="M8" s="22">
        <f>M5</f>
        <v>0</v>
      </c>
      <c r="N8" s="22">
        <f>N5</f>
        <v>10369.969422839651</v>
      </c>
      <c r="O8" s="22">
        <f>O5</f>
        <v>103.17999999999999</v>
      </c>
      <c r="P8" s="22">
        <f>P5</f>
        <v>514.79999999999995</v>
      </c>
    </row>
    <row r="9" spans="1:16">
      <c r="B9" s="20"/>
      <c r="C9" s="20"/>
      <c r="D9" s="258"/>
      <c r="E9" s="20"/>
      <c r="F9" s="20"/>
      <c r="G9" s="20"/>
      <c r="H9" s="20"/>
      <c r="I9" s="20"/>
      <c r="J9" s="20"/>
      <c r="K9" s="20"/>
      <c r="L9" s="20"/>
      <c r="M9" s="20"/>
      <c r="N9" s="20"/>
      <c r="O9" s="20"/>
      <c r="P9" s="20"/>
    </row>
    <row r="10" spans="1:16">
      <c r="A10" s="25" t="s">
        <v>207</v>
      </c>
      <c r="B10" s="26">
        <f ca="1">'EF ele_warmte'!B12</f>
        <v>0.21223344682518572</v>
      </c>
      <c r="C10" s="26">
        <f ca="1">'EF ele_warmte'!B22</f>
        <v>0.22364319317744924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7028.1752620703355</v>
      </c>
      <c r="C12" s="24">
        <f ca="1">C10*C8</f>
        <v>0</v>
      </c>
      <c r="D12" s="24">
        <f>D8*D10</f>
        <v>10926.366326430096</v>
      </c>
      <c r="E12" s="24">
        <f>E10*E8</f>
        <v>442.26327597156961</v>
      </c>
      <c r="F12" s="24">
        <f>F10*F8</f>
        <v>15859.239256755731</v>
      </c>
      <c r="G12" s="24"/>
      <c r="H12" s="24"/>
      <c r="I12" s="24"/>
      <c r="J12" s="24">
        <f>J10*J8</f>
        <v>381.52498524609109</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6943</v>
      </c>
      <c r="C26" s="37"/>
      <c r="D26" s="228"/>
    </row>
    <row r="27" spans="1:5" s="16" customFormat="1">
      <c r="A27" s="230" t="s">
        <v>648</v>
      </c>
      <c r="B27" s="38">
        <f>SUM(HH_hh_gas_aantal,HH_rest_gas_aantal)</f>
        <v>3337</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3170.15</v>
      </c>
      <c r="C31" s="35" t="s">
        <v>104</v>
      </c>
      <c r="D31" s="174"/>
    </row>
    <row r="32" spans="1:5">
      <c r="A32" s="171" t="s">
        <v>72</v>
      </c>
      <c r="B32" s="34">
        <f>IF((B21*($B$26-($B$27-0.05*$B$27)-$B$60))&lt;0,0,B21*($B$26-($B$27-0.05*$B$27)-$B$60))</f>
        <v>92.055502009524076</v>
      </c>
      <c r="C32" s="35" t="s">
        <v>104</v>
      </c>
      <c r="D32" s="174"/>
    </row>
    <row r="33" spans="1:6">
      <c r="A33" s="171" t="s">
        <v>73</v>
      </c>
      <c r="B33" s="34">
        <f>IF((B22*($B$26-($B$27-0.05*$B$27)-$B$60))&lt;0,0,B22*($B$26-($B$27-0.05*$B$27)-$B$60))</f>
        <v>619.64149485361452</v>
      </c>
      <c r="C33" s="35" t="s">
        <v>104</v>
      </c>
      <c r="D33" s="174"/>
    </row>
    <row r="34" spans="1:6">
      <c r="A34" s="171" t="s">
        <v>74</v>
      </c>
      <c r="B34" s="34">
        <f>IF((B24*($B$26-($B$27-0.05*$B$27)-$B$60))&lt;0,0,B24*($B$26-($B$27-0.05*$B$27)-$B$60))</f>
        <v>157.15414395413862</v>
      </c>
      <c r="C34" s="34">
        <f>B26*C24</f>
        <v>1419.8596610063687</v>
      </c>
      <c r="D34" s="233"/>
    </row>
    <row r="35" spans="1:6">
      <c r="A35" s="171" t="s">
        <v>76</v>
      </c>
      <c r="B35" s="34">
        <f>IF((B19*($B$26-($B$27-0.05*$B$27)-$B$60))&lt;0,0,B19*($B$26-($B$27-0.05*$B$27)-$B$60))</f>
        <v>58.424937437937672</v>
      </c>
      <c r="C35" s="34">
        <f>B35/2</f>
        <v>29.212468718968836</v>
      </c>
      <c r="D35" s="233"/>
    </row>
    <row r="36" spans="1:6">
      <c r="A36" s="171" t="s">
        <v>77</v>
      </c>
      <c r="B36" s="34">
        <f>IF((B18*($B$26-($B$27-0.05*$B$27)-$B$60))&lt;0,0,B18*($B$26-($B$27-0.05*$B$27)-$B$60))</f>
        <v>2818.573921744784</v>
      </c>
      <c r="C36" s="35" t="s">
        <v>104</v>
      </c>
      <c r="D36" s="174"/>
    </row>
    <row r="37" spans="1:6">
      <c r="A37" s="171" t="s">
        <v>78</v>
      </c>
      <c r="B37" s="34">
        <f>B60</f>
        <v>27</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66</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27</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12800.672345291734</v>
      </c>
      <c r="C5" s="18">
        <f>IF(ISERROR('Eigen informatie GS &amp; warmtenet'!B58),0,'Eigen informatie GS &amp; warmtenet'!B58)</f>
        <v>0</v>
      </c>
      <c r="D5" s="31">
        <f>SUM(D6:D12)</f>
        <v>40325.951593125792</v>
      </c>
      <c r="E5" s="18">
        <f>SUM(E6:E12)</f>
        <v>136.11658449490457</v>
      </c>
      <c r="F5" s="18">
        <f>SUM(F6:F12)</f>
        <v>2492.4064101107429</v>
      </c>
      <c r="G5" s="19"/>
      <c r="H5" s="18"/>
      <c r="I5" s="18"/>
      <c r="J5" s="18">
        <f>SUM(J6:J12)</f>
        <v>0</v>
      </c>
      <c r="K5" s="18"/>
      <c r="L5" s="18"/>
      <c r="M5" s="18"/>
      <c r="N5" s="18">
        <f>SUM(N6:N12)</f>
        <v>563.36122270221563</v>
      </c>
      <c r="O5" s="18">
        <f>B38*B39*B40</f>
        <v>0</v>
      </c>
      <c r="P5" s="18">
        <f>B46*B47*B48/1000-B46*B47*B48/1000/B49</f>
        <v>38.133333333333333</v>
      </c>
      <c r="R5" s="33"/>
    </row>
    <row r="6" spans="1:18">
      <c r="A6" s="33" t="s">
        <v>53</v>
      </c>
      <c r="B6" s="38">
        <f>B26</f>
        <v>3103.1830015025198</v>
      </c>
      <c r="C6" s="34"/>
      <c r="D6" s="38">
        <f>IF(ISERROR(TER_kantoor_gas_kWh/1000),0,TER_kantoor_gas_kWh/1000)*0.902</f>
        <v>3348.2232493355937</v>
      </c>
      <c r="E6" s="34">
        <f>$C$26*'E Balans VL '!I12/100/3.6*1000000</f>
        <v>5.0929522457150034</v>
      </c>
      <c r="F6" s="34">
        <f>$C$26*('E Balans VL '!L12+'E Balans VL '!N12)/100/3.6*1000000</f>
        <v>365.79226194610999</v>
      </c>
      <c r="G6" s="35"/>
      <c r="H6" s="34"/>
      <c r="I6" s="34"/>
      <c r="J6" s="34">
        <f>$C$26*('E Balans VL '!D12+'E Balans VL '!E12)/100/3.6*1000000</f>
        <v>0</v>
      </c>
      <c r="K6" s="34"/>
      <c r="L6" s="34"/>
      <c r="M6" s="34"/>
      <c r="N6" s="34">
        <f>$C$26*'E Balans VL '!Y12/100/3.6*1000000</f>
        <v>0.62698343067904916</v>
      </c>
      <c r="O6" s="34"/>
      <c r="P6" s="34"/>
      <c r="R6" s="33"/>
    </row>
    <row r="7" spans="1:18">
      <c r="A7" s="33" t="s">
        <v>52</v>
      </c>
      <c r="B7" s="38">
        <f t="shared" ref="B7:B12" si="0">B27</f>
        <v>1574.55640354976</v>
      </c>
      <c r="C7" s="34"/>
      <c r="D7" s="38">
        <f>IF(ISERROR(TER_horeca_gas_kWh/1000),0,TER_horeca_gas_kWh/1000)*0.902</f>
        <v>1538.8556029340573</v>
      </c>
      <c r="E7" s="34">
        <f>$C$27*'E Balans VL '!I9/100/3.6*1000000</f>
        <v>81.708083610279644</v>
      </c>
      <c r="F7" s="34">
        <f>$C$27*('E Balans VL '!L9+'E Balans VL '!N9)/100/3.6*1000000</f>
        <v>359.31491379384414</v>
      </c>
      <c r="G7" s="35"/>
      <c r="H7" s="34"/>
      <c r="I7" s="34"/>
      <c r="J7" s="34">
        <f>$C$27*('E Balans VL '!D9+'E Balans VL '!E9)/100/3.6*1000000</f>
        <v>0</v>
      </c>
      <c r="K7" s="34"/>
      <c r="L7" s="34"/>
      <c r="M7" s="34"/>
      <c r="N7" s="34">
        <f>$C$27*'E Balans VL '!Y9/100/3.6*1000000</f>
        <v>0.16627243464290242</v>
      </c>
      <c r="O7" s="34"/>
      <c r="P7" s="34"/>
      <c r="R7" s="33"/>
    </row>
    <row r="8" spans="1:18">
      <c r="A8" s="6" t="s">
        <v>51</v>
      </c>
      <c r="B8" s="38">
        <f t="shared" si="0"/>
        <v>5556.1751935618504</v>
      </c>
      <c r="C8" s="34"/>
      <c r="D8" s="38">
        <f>IF(ISERROR(TER_handel_gas_kWh/1000),0,TER_handel_gas_kWh/1000)*0.902</f>
        <v>1750.8547285136965</v>
      </c>
      <c r="E8" s="34">
        <f>$C$28*'E Balans VL '!I13/100/3.6*1000000</f>
        <v>29.920686180515293</v>
      </c>
      <c r="F8" s="34">
        <f>$C$28*('E Balans VL '!L13+'E Balans VL '!N13)/100/3.6*1000000</f>
        <v>1133.0692366226715</v>
      </c>
      <c r="G8" s="35"/>
      <c r="H8" s="34"/>
      <c r="I8" s="34"/>
      <c r="J8" s="34">
        <f>$C$28*('E Balans VL '!D13+'E Balans VL '!E13)/100/3.6*1000000</f>
        <v>0</v>
      </c>
      <c r="K8" s="34"/>
      <c r="L8" s="34"/>
      <c r="M8" s="34"/>
      <c r="N8" s="34">
        <f>$C$28*'E Balans VL '!Y13/100/3.6*1000000</f>
        <v>27.62792510552795</v>
      </c>
      <c r="O8" s="34"/>
      <c r="P8" s="34"/>
      <c r="R8" s="33"/>
    </row>
    <row r="9" spans="1:18">
      <c r="A9" s="33" t="s">
        <v>50</v>
      </c>
      <c r="B9" s="38">
        <f t="shared" si="0"/>
        <v>132.873425536794</v>
      </c>
      <c r="C9" s="34"/>
      <c r="D9" s="38">
        <f>IF(ISERROR(TER_gezond_gas_kWh/1000),0,TER_gezond_gas_kWh/1000)*0.902</f>
        <v>0</v>
      </c>
      <c r="E9" s="34">
        <f>$C$29*'E Balans VL '!I10/100/3.6*1000000</f>
        <v>0.13167907573730453</v>
      </c>
      <c r="F9" s="34">
        <f>$C$29*('E Balans VL '!L10+'E Balans VL '!N10)/100/3.6*1000000</f>
        <v>46.103248731709201</v>
      </c>
      <c r="G9" s="35"/>
      <c r="H9" s="34"/>
      <c r="I9" s="34"/>
      <c r="J9" s="34">
        <f>$C$29*('E Balans VL '!D10+'E Balans VL '!E10)/100/3.6*1000000</f>
        <v>0</v>
      </c>
      <c r="K9" s="34"/>
      <c r="L9" s="34"/>
      <c r="M9" s="34"/>
      <c r="N9" s="34">
        <f>$C$29*'E Balans VL '!Y10/100/3.6*1000000</f>
        <v>1.1449587970808859</v>
      </c>
      <c r="O9" s="34"/>
      <c r="P9" s="34"/>
      <c r="R9" s="33"/>
    </row>
    <row r="10" spans="1:18">
      <c r="A10" s="33" t="s">
        <v>49</v>
      </c>
      <c r="B10" s="38">
        <f t="shared" si="0"/>
        <v>752.85325975368994</v>
      </c>
      <c r="C10" s="34"/>
      <c r="D10" s="38">
        <f>IF(ISERROR(TER_ander_gas_kWh/1000),0,TER_ander_gas_kWh/1000)*0.902</f>
        <v>610.14015962620397</v>
      </c>
      <c r="E10" s="34">
        <f>$C$30*'E Balans VL '!I14/100/3.6*1000000</f>
        <v>6.1590920880323505</v>
      </c>
      <c r="F10" s="34">
        <f>$C$30*('E Balans VL '!L14+'E Balans VL '!N14)/100/3.6*1000000</f>
        <v>220.10364322636173</v>
      </c>
      <c r="G10" s="35"/>
      <c r="H10" s="34"/>
      <c r="I10" s="34"/>
      <c r="J10" s="34">
        <f>$C$30*('E Balans VL '!D14+'E Balans VL '!E14)/100/3.6*1000000</f>
        <v>0</v>
      </c>
      <c r="K10" s="34"/>
      <c r="L10" s="34"/>
      <c r="M10" s="34"/>
      <c r="N10" s="34">
        <f>$C$30*'E Balans VL '!Y14/100/3.6*1000000</f>
        <v>434.29754818361198</v>
      </c>
      <c r="O10" s="34"/>
      <c r="P10" s="34"/>
      <c r="R10" s="33"/>
    </row>
    <row r="11" spans="1:18">
      <c r="A11" s="33" t="s">
        <v>54</v>
      </c>
      <c r="B11" s="38">
        <f t="shared" si="0"/>
        <v>177.04297345389901</v>
      </c>
      <c r="C11" s="34"/>
      <c r="D11" s="38">
        <f>IF(ISERROR(TER_onderwijs_gas_kWh/1000),0,TER_onderwijs_gas_kWh/1000)*0.902</f>
        <v>0</v>
      </c>
      <c r="E11" s="34">
        <f>$C$31*'E Balans VL '!I11/100/3.6*1000000</f>
        <v>0.10912181865227978</v>
      </c>
      <c r="F11" s="34">
        <f>$C$31*('E Balans VL '!L11+'E Balans VL '!N11)/100/3.6*1000000</f>
        <v>68.447680689686919</v>
      </c>
      <c r="G11" s="35"/>
      <c r="H11" s="34"/>
      <c r="I11" s="34"/>
      <c r="J11" s="34">
        <f>$C$31*('E Balans VL '!D11+'E Balans VL '!E11)/100/3.6*1000000</f>
        <v>0</v>
      </c>
      <c r="K11" s="34"/>
      <c r="L11" s="34"/>
      <c r="M11" s="34"/>
      <c r="N11" s="34">
        <f>$C$31*'E Balans VL '!Y11/100/3.6*1000000</f>
        <v>0.57588285314638521</v>
      </c>
      <c r="O11" s="34"/>
      <c r="P11" s="34"/>
      <c r="R11" s="33"/>
    </row>
    <row r="12" spans="1:18">
      <c r="A12" s="33" t="s">
        <v>249</v>
      </c>
      <c r="B12" s="38">
        <f t="shared" si="0"/>
        <v>1503.98808793322</v>
      </c>
      <c r="C12" s="34"/>
      <c r="D12" s="38">
        <f>IF(ISERROR(TER_rest_gas_kWh/1000),0,TER_rest_gas_kWh/1000)*0.902</f>
        <v>33077.877852716243</v>
      </c>
      <c r="E12" s="34">
        <f>$C$32*'E Balans VL '!I8/100/3.6*1000000</f>
        <v>12.994969475972688</v>
      </c>
      <c r="F12" s="34">
        <f>$C$32*('E Balans VL '!L8+'E Balans VL '!N8)/100/3.6*1000000</f>
        <v>299.57542510035961</v>
      </c>
      <c r="G12" s="35"/>
      <c r="H12" s="34"/>
      <c r="I12" s="34"/>
      <c r="J12" s="34">
        <f>$C$32*('E Balans VL '!D8+'E Balans VL '!E8)/100/3.6*1000000</f>
        <v>0</v>
      </c>
      <c r="K12" s="34"/>
      <c r="L12" s="34"/>
      <c r="M12" s="34"/>
      <c r="N12" s="34">
        <f>$C$32*'E Balans VL '!Y8/100/3.6*1000000</f>
        <v>98.921651897526516</v>
      </c>
      <c r="O12" s="34"/>
      <c r="P12" s="34"/>
      <c r="R12" s="33"/>
    </row>
    <row r="13" spans="1:18">
      <c r="A13" s="17" t="s">
        <v>489</v>
      </c>
      <c r="B13" s="246">
        <f ca="1">'lokale energieproductie'!N45+'lokale energieproductie'!N38</f>
        <v>0</v>
      </c>
      <c r="C13" s="246">
        <f ca="1">'lokale energieproductie'!O45+'lokale energieproductie'!O38</f>
        <v>0</v>
      </c>
      <c r="D13" s="305">
        <f ca="1">('lokale energieproductie'!P38+'lokale energieproductie'!P45)*(-1)</f>
        <v>0</v>
      </c>
      <c r="E13" s="247"/>
      <c r="F13" s="305">
        <f ca="1">('lokale energieproductie'!S38+'lokale energieproductie'!S45)*(-1)</f>
        <v>0</v>
      </c>
      <c r="G13" s="248"/>
      <c r="H13" s="247"/>
      <c r="I13" s="247"/>
      <c r="J13" s="247"/>
      <c r="K13" s="247"/>
      <c r="L13" s="305">
        <f ca="1">('lokale energieproductie'!U38+'lokale energieproductie'!T38+'lokale energieproductie'!U45+'lokale energieproductie'!T45)*(-1)</f>
        <v>0</v>
      </c>
      <c r="M13" s="247"/>
      <c r="N13" s="305">
        <f ca="1">('lokale energieproductie'!Q38+'lokale energieproductie'!R38+'lokale energieproductie'!V38+'lokale energieproductie'!Q45+'lokale energieproductie'!R45+'lokale energieproductie'!V45)*(-1)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12800.672345291734</v>
      </c>
      <c r="C16" s="22">
        <f t="shared" ca="1" si="1"/>
        <v>0</v>
      </c>
      <c r="D16" s="22">
        <f t="shared" ca="1" si="1"/>
        <v>40325.951593125792</v>
      </c>
      <c r="E16" s="22">
        <f t="shared" si="1"/>
        <v>136.11658449490457</v>
      </c>
      <c r="F16" s="22">
        <f t="shared" ca="1" si="1"/>
        <v>2492.4064101107429</v>
      </c>
      <c r="G16" s="22">
        <f t="shared" si="1"/>
        <v>0</v>
      </c>
      <c r="H16" s="22">
        <f t="shared" si="1"/>
        <v>0</v>
      </c>
      <c r="I16" s="22">
        <f t="shared" si="1"/>
        <v>0</v>
      </c>
      <c r="J16" s="22">
        <f t="shared" si="1"/>
        <v>0</v>
      </c>
      <c r="K16" s="22">
        <f t="shared" si="1"/>
        <v>0</v>
      </c>
      <c r="L16" s="22">
        <f t="shared" ca="1" si="1"/>
        <v>0</v>
      </c>
      <c r="M16" s="22">
        <f t="shared" si="1"/>
        <v>0</v>
      </c>
      <c r="N16" s="22">
        <f t="shared" ca="1" si="1"/>
        <v>563.36122270221563</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0.21223344682518572</v>
      </c>
      <c r="C18" s="26">
        <f ca="1">'EF ele_warmte'!B22</f>
        <v>0.22364319317744924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2716.7308135210988</v>
      </c>
      <c r="C20" s="24">
        <f t="shared" ref="C20:P20" ca="1" si="2">C16*C18</f>
        <v>0</v>
      </c>
      <c r="D20" s="24">
        <f t="shared" ca="1" si="2"/>
        <v>8145.8422218114101</v>
      </c>
      <c r="E20" s="24">
        <f t="shared" si="2"/>
        <v>30.898464680343338</v>
      </c>
      <c r="F20" s="24">
        <f t="shared" ca="1" si="2"/>
        <v>665.47251149956833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3103.1830015025198</v>
      </c>
      <c r="C26" s="40">
        <f>IF(ISERROR(B26*3.6/1000000/'E Balans VL '!Z12*100),0,B26*3.6/1000000/'E Balans VL '!Z12*100)</f>
        <v>6.594041339306389E-2</v>
      </c>
      <c r="D26" s="236" t="s">
        <v>685</v>
      </c>
      <c r="F26" s="6"/>
    </row>
    <row r="27" spans="1:18">
      <c r="A27" s="231" t="s">
        <v>52</v>
      </c>
      <c r="B27" s="34">
        <f>IF(ISERROR(TER_horeca_ele_kWh/1000),0,TER_horeca_ele_kWh/1000)</f>
        <v>1574.55640354976</v>
      </c>
      <c r="C27" s="40">
        <f>IF(ISERROR(B27*3.6/1000000/'E Balans VL '!Z9*100),0,B27*3.6/1000000/'E Balans VL '!Z9*100)</f>
        <v>0.12392976495123165</v>
      </c>
      <c r="D27" s="236" t="s">
        <v>685</v>
      </c>
      <c r="F27" s="6"/>
    </row>
    <row r="28" spans="1:18">
      <c r="A28" s="171" t="s">
        <v>51</v>
      </c>
      <c r="B28" s="34">
        <f>IF(ISERROR(TER_handel_ele_kWh/1000),0,TER_handel_ele_kWh/1000)</f>
        <v>5556.1751935618504</v>
      </c>
      <c r="C28" s="40">
        <f>IF(ISERROR(B28*3.6/1000000/'E Balans VL '!Z13*100),0,B28*3.6/1000000/'E Balans VL '!Z13*100)</f>
        <v>0.15563144071923624</v>
      </c>
      <c r="D28" s="236" t="s">
        <v>685</v>
      </c>
      <c r="F28" s="6"/>
    </row>
    <row r="29" spans="1:18">
      <c r="A29" s="231" t="s">
        <v>50</v>
      </c>
      <c r="B29" s="34">
        <f>IF(ISERROR(TER_gezond_ele_kWh/1000),0,TER_gezond_ele_kWh/1000)</f>
        <v>132.873425536794</v>
      </c>
      <c r="C29" s="40">
        <f>IF(ISERROR(B29*3.6/1000000/'E Balans VL '!Z10*100),0,B29*3.6/1000000/'E Balans VL '!Z10*100)</f>
        <v>1.6998529056724478E-2</v>
      </c>
      <c r="D29" s="236" t="s">
        <v>685</v>
      </c>
      <c r="F29" s="6"/>
    </row>
    <row r="30" spans="1:18">
      <c r="A30" s="231" t="s">
        <v>49</v>
      </c>
      <c r="B30" s="34">
        <f>IF(ISERROR(TER_ander_ele_kWh/1000),0,TER_ander_ele_kWh/1000)</f>
        <v>752.85325975368994</v>
      </c>
      <c r="C30" s="40">
        <f>IF(ISERROR(B30*3.6/1000000/'E Balans VL '!Z14*100),0,B30*3.6/1000000/'E Balans VL '!Z14*100)</f>
        <v>5.6307080177192687E-2</v>
      </c>
      <c r="D30" s="236" t="s">
        <v>685</v>
      </c>
      <c r="F30" s="6"/>
    </row>
    <row r="31" spans="1:18">
      <c r="A31" s="231" t="s">
        <v>54</v>
      </c>
      <c r="B31" s="34">
        <f>IF(ISERROR(TER_onderwijs_ele_kWh/1000),0,TER_onderwijs_ele_kWh/1000)</f>
        <v>177.04297345389901</v>
      </c>
      <c r="C31" s="40">
        <f>IF(ISERROR(B31*3.6/1000000/'E Balans VL '!Z11*100),0,B31*3.6/1000000/'E Balans VL '!Z11*100)</f>
        <v>3.7382853174059413E-2</v>
      </c>
      <c r="D31" s="236" t="s">
        <v>685</v>
      </c>
    </row>
    <row r="32" spans="1:18">
      <c r="A32" s="231" t="s">
        <v>249</v>
      </c>
      <c r="B32" s="34">
        <f>IF(ISERROR(TER_rest_ele_kWh/1000),0,TER_rest_ele_kWh/1000)</f>
        <v>1503.98808793322</v>
      </c>
      <c r="C32" s="40">
        <f>IF(ISERROR(B32*3.6/1000000/'E Balans VL '!Z8*100),0,B32*3.6/1000000/'E Balans VL '!Z8*100)</f>
        <v>1.2389751695624366E-2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2</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7439.5504006084575</v>
      </c>
      <c r="C5" s="18">
        <f>IF(ISERROR('Eigen informatie GS &amp; warmtenet'!B59),0,'Eigen informatie GS &amp; warmtenet'!B59)</f>
        <v>0</v>
      </c>
      <c r="D5" s="31">
        <f>SUM(D6:D15)</f>
        <v>4758.0455370882792</v>
      </c>
      <c r="E5" s="18">
        <f>SUM(E6:E15)</f>
        <v>67.986176885626037</v>
      </c>
      <c r="F5" s="18">
        <f>SUM(F6:F15)</f>
        <v>2229.4004131355377</v>
      </c>
      <c r="G5" s="19"/>
      <c r="H5" s="18"/>
      <c r="I5" s="18"/>
      <c r="J5" s="18">
        <f>SUM(J6:J15)</f>
        <v>31.672752870027495</v>
      </c>
      <c r="K5" s="18"/>
      <c r="L5" s="18"/>
      <c r="M5" s="18"/>
      <c r="N5" s="18">
        <f>SUM(N6:N15)</f>
        <v>313.58119731018968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881.00917202972096</v>
      </c>
      <c r="C8" s="34"/>
      <c r="D8" s="38">
        <f>IF( ISERROR(IND_metaal_Gas_kWH/1000),0,IND_metaal_Gas_kWH/1000)*0.902</f>
        <v>0</v>
      </c>
      <c r="E8" s="34">
        <f>C30*'E Balans VL '!I18/100/3.6*1000000</f>
        <v>8.0231917609375003</v>
      </c>
      <c r="F8" s="34">
        <f>C30*'E Balans VL '!L18/100/3.6*1000000+C30*'E Balans VL '!N18/100/3.6*1000000</f>
        <v>116.19841929215487</v>
      </c>
      <c r="G8" s="35"/>
      <c r="H8" s="34"/>
      <c r="I8" s="34"/>
      <c r="J8" s="41">
        <f>C30*'E Balans VL '!D18/100/3.6*1000000+C30*'E Balans VL '!E18/100/3.6*1000000</f>
        <v>14.447271242031503</v>
      </c>
      <c r="K8" s="34"/>
      <c r="L8" s="34"/>
      <c r="M8" s="34"/>
      <c r="N8" s="34">
        <f>C30*'E Balans VL '!Y18/100/3.6*1000000</f>
        <v>3.0276785442703282</v>
      </c>
      <c r="O8" s="34"/>
      <c r="P8" s="34"/>
      <c r="R8" s="33"/>
    </row>
    <row r="9" spans="1:18">
      <c r="A9" s="6" t="s">
        <v>32</v>
      </c>
      <c r="B9" s="38">
        <f t="shared" si="0"/>
        <v>1581.28022415394</v>
      </c>
      <c r="C9" s="34"/>
      <c r="D9" s="38">
        <f>IF( ISERROR(IND_andere_gas_kWh/1000),0,IND_andere_gas_kWh/1000)*0.902</f>
        <v>1799.7132507271319</v>
      </c>
      <c r="E9" s="34">
        <f>C31*'E Balans VL '!I19/100/3.6*1000000</f>
        <v>9.1400359983939659</v>
      </c>
      <c r="F9" s="34">
        <f>C31*'E Balans VL '!L19/100/3.6*1000000+C31*'E Balans VL '!N19/100/3.6*1000000</f>
        <v>1257.9845065079248</v>
      </c>
      <c r="G9" s="35"/>
      <c r="H9" s="34"/>
      <c r="I9" s="34"/>
      <c r="J9" s="41">
        <f>C31*'E Balans VL '!D19/100/3.6*1000000+C31*'E Balans VL '!E19/100/3.6*1000000</f>
        <v>0.1495715448417223</v>
      </c>
      <c r="K9" s="34"/>
      <c r="L9" s="34"/>
      <c r="M9" s="34"/>
      <c r="N9" s="34">
        <f>C31*'E Balans VL '!Y19/100/3.6*1000000</f>
        <v>119.80590697914218</v>
      </c>
      <c r="O9" s="34"/>
      <c r="P9" s="34"/>
      <c r="R9" s="33"/>
    </row>
    <row r="10" spans="1:18">
      <c r="A10" s="6" t="s">
        <v>40</v>
      </c>
      <c r="B10" s="38">
        <f t="shared" si="0"/>
        <v>1408.80167509168</v>
      </c>
      <c r="C10" s="34"/>
      <c r="D10" s="38">
        <f>IF( ISERROR(IND_voed_gas_kWh/1000),0,IND_voed_gas_kWh/1000)*0.902</f>
        <v>958.63111848583753</v>
      </c>
      <c r="E10" s="34">
        <f>C32*'E Balans VL '!I20/100/3.6*1000000</f>
        <v>13.852206104505669</v>
      </c>
      <c r="F10" s="34">
        <f>C32*'E Balans VL '!L20/100/3.6*1000000+C32*'E Balans VL '!N20/100/3.6*1000000</f>
        <v>156.46581460621431</v>
      </c>
      <c r="G10" s="35"/>
      <c r="H10" s="34"/>
      <c r="I10" s="34"/>
      <c r="J10" s="41">
        <f>C32*'E Balans VL '!D20/100/3.6*1000000+C32*'E Balans VL '!E20/100/3.6*1000000</f>
        <v>5.5527269590131562E-3</v>
      </c>
      <c r="K10" s="34"/>
      <c r="L10" s="34"/>
      <c r="M10" s="34"/>
      <c r="N10" s="34">
        <f>C32*'E Balans VL '!Y20/100/3.6*1000000</f>
        <v>20.86103895726248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22.479094648302599</v>
      </c>
      <c r="C12" s="34"/>
      <c r="D12" s="38">
        <f>IF( ISERROR(IND_min_gas_kWh/1000),0,IND_min_gas_kWh/1000)*0.902</f>
        <v>0</v>
      </c>
      <c r="E12" s="34">
        <f>C34*'E Balans VL '!I22/100/3.6*1000000</f>
        <v>0.56988505077275275</v>
      </c>
      <c r="F12" s="34">
        <f>C34*'E Balans VL '!L22/100/3.6*1000000+C34*'E Balans VL '!N22/100/3.6*1000000</f>
        <v>6.2200438420990647</v>
      </c>
      <c r="G12" s="35"/>
      <c r="H12" s="34"/>
      <c r="I12" s="34"/>
      <c r="J12" s="41">
        <f>C34*'E Balans VL '!D22/100/3.6*1000000+C34*'E Balans VL '!E22/100/3.6*1000000</f>
        <v>0.14845645825231682</v>
      </c>
      <c r="K12" s="34"/>
      <c r="L12" s="34"/>
      <c r="M12" s="34"/>
      <c r="N12" s="34">
        <f>C34*'E Balans VL '!Y22/100/3.6*1000000</f>
        <v>0</v>
      </c>
      <c r="O12" s="34"/>
      <c r="P12" s="34"/>
      <c r="R12" s="33"/>
    </row>
    <row r="13" spans="1:18">
      <c r="A13" s="6" t="s">
        <v>38</v>
      </c>
      <c r="B13" s="38">
        <f t="shared" si="0"/>
        <v>180.96263764177399</v>
      </c>
      <c r="C13" s="34"/>
      <c r="D13" s="38">
        <f>IF( ISERROR(IND_papier_gas_kWh/1000),0,IND_papier_gas_kWh/1000)*0.902</f>
        <v>0</v>
      </c>
      <c r="E13" s="34">
        <f>C35*'E Balans VL '!I23/100/3.6*1000000</f>
        <v>6.1638498169399529</v>
      </c>
      <c r="F13" s="34">
        <f>C35*'E Balans VL '!L23/100/3.6*1000000+C35*'E Balans VL '!N23/100/3.6*1000000</f>
        <v>29.890780636736888</v>
      </c>
      <c r="G13" s="35"/>
      <c r="H13" s="34"/>
      <c r="I13" s="34"/>
      <c r="J13" s="41">
        <f>C35*'E Balans VL '!D23/100/3.6*1000000+C35*'E Balans VL '!E23/100/3.6*1000000</f>
        <v>0</v>
      </c>
      <c r="K13" s="34"/>
      <c r="L13" s="34"/>
      <c r="M13" s="34"/>
      <c r="N13" s="34">
        <f>C35*'E Balans VL '!Y23/100/3.6*1000000</f>
        <v>66.58939761043932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3365.01759704304</v>
      </c>
      <c r="C15" s="34"/>
      <c r="D15" s="38">
        <f>IF( ISERROR(IND_rest_gas_kWh/1000),0,IND_rest_gas_kWh/1000)*0.902</f>
        <v>1999.7011678753095</v>
      </c>
      <c r="E15" s="34">
        <f>C37*'E Balans VL '!I15/100/3.6*1000000</f>
        <v>30.237008154076197</v>
      </c>
      <c r="F15" s="34">
        <f>C37*'E Balans VL '!L15/100/3.6*1000000+C37*'E Balans VL '!N15/100/3.6*1000000</f>
        <v>662.64084825040766</v>
      </c>
      <c r="G15" s="35"/>
      <c r="H15" s="34"/>
      <c r="I15" s="34"/>
      <c r="J15" s="41">
        <f>C37*'E Balans VL '!D15/100/3.6*1000000+C37*'E Balans VL '!E15/100/3.6*1000000</f>
        <v>16.921900897942937</v>
      </c>
      <c r="K15" s="34"/>
      <c r="L15" s="34"/>
      <c r="M15" s="34"/>
      <c r="N15" s="34">
        <f>C37*'E Balans VL '!Y15/100/3.6*1000000</f>
        <v>103.29717521907536</v>
      </c>
      <c r="O15" s="34"/>
      <c r="P15" s="34"/>
      <c r="R15" s="33"/>
    </row>
    <row r="16" spans="1:18">
      <c r="A16" s="17" t="s">
        <v>489</v>
      </c>
      <c r="B16" s="246">
        <f>'lokale energieproductie'!N44+'lokale energieproductie'!N37</f>
        <v>0</v>
      </c>
      <c r="C16" s="246">
        <f>'lokale energieproductie'!O44+'lokale energieproductie'!O37</f>
        <v>0</v>
      </c>
      <c r="D16" s="305">
        <f>('lokale energieproductie'!P37+'lokale energieproductie'!P44)*(-1)</f>
        <v>0</v>
      </c>
      <c r="E16" s="247"/>
      <c r="F16" s="305">
        <f>('lokale energieproductie'!S37+'lokale energieproductie'!S44)*(-1)</f>
        <v>0</v>
      </c>
      <c r="G16" s="248"/>
      <c r="H16" s="247"/>
      <c r="I16" s="247"/>
      <c r="J16" s="247"/>
      <c r="K16" s="247"/>
      <c r="L16" s="305">
        <f>('lokale energieproductie'!T37+'lokale energieproductie'!U37+'lokale energieproductie'!T44+'lokale energieproductie'!U44)*(-1)</f>
        <v>0</v>
      </c>
      <c r="M16" s="247"/>
      <c r="N16" s="305">
        <f>('lokale energieproductie'!Q37+'lokale energieproductie'!R37+'lokale energieproductie'!V37+'lokale energieproductie'!Q44+'lokale energieproductie'!R44+'lokale energieproductie'!V44)*(-1)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7439.5504006084575</v>
      </c>
      <c r="C18" s="22">
        <f>C5+C16</f>
        <v>0</v>
      </c>
      <c r="D18" s="22">
        <f>MAX((D5+D16),0)</f>
        <v>4758.0455370882792</v>
      </c>
      <c r="E18" s="22">
        <f>MAX((E5+E16),0)</f>
        <v>67.986176885626037</v>
      </c>
      <c r="F18" s="22">
        <f>MAX((F5+F16),0)</f>
        <v>2229.4004131355377</v>
      </c>
      <c r="G18" s="22"/>
      <c r="H18" s="22"/>
      <c r="I18" s="22"/>
      <c r="J18" s="22">
        <f>MAX((J5+J16),0)</f>
        <v>31.672752870027495</v>
      </c>
      <c r="K18" s="22"/>
      <c r="L18" s="22">
        <f>MAX((L5+L16),0)</f>
        <v>0</v>
      </c>
      <c r="M18" s="22"/>
      <c r="N18" s="22">
        <f>MAX((N5+N16),0)</f>
        <v>313.58119731018968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0.21223344682518572</v>
      </c>
      <c r="C20" s="26">
        <f ca="1">'EF ele_warmte'!B22</f>
        <v>0.22364319317744924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1578.9214243508241</v>
      </c>
      <c r="C22" s="24">
        <f ca="1">C18*C20</f>
        <v>0</v>
      </c>
      <c r="D22" s="24">
        <f>D18*D20</f>
        <v>961.12519849183241</v>
      </c>
      <c r="E22" s="24">
        <f>E18*E20</f>
        <v>15.43286215303711</v>
      </c>
      <c r="F22" s="24">
        <f>F18*F20</f>
        <v>595.24991030718866</v>
      </c>
      <c r="G22" s="24"/>
      <c r="H22" s="24"/>
      <c r="I22" s="24"/>
      <c r="J22" s="24">
        <f>J18*J20</f>
        <v>11.212154515989733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881.00917202972096</v>
      </c>
      <c r="C30" s="40">
        <f>IF(ISERROR(B30*3.6/1000000/'E Balans VL '!Z18*100),0,B30*3.6/1000000/'E Balans VL '!Z18*100)</f>
        <v>4.9022269165666064E-2</v>
      </c>
      <c r="D30" s="236" t="s">
        <v>685</v>
      </c>
    </row>
    <row r="31" spans="1:18">
      <c r="A31" s="6" t="s">
        <v>32</v>
      </c>
      <c r="B31" s="38">
        <f>IF( ISERROR(IND_ander_ele_kWh/1000),0,IND_ander_ele_kWh/1000)</f>
        <v>1581.28022415394</v>
      </c>
      <c r="C31" s="40">
        <f>IF(ISERROR(B31*3.6/1000000/'E Balans VL '!Z19*100),0,B31*3.6/1000000/'E Balans VL '!Z19*100)</f>
        <v>7.3509564700368638E-2</v>
      </c>
      <c r="D31" s="236" t="s">
        <v>685</v>
      </c>
    </row>
    <row r="32" spans="1:18">
      <c r="A32" s="171" t="s">
        <v>40</v>
      </c>
      <c r="B32" s="38">
        <f>IF( ISERROR(IND_voed_ele_kWh/1000),0,IND_voed_ele_kWh/1000)</f>
        <v>1408.80167509168</v>
      </c>
      <c r="C32" s="40">
        <f>IF(ISERROR(B32*3.6/1000000/'E Balans VL '!Z20*100),0,B32*3.6/1000000/'E Balans VL '!Z20*100)</f>
        <v>4.979829401901277E-2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22.479094648302599</v>
      </c>
      <c r="C34" s="40">
        <f>IF(ISERROR(B34*3.6/1000000/'E Balans VL '!Z22*100),0,B34*3.6/1000000/'E Balans VL '!Z22*100)</f>
        <v>4.517664135255112E-3</v>
      </c>
      <c r="D34" s="236" t="s">
        <v>685</v>
      </c>
    </row>
    <row r="35" spans="1:5">
      <c r="A35" s="171" t="s">
        <v>38</v>
      </c>
      <c r="B35" s="38">
        <f>IF( ISERROR(IND_papier_ele_kWh/1000),0,IND_papier_ele_kWh/1000)</f>
        <v>180.96263764177399</v>
      </c>
      <c r="C35" s="40">
        <f>IF(ISERROR(B35*3.6/1000000/'E Balans VL '!Z22*100),0,B35*3.6/1000000/'E Balans VL '!Z22*100)</f>
        <v>3.6368387192014462E-2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3365.01759704304</v>
      </c>
      <c r="C37" s="40">
        <f>IF(ISERROR(B37*3.6/1000000/'E Balans VL '!Z15*100),0,B37*3.6/1000000/'E Balans VL '!Z15*100)</f>
        <v>2.5410853740337649E-2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2332.450017362376</v>
      </c>
      <c r="C5" s="18">
        <f>'Eigen informatie GS &amp; warmtenet'!B60</f>
        <v>0</v>
      </c>
      <c r="D5" s="31">
        <f>IF(ISERROR(SUM(LB_lb_gas_kWh,LB_rest_gas_kWh)/1000),0,SUM(LB_lb_gas_kWh,LB_rest_gas_kWh)/1000)*0.902</f>
        <v>48281.472711026698</v>
      </c>
      <c r="E5" s="18">
        <f>B17*'E Balans VL '!I25/3.6*1000000/100</f>
        <v>21.973241956329662</v>
      </c>
      <c r="F5" s="18">
        <f>B17*('E Balans VL '!L25/3.6*1000000+'E Balans VL '!N25/3.6*1000000)/100</f>
        <v>7611.5584788326514</v>
      </c>
      <c r="G5" s="19"/>
      <c r="H5" s="18"/>
      <c r="I5" s="18"/>
      <c r="J5" s="18">
        <f>('E Balans VL '!D25+'E Balans VL '!E25)/3.6*1000000*landbouw!B17/100</f>
        <v>288.53541218243112</v>
      </c>
      <c r="K5" s="18"/>
      <c r="L5" s="18">
        <f>L6*(-1)</f>
        <v>8926.875</v>
      </c>
      <c r="M5" s="18"/>
      <c r="N5" s="18">
        <f>N6*(-1)</f>
        <v>0</v>
      </c>
      <c r="O5" s="18"/>
      <c r="P5" s="18"/>
      <c r="R5" s="33"/>
    </row>
    <row r="6" spans="1:18">
      <c r="A6" s="17" t="s">
        <v>489</v>
      </c>
      <c r="B6" s="18" t="s">
        <v>204</v>
      </c>
      <c r="C6" s="18">
        <f>'lokale energieproductie'!O46+'lokale energieproductie'!O39</f>
        <v>67025.410714285725</v>
      </c>
      <c r="D6" s="305">
        <f>('lokale energieproductie'!P39+'lokale energieproductie'!P46)*(-1)</f>
        <v>-123338.57142857145</v>
      </c>
      <c r="E6" s="247"/>
      <c r="F6" s="305">
        <f>('lokale energieproductie'!S39+'lokale energieproductie'!S46)*(-1)</f>
        <v>-2975.625</v>
      </c>
      <c r="G6" s="248"/>
      <c r="H6" s="247"/>
      <c r="I6" s="247"/>
      <c r="J6" s="247"/>
      <c r="K6" s="247"/>
      <c r="L6" s="305">
        <f>('lokale energieproductie'!T39+'lokale energieproductie'!U39+'lokale energieproductie'!T46+'lokale energieproductie'!U46)*(-1)</f>
        <v>-8926.875</v>
      </c>
      <c r="M6" s="247"/>
      <c r="N6" s="305">
        <f>('lokale energieproductie'!V39+'lokale energieproductie'!R39+'lokale energieproductie'!Q39+'lokale energieproductie'!Q46+'lokale energieproductie'!R46+'lokale energieproductie'!V46)*(-1)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2332.450017362376</v>
      </c>
      <c r="C8" s="22">
        <f>C5+C6</f>
        <v>67025.410714285725</v>
      </c>
      <c r="D8" s="22">
        <f>MAX((D5+D6),0)</f>
        <v>0</v>
      </c>
      <c r="E8" s="22">
        <f>MAX((E5+E6),0)</f>
        <v>21.973241956329662</v>
      </c>
      <c r="F8" s="22">
        <f>MAX((F5+F6),0)</f>
        <v>4635.9334788326514</v>
      </c>
      <c r="G8" s="22"/>
      <c r="H8" s="22"/>
      <c r="I8" s="22"/>
      <c r="J8" s="22">
        <f>MAX((J5+J6),0)</f>
        <v>288.53541218243112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0.21223344682518572</v>
      </c>
      <c r="C10" s="32">
        <f ca="1">'EF ele_warmte'!B22</f>
        <v>0.22364319317744924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495.02390673228132</v>
      </c>
      <c r="C12" s="24">
        <f ca="1">C8*C10</f>
        <v>14989.776876172878</v>
      </c>
      <c r="D12" s="24">
        <f>D8*D10</f>
        <v>0</v>
      </c>
      <c r="E12" s="24">
        <f>E8*E10</f>
        <v>4.9879259240868334</v>
      </c>
      <c r="F12" s="24">
        <f>F8*F10</f>
        <v>1237.7942388483179</v>
      </c>
      <c r="G12" s="24"/>
      <c r="H12" s="24"/>
      <c r="I12" s="24"/>
      <c r="J12" s="24">
        <f>J8*J10</f>
        <v>102.14153591258061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0.31577646099104068</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102.00584542207942</v>
      </c>
      <c r="C26" s="246">
        <f>B26*'GWP N2O_CH4'!B5</f>
        <v>2142.1227538636676</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16.586389018595337</v>
      </c>
      <c r="C27" s="246">
        <f>B27*'GWP N2O_CH4'!B5</f>
        <v>348.31416939050206</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1.6392220321717961</v>
      </c>
      <c r="C28" s="246">
        <f>B28*'GWP N2O_CH4'!B4</f>
        <v>508.15882997325679</v>
      </c>
      <c r="D28" s="51"/>
    </row>
    <row r="29" spans="1:4">
      <c r="A29" s="42" t="s">
        <v>266</v>
      </c>
      <c r="B29" s="246">
        <f>B34*'ha_N2O bodem landbouw'!B4</f>
        <v>8.063463416753363</v>
      </c>
      <c r="C29" s="246">
        <f>B29*'GWP N2O_CH4'!B4</f>
        <v>2499.6736591935423</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2.1768812825434074E-3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1.7526857671100459E-5</v>
      </c>
      <c r="C5" s="433" t="s">
        <v>204</v>
      </c>
      <c r="D5" s="418">
        <f>SUM(D6:D11)</f>
        <v>2.2273909615937502E-5</v>
      </c>
      <c r="E5" s="418">
        <f>SUM(E6:E11)</f>
        <v>1.4250644654915739E-3</v>
      </c>
      <c r="F5" s="431" t="s">
        <v>204</v>
      </c>
      <c r="G5" s="418">
        <f>SUM(G6:G11)</f>
        <v>0.27836657856136526</v>
      </c>
      <c r="H5" s="418">
        <f>SUM(H6:H11)</f>
        <v>5.3667475345515997E-2</v>
      </c>
      <c r="I5" s="433" t="s">
        <v>204</v>
      </c>
      <c r="J5" s="433" t="s">
        <v>204</v>
      </c>
      <c r="K5" s="433" t="s">
        <v>204</v>
      </c>
      <c r="L5" s="433" t="s">
        <v>204</v>
      </c>
      <c r="M5" s="418">
        <f>SUM(M6:M11)</f>
        <v>1.4844371880188468E-2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1.4083997241936374E-5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1.640337064543148E-5</v>
      </c>
      <c r="E6" s="421">
        <f>vkm_GW_PW*SUMIFS(TableVerdeelsleutelVkm[LPG],TableVerdeelsleutelVkm[Voertuigtype],"Lichte voertuigen")*SUMIFS(TableECFTransport[EnergieConsumptieFactor (PJ per km)],TableECFTransport[Index],CONCATENATE($A6,"_LPG_LPG"))</f>
        <v>1.0642085356301503E-3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0.16603653970914406</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4.0014779800177293E-2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9.220809967064255E-3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3.4948759344388793E-7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5.7812960744601703E-2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1.5513277495891121E-6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2.572488156620218E-3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3.0862291995874973E-6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5.8705389705060222E-6</v>
      </c>
      <c r="E8" s="421">
        <f>vkm_NGW_PW*SUMIFS(TableVerdeelsleutelVkm[LPG],TableVerdeelsleutelVkm[Voertuigtype],"Lichte voertuigen")*SUMIFS(TableECFTransport[EnergieConsumptieFactor (PJ per km)],TableECFTransport[Index],CONCATENATE($A8,"_LPG_LPG"))</f>
        <v>3.6085592986142347E-4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5.3001711203007708E-2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1.3651105943261558E-2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2.9836449820566809E-3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7.143636132699218E-9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1.5153669046117937E-3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3.8274327562140427E-8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6.7428774447312302E-5</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4.8685715753056833</v>
      </c>
      <c r="C14" s="22"/>
      <c r="D14" s="22">
        <f t="shared" ref="D14:M14" si="0">((D5)*10^9/3600)+D12</f>
        <v>6.1871971155381944</v>
      </c>
      <c r="E14" s="22">
        <f t="shared" si="0"/>
        <v>395.85124041432607</v>
      </c>
      <c r="F14" s="22"/>
      <c r="G14" s="22">
        <f t="shared" si="0"/>
        <v>77324.049600379236</v>
      </c>
      <c r="H14" s="22">
        <f t="shared" si="0"/>
        <v>14907.632040421109</v>
      </c>
      <c r="I14" s="22"/>
      <c r="J14" s="22"/>
      <c r="K14" s="22"/>
      <c r="L14" s="22"/>
      <c r="M14" s="22">
        <f t="shared" si="0"/>
        <v>4123.4366333856851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0.21223344682518572</v>
      </c>
      <c r="C16" s="57">
        <f ca="1">'EF ele_warmte'!B22</f>
        <v>0.22364319317744924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1.0332737265422494</v>
      </c>
      <c r="C18" s="24"/>
      <c r="D18" s="24">
        <f t="shared" ref="D18:M18" si="1">D14*D16</f>
        <v>1.2498138173387154</v>
      </c>
      <c r="E18" s="24">
        <f t="shared" si="1"/>
        <v>89.858231574052027</v>
      </c>
      <c r="F18" s="24"/>
      <c r="G18" s="24">
        <f t="shared" si="1"/>
        <v>20645.521243301257</v>
      </c>
      <c r="H18" s="24">
        <f t="shared" si="1"/>
        <v>3712.0003780648562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2.9529627745309477E-5</v>
      </c>
      <c r="C50" s="316">
        <f t="shared" ref="C50:P50" si="2">SUM(C51:C52)</f>
        <v>0</v>
      </c>
      <c r="D50" s="316">
        <f t="shared" si="2"/>
        <v>0</v>
      </c>
      <c r="E50" s="316">
        <f t="shared" si="2"/>
        <v>0</v>
      </c>
      <c r="F50" s="316">
        <f t="shared" si="2"/>
        <v>0</v>
      </c>
      <c r="G50" s="316">
        <f t="shared" si="2"/>
        <v>5.8897424733927754E-3</v>
      </c>
      <c r="H50" s="316">
        <f t="shared" si="2"/>
        <v>0</v>
      </c>
      <c r="I50" s="316">
        <f t="shared" si="2"/>
        <v>0</v>
      </c>
      <c r="J50" s="316">
        <f t="shared" si="2"/>
        <v>0</v>
      </c>
      <c r="K50" s="316">
        <f t="shared" si="2"/>
        <v>0</v>
      </c>
      <c r="L50" s="316">
        <f t="shared" si="2"/>
        <v>0</v>
      </c>
      <c r="M50" s="316">
        <f t="shared" si="2"/>
        <v>2.6032034439610449E-4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2.9529627745309477E-5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5.8897424733927754E-3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2.6032034439610449E-4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8.2026743736970769</v>
      </c>
      <c r="C54" s="22">
        <f t="shared" ref="C54:P54" si="3">(C50)*10^9/3600</f>
        <v>0</v>
      </c>
      <c r="D54" s="22">
        <f t="shared" si="3"/>
        <v>0</v>
      </c>
      <c r="E54" s="22">
        <f t="shared" si="3"/>
        <v>0</v>
      </c>
      <c r="F54" s="22">
        <f t="shared" si="3"/>
        <v>0</v>
      </c>
      <c r="G54" s="22">
        <f t="shared" si="3"/>
        <v>1636.0395759424375</v>
      </c>
      <c r="H54" s="22">
        <f t="shared" si="3"/>
        <v>0</v>
      </c>
      <c r="I54" s="22">
        <f t="shared" si="3"/>
        <v>0</v>
      </c>
      <c r="J54" s="22">
        <f t="shared" si="3"/>
        <v>0</v>
      </c>
      <c r="K54" s="22">
        <f t="shared" si="3"/>
        <v>0</v>
      </c>
      <c r="L54" s="22">
        <f t="shared" si="3"/>
        <v>0</v>
      </c>
      <c r="M54" s="22">
        <f t="shared" si="3"/>
        <v>72.311206776695684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0.21223344682518572</v>
      </c>
      <c r="C56" s="57">
        <f ca="1">'EF ele_warmte'!B22</f>
        <v>0.22364319317744924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1.7408818555143522</v>
      </c>
      <c r="C58" s="24">
        <f t="shared" ref="C58:P58" ca="1" si="4">C54*C56</f>
        <v>0</v>
      </c>
      <c r="D58" s="24">
        <f t="shared" si="4"/>
        <v>0</v>
      </c>
      <c r="E58" s="24">
        <f t="shared" si="4"/>
        <v>0</v>
      </c>
      <c r="F58" s="24">
        <f t="shared" si="4"/>
        <v>0</v>
      </c>
      <c r="G58" s="24">
        <f t="shared" si="4"/>
        <v>436.82256677663082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8"/>
  <sheetViews>
    <sheetView showGridLines="0" zoomScale="65" zoomScaleNormal="65" workbookViewId="0">
      <selection activeCell="A28" sqref="A28:XFD36"/>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2859.3478064525575</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N36</f>
        <v>47929.5</v>
      </c>
      <c r="C8" s="544">
        <f>B55</f>
        <v>51424.998049701164</v>
      </c>
      <c r="D8" s="967"/>
      <c r="E8" s="967">
        <f>E55</f>
        <v>1240.6622522805912</v>
      </c>
      <c r="F8" s="968"/>
      <c r="G8" s="545"/>
      <c r="H8" s="967">
        <f>I55</f>
        <v>0</v>
      </c>
      <c r="I8" s="967">
        <f>G55+F55</f>
        <v>3721.986756841774</v>
      </c>
      <c r="J8" s="967">
        <f>H55+D55+C55</f>
        <v>0</v>
      </c>
      <c r="K8" s="967"/>
      <c r="L8" s="967"/>
      <c r="M8" s="967"/>
      <c r="N8" s="546"/>
      <c r="O8" s="547">
        <f>C8*$C$12+D8*$D$12+E8*$E$12+F8*$F$12+G8*$G$12+H8*$H$12+I8*$I$12+J8*$J$12</f>
        <v>10719.106427398554</v>
      </c>
      <c r="P8" s="1241"/>
      <c r="Q8" s="1242"/>
      <c r="S8" s="1004"/>
      <c r="T8" s="1262"/>
      <c r="U8" s="1262"/>
    </row>
    <row r="9" spans="1:21" s="532" customFormat="1" ht="17.45" customHeight="1" thickBot="1">
      <c r="A9" s="548" t="s">
        <v>237</v>
      </c>
      <c r="B9" s="969">
        <f>N43+'Eigen informatie GS &amp; warmtenet'!B12</f>
        <v>0</v>
      </c>
      <c r="C9" s="549">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50788.847806452555</v>
      </c>
      <c r="C10" s="556">
        <f t="shared" ref="C10:L10" si="0">SUM(C8:C9)</f>
        <v>51424.998049701164</v>
      </c>
      <c r="D10" s="556">
        <f t="shared" si="0"/>
        <v>0</v>
      </c>
      <c r="E10" s="556">
        <f t="shared" si="0"/>
        <v>1240.6622522805912</v>
      </c>
      <c r="F10" s="556">
        <f t="shared" si="0"/>
        <v>0</v>
      </c>
      <c r="G10" s="556">
        <f t="shared" si="0"/>
        <v>0</v>
      </c>
      <c r="H10" s="556">
        <f t="shared" si="0"/>
        <v>0</v>
      </c>
      <c r="I10" s="556">
        <f t="shared" si="0"/>
        <v>3721.986756841774</v>
      </c>
      <c r="J10" s="556">
        <f t="shared" si="0"/>
        <v>0</v>
      </c>
      <c r="K10" s="556">
        <f t="shared" si="0"/>
        <v>0</v>
      </c>
      <c r="L10" s="556">
        <f t="shared" si="0"/>
        <v>0</v>
      </c>
      <c r="M10" s="971"/>
      <c r="N10" s="971"/>
      <c r="O10" s="557">
        <f>SUM(O4:O9)</f>
        <v>10719.106427398554</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O36</f>
        <v>67025.410714285725</v>
      </c>
      <c r="C17" s="568">
        <f>B56</f>
        <v>71913.573378870278</v>
      </c>
      <c r="D17" s="569"/>
      <c r="E17" s="569">
        <f>E56</f>
        <v>1734.9627477194085</v>
      </c>
      <c r="F17" s="570"/>
      <c r="G17" s="571"/>
      <c r="H17" s="568">
        <f>I56</f>
        <v>0</v>
      </c>
      <c r="I17" s="569">
        <f>G56+F56</f>
        <v>5204.888243158226</v>
      </c>
      <c r="J17" s="569">
        <f>H56+D56+C56</f>
        <v>0</v>
      </c>
      <c r="K17" s="569"/>
      <c r="L17" s="569"/>
      <c r="M17" s="569"/>
      <c r="N17" s="974"/>
      <c r="O17" s="572">
        <f>C17*$C$22+E17*$E$22+H17*$H$22+I17*$I$22+J17*$J$22+D17*$D$22+F17*$F$22+G17*$G$22+K17*$K$22+L17*$L$22</f>
        <v>14989.776876172878</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67025.410714285725</v>
      </c>
      <c r="C20" s="555">
        <f>SUM(C17:C19)</f>
        <v>71913.573378870278</v>
      </c>
      <c r="D20" s="555">
        <f t="shared" ref="D20:L20" si="1">SUM(D17:D19)</f>
        <v>0</v>
      </c>
      <c r="E20" s="555">
        <f t="shared" si="1"/>
        <v>1734.9627477194085</v>
      </c>
      <c r="F20" s="555">
        <f t="shared" si="1"/>
        <v>0</v>
      </c>
      <c r="G20" s="555">
        <f t="shared" si="1"/>
        <v>0</v>
      </c>
      <c r="H20" s="555">
        <f t="shared" si="1"/>
        <v>0</v>
      </c>
      <c r="I20" s="555">
        <f t="shared" si="1"/>
        <v>5204.888243158226</v>
      </c>
      <c r="J20" s="555">
        <f t="shared" si="1"/>
        <v>0</v>
      </c>
      <c r="K20" s="555">
        <f t="shared" si="1"/>
        <v>0</v>
      </c>
      <c r="L20" s="555">
        <f t="shared" si="1"/>
        <v>0</v>
      </c>
      <c r="M20" s="555"/>
      <c r="N20" s="555"/>
      <c r="O20" s="576">
        <f>SUM(O17:O19)</f>
        <v>14989.776876172878</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12029</v>
      </c>
      <c r="C28" s="775">
        <v>2580</v>
      </c>
      <c r="D28" s="628"/>
      <c r="E28" s="627"/>
      <c r="F28" s="627"/>
      <c r="G28" s="627" t="s">
        <v>959</v>
      </c>
      <c r="H28" s="627" t="s">
        <v>960</v>
      </c>
      <c r="I28" s="627"/>
      <c r="J28" s="774"/>
      <c r="K28" s="774"/>
      <c r="L28" s="627" t="s">
        <v>961</v>
      </c>
      <c r="M28" s="627">
        <v>1147</v>
      </c>
      <c r="N28" s="627">
        <v>5161.5</v>
      </c>
      <c r="O28" s="627">
        <v>7373.5714285714284</v>
      </c>
      <c r="P28" s="627">
        <v>14747.142857142859</v>
      </c>
      <c r="Q28" s="627">
        <v>0</v>
      </c>
      <c r="R28" s="627">
        <v>0</v>
      </c>
      <c r="S28" s="627">
        <v>0</v>
      </c>
      <c r="T28" s="627">
        <v>0</v>
      </c>
      <c r="U28" s="627">
        <v>0</v>
      </c>
      <c r="V28" s="627">
        <v>0</v>
      </c>
      <c r="W28" s="627"/>
      <c r="X28" s="627">
        <v>10</v>
      </c>
      <c r="Y28" s="627" t="s">
        <v>105</v>
      </c>
      <c r="Z28" s="629" t="s">
        <v>105</v>
      </c>
    </row>
    <row r="29" spans="1:26" s="581" customFormat="1" ht="25.5" hidden="1">
      <c r="A29" s="580"/>
      <c r="B29" s="775">
        <v>12029</v>
      </c>
      <c r="C29" s="775">
        <v>2580</v>
      </c>
      <c r="D29" s="628"/>
      <c r="E29" s="627"/>
      <c r="F29" s="627"/>
      <c r="G29" s="627" t="s">
        <v>959</v>
      </c>
      <c r="H29" s="627" t="s">
        <v>960</v>
      </c>
      <c r="I29" s="627"/>
      <c r="J29" s="774"/>
      <c r="K29" s="774"/>
      <c r="L29" s="627" t="s">
        <v>961</v>
      </c>
      <c r="M29" s="627">
        <v>1464</v>
      </c>
      <c r="N29" s="627">
        <v>6588</v>
      </c>
      <c r="O29" s="627">
        <v>9411.4285714285725</v>
      </c>
      <c r="P29" s="627">
        <v>18822.857142857145</v>
      </c>
      <c r="Q29" s="627">
        <v>0</v>
      </c>
      <c r="R29" s="627">
        <v>0</v>
      </c>
      <c r="S29" s="627">
        <v>0</v>
      </c>
      <c r="T29" s="627">
        <v>0</v>
      </c>
      <c r="U29" s="627">
        <v>0</v>
      </c>
      <c r="V29" s="627">
        <v>0</v>
      </c>
      <c r="W29" s="627"/>
      <c r="X29" s="627">
        <v>10</v>
      </c>
      <c r="Y29" s="627" t="s">
        <v>105</v>
      </c>
      <c r="Z29" s="629" t="s">
        <v>105</v>
      </c>
    </row>
    <row r="30" spans="1:26" s="581" customFormat="1" ht="25.5" hidden="1">
      <c r="A30" s="580"/>
      <c r="B30" s="775">
        <v>12029</v>
      </c>
      <c r="C30" s="775">
        <v>2580</v>
      </c>
      <c r="D30" s="628"/>
      <c r="E30" s="627"/>
      <c r="F30" s="627"/>
      <c r="G30" s="627" t="s">
        <v>959</v>
      </c>
      <c r="H30" s="627" t="s">
        <v>960</v>
      </c>
      <c r="I30" s="627"/>
      <c r="J30" s="774"/>
      <c r="K30" s="774"/>
      <c r="L30" s="627" t="s">
        <v>961</v>
      </c>
      <c r="M30" s="627">
        <v>485</v>
      </c>
      <c r="N30" s="627">
        <v>2182.5</v>
      </c>
      <c r="O30" s="627">
        <v>3117.8571428571431</v>
      </c>
      <c r="P30" s="627">
        <v>6235.7142857142862</v>
      </c>
      <c r="Q30" s="627">
        <v>0</v>
      </c>
      <c r="R30" s="627">
        <v>0</v>
      </c>
      <c r="S30" s="627">
        <v>0</v>
      </c>
      <c r="T30" s="627">
        <v>0</v>
      </c>
      <c r="U30" s="627">
        <v>0</v>
      </c>
      <c r="V30" s="627">
        <v>0</v>
      </c>
      <c r="W30" s="627"/>
      <c r="X30" s="627">
        <v>10</v>
      </c>
      <c r="Y30" s="627" t="s">
        <v>105</v>
      </c>
      <c r="Z30" s="629" t="s">
        <v>105</v>
      </c>
    </row>
    <row r="31" spans="1:26" s="581" customFormat="1" ht="38.25" hidden="1">
      <c r="A31" s="580"/>
      <c r="B31" s="775">
        <v>12029</v>
      </c>
      <c r="C31" s="775">
        <v>2580</v>
      </c>
      <c r="D31" s="628"/>
      <c r="E31" s="627"/>
      <c r="F31" s="627"/>
      <c r="G31" s="627" t="s">
        <v>959</v>
      </c>
      <c r="H31" s="627" t="s">
        <v>962</v>
      </c>
      <c r="I31" s="627"/>
      <c r="J31" s="774"/>
      <c r="K31" s="774"/>
      <c r="L31" s="627" t="s">
        <v>961</v>
      </c>
      <c r="M31" s="627">
        <v>1058</v>
      </c>
      <c r="N31" s="627">
        <v>4761</v>
      </c>
      <c r="O31" s="627">
        <v>5356.125</v>
      </c>
      <c r="P31" s="627">
        <v>0</v>
      </c>
      <c r="Q31" s="627">
        <v>0</v>
      </c>
      <c r="R31" s="627">
        <v>0</v>
      </c>
      <c r="S31" s="627">
        <v>2975.625</v>
      </c>
      <c r="T31" s="627">
        <v>8926.875</v>
      </c>
      <c r="U31" s="627">
        <v>0</v>
      </c>
      <c r="V31" s="627">
        <v>0</v>
      </c>
      <c r="W31" s="627"/>
      <c r="X31" s="627">
        <v>10</v>
      </c>
      <c r="Y31" s="627" t="s">
        <v>105</v>
      </c>
      <c r="Z31" s="629" t="s">
        <v>105</v>
      </c>
    </row>
    <row r="32" spans="1:26" s="581" customFormat="1" ht="25.5" hidden="1">
      <c r="A32" s="580"/>
      <c r="B32" s="775">
        <v>12029</v>
      </c>
      <c r="C32" s="775">
        <v>2580</v>
      </c>
      <c r="D32" s="628"/>
      <c r="E32" s="627"/>
      <c r="F32" s="627"/>
      <c r="G32" s="627" t="s">
        <v>959</v>
      </c>
      <c r="H32" s="627" t="s">
        <v>960</v>
      </c>
      <c r="I32" s="627"/>
      <c r="J32" s="774"/>
      <c r="K32" s="774"/>
      <c r="L32" s="627" t="s">
        <v>961</v>
      </c>
      <c r="M32" s="627">
        <v>695</v>
      </c>
      <c r="N32" s="627">
        <v>3127.5</v>
      </c>
      <c r="O32" s="627">
        <v>4467.8571428571431</v>
      </c>
      <c r="P32" s="627">
        <v>8935.7142857142862</v>
      </c>
      <c r="Q32" s="627">
        <v>0</v>
      </c>
      <c r="R32" s="627">
        <v>0</v>
      </c>
      <c r="S32" s="627">
        <v>0</v>
      </c>
      <c r="T32" s="627">
        <v>0</v>
      </c>
      <c r="U32" s="627">
        <v>0</v>
      </c>
      <c r="V32" s="627">
        <v>0</v>
      </c>
      <c r="W32" s="627"/>
      <c r="X32" s="627">
        <v>10</v>
      </c>
      <c r="Y32" s="627" t="s">
        <v>105</v>
      </c>
      <c r="Z32" s="629" t="s">
        <v>105</v>
      </c>
    </row>
    <row r="33" spans="1:27" s="581" customFormat="1" ht="25.5" hidden="1">
      <c r="A33" s="580"/>
      <c r="B33" s="775">
        <v>12029</v>
      </c>
      <c r="C33" s="775">
        <v>2580</v>
      </c>
      <c r="D33" s="628"/>
      <c r="E33" s="627"/>
      <c r="F33" s="627"/>
      <c r="G33" s="627" t="s">
        <v>959</v>
      </c>
      <c r="H33" s="627" t="s">
        <v>960</v>
      </c>
      <c r="I33" s="627"/>
      <c r="J33" s="774"/>
      <c r="K33" s="774"/>
      <c r="L33" s="627" t="s">
        <v>961</v>
      </c>
      <c r="M33" s="627">
        <v>1400</v>
      </c>
      <c r="N33" s="627">
        <v>6300</v>
      </c>
      <c r="O33" s="627">
        <v>9000</v>
      </c>
      <c r="P33" s="627">
        <v>18000</v>
      </c>
      <c r="Q33" s="627">
        <v>0</v>
      </c>
      <c r="R33" s="627">
        <v>0</v>
      </c>
      <c r="S33" s="627">
        <v>0</v>
      </c>
      <c r="T33" s="627">
        <v>0</v>
      </c>
      <c r="U33" s="627">
        <v>0</v>
      </c>
      <c r="V33" s="627">
        <v>0</v>
      </c>
      <c r="W33" s="627"/>
      <c r="X33" s="627">
        <v>10</v>
      </c>
      <c r="Y33" s="627" t="s">
        <v>105</v>
      </c>
      <c r="Z33" s="629" t="s">
        <v>105</v>
      </c>
    </row>
    <row r="34" spans="1:27" s="581" customFormat="1" ht="25.5" hidden="1">
      <c r="A34" s="580"/>
      <c r="B34" s="775">
        <v>12029</v>
      </c>
      <c r="C34" s="775">
        <v>2580</v>
      </c>
      <c r="D34" s="628"/>
      <c r="E34" s="627"/>
      <c r="F34" s="627"/>
      <c r="G34" s="627" t="s">
        <v>959</v>
      </c>
      <c r="H34" s="627" t="s">
        <v>960</v>
      </c>
      <c r="I34" s="627"/>
      <c r="J34" s="774"/>
      <c r="K34" s="774"/>
      <c r="L34" s="627" t="s">
        <v>961</v>
      </c>
      <c r="M34" s="627">
        <v>800</v>
      </c>
      <c r="N34" s="627">
        <v>3600</v>
      </c>
      <c r="O34" s="627">
        <v>5142.8571428571431</v>
      </c>
      <c r="P34" s="627">
        <v>10285.714285714286</v>
      </c>
      <c r="Q34" s="627">
        <v>0</v>
      </c>
      <c r="R34" s="627">
        <v>0</v>
      </c>
      <c r="S34" s="627">
        <v>0</v>
      </c>
      <c r="T34" s="627">
        <v>0</v>
      </c>
      <c r="U34" s="627">
        <v>0</v>
      </c>
      <c r="V34" s="627">
        <v>0</v>
      </c>
      <c r="W34" s="627"/>
      <c r="X34" s="627">
        <v>10</v>
      </c>
      <c r="Y34" s="627" t="s">
        <v>105</v>
      </c>
      <c r="Z34" s="629" t="s">
        <v>105</v>
      </c>
    </row>
    <row r="35" spans="1:27" s="581" customFormat="1" ht="25.5" hidden="1">
      <c r="A35" s="580"/>
      <c r="B35" s="775">
        <v>12029</v>
      </c>
      <c r="C35" s="775">
        <v>2580</v>
      </c>
      <c r="D35" s="628"/>
      <c r="E35" s="627"/>
      <c r="F35" s="627"/>
      <c r="G35" s="627" t="s">
        <v>959</v>
      </c>
      <c r="H35" s="627" t="s">
        <v>960</v>
      </c>
      <c r="I35" s="627"/>
      <c r="J35" s="774"/>
      <c r="K35" s="774"/>
      <c r="L35" s="627" t="s">
        <v>961</v>
      </c>
      <c r="M35" s="627">
        <v>3602</v>
      </c>
      <c r="N35" s="627">
        <v>16209</v>
      </c>
      <c r="O35" s="627">
        <v>23155.714285714286</v>
      </c>
      <c r="P35" s="627">
        <v>46311.428571428572</v>
      </c>
      <c r="Q35" s="627">
        <v>0</v>
      </c>
      <c r="R35" s="627">
        <v>0</v>
      </c>
      <c r="S35" s="627">
        <v>0</v>
      </c>
      <c r="T35" s="627">
        <v>0</v>
      </c>
      <c r="U35" s="627">
        <v>0</v>
      </c>
      <c r="V35" s="627">
        <v>0</v>
      </c>
      <c r="W35" s="627"/>
      <c r="X35" s="627">
        <v>10</v>
      </c>
      <c r="Y35" s="627" t="s">
        <v>105</v>
      </c>
      <c r="Z35" s="629" t="s">
        <v>105</v>
      </c>
    </row>
    <row r="36" spans="1:27" s="563" customFormat="1" hidden="1">
      <c r="A36" s="583" t="s">
        <v>269</v>
      </c>
      <c r="B36" s="584"/>
      <c r="C36" s="584"/>
      <c r="D36" s="584"/>
      <c r="E36" s="584"/>
      <c r="F36" s="584"/>
      <c r="G36" s="584"/>
      <c r="H36" s="584"/>
      <c r="I36" s="584"/>
      <c r="J36" s="584"/>
      <c r="K36" s="584"/>
      <c r="L36" s="585"/>
      <c r="M36" s="585">
        <f>SUM(M28:M35)</f>
        <v>10651</v>
      </c>
      <c r="N36" s="585">
        <f>SUM(N28:N35)</f>
        <v>47929.5</v>
      </c>
      <c r="O36" s="585">
        <f>SUM(O28:O35)</f>
        <v>67025.410714285725</v>
      </c>
      <c r="P36" s="585">
        <f>SUM(P28:P35)</f>
        <v>123338.57142857145</v>
      </c>
      <c r="Q36" s="585">
        <f>SUM(Q28:Q35)</f>
        <v>0</v>
      </c>
      <c r="R36" s="585">
        <f>SUM(R28:R35)</f>
        <v>0</v>
      </c>
      <c r="S36" s="585">
        <f>SUM(S28:S35)</f>
        <v>2975.625</v>
      </c>
      <c r="T36" s="585">
        <f>SUM(T28:T35)</f>
        <v>8926.875</v>
      </c>
      <c r="U36" s="585">
        <f>SUM(U28:U35)</f>
        <v>0</v>
      </c>
      <c r="V36" s="585">
        <f>SUM(V28:V35)</f>
        <v>0</v>
      </c>
      <c r="W36" s="585">
        <f>SUM(W28:W35)</f>
        <v>0</v>
      </c>
      <c r="X36" s="586"/>
      <c r="Y36" s="586"/>
      <c r="Z36" s="587"/>
    </row>
    <row r="37" spans="1:27" s="563" customFormat="1">
      <c r="A37" s="583" t="s">
        <v>276</v>
      </c>
      <c r="B37" s="584"/>
      <c r="C37" s="584"/>
      <c r="D37" s="584"/>
      <c r="E37" s="584"/>
      <c r="F37" s="584"/>
      <c r="G37" s="584"/>
      <c r="H37" s="584"/>
      <c r="I37" s="584"/>
      <c r="J37" s="584"/>
      <c r="K37" s="584"/>
      <c r="L37" s="585"/>
      <c r="M37" s="585">
        <f>SUMIF($Z$28:$Z$35,"industrie",M28:M35)</f>
        <v>0</v>
      </c>
      <c r="N37" s="585">
        <f>SUMIF($Z$28:$Z$35,"industrie",N28:N35)</f>
        <v>0</v>
      </c>
      <c r="O37" s="585">
        <f>SUMIF($Z$28:$Z$35,"industrie",O28:O35)</f>
        <v>0</v>
      </c>
      <c r="P37" s="585">
        <f>SUMIF($Z$28:$Z$35,"industrie",P28:P35)</f>
        <v>0</v>
      </c>
      <c r="Q37" s="585">
        <f>SUMIF($Z$28:$Z$35,"industrie",Q28:Q35)</f>
        <v>0</v>
      </c>
      <c r="R37" s="585">
        <f>SUMIF($Z$28:$Z$35,"industrie",R28:R35)</f>
        <v>0</v>
      </c>
      <c r="S37" s="585">
        <f>SUMIF($Z$28:$Z$35,"industrie",S28:S35)</f>
        <v>0</v>
      </c>
      <c r="T37" s="585">
        <f>SUMIF($Z$28:$Z$35,"industrie",T28:T35)</f>
        <v>0</v>
      </c>
      <c r="U37" s="585">
        <f>SUMIF($Z$28:$Z$35,"industrie",U28:U35)</f>
        <v>0</v>
      </c>
      <c r="V37" s="585">
        <f>SUMIF($Z$28:$Z$35,"industrie",V28:V35)</f>
        <v>0</v>
      </c>
      <c r="W37" s="585">
        <f>SUMIF($Z$28:$Z$35,"industrie",W28:W35)</f>
        <v>0</v>
      </c>
      <c r="X37" s="586"/>
      <c r="Y37" s="586"/>
      <c r="Z37" s="587"/>
    </row>
    <row r="38" spans="1:27" s="563" customFormat="1">
      <c r="A38" s="583" t="s">
        <v>277</v>
      </c>
      <c r="B38" s="584"/>
      <c r="C38" s="584"/>
      <c r="D38" s="584"/>
      <c r="E38" s="584"/>
      <c r="F38" s="584"/>
      <c r="G38" s="584"/>
      <c r="H38" s="584"/>
      <c r="I38" s="584"/>
      <c r="J38" s="584"/>
      <c r="K38" s="584"/>
      <c r="L38" s="585"/>
      <c r="M38" s="585">
        <f ca="1">SUMIF($Z$28:AC35,"tertiair",M28:M35)</f>
        <v>0</v>
      </c>
      <c r="N38" s="585">
        <f ca="1">SUMIF($Z$28:AD35,"tertiair",N28:N35)</f>
        <v>0</v>
      </c>
      <c r="O38" s="585">
        <f ca="1">SUMIF($Z$28:AE35,"tertiair",O28:O35)</f>
        <v>0</v>
      </c>
      <c r="P38" s="585">
        <f ca="1">SUMIF($Z$28:AF35,"tertiair",P28:P35)</f>
        <v>0</v>
      </c>
      <c r="Q38" s="585">
        <f ca="1">SUMIF($Z$28:AG35,"tertiair",Q28:Q35)</f>
        <v>0</v>
      </c>
      <c r="R38" s="585">
        <f ca="1">SUMIF($Z$28:AH35,"tertiair",R28:R35)</f>
        <v>0</v>
      </c>
      <c r="S38" s="585">
        <f ca="1">SUMIF($Z$28:AI35,"tertiair",S28:S35)</f>
        <v>0</v>
      </c>
      <c r="T38" s="585">
        <f ca="1">SUMIF($Z$28:AJ35,"tertiair",T28:T35)</f>
        <v>0</v>
      </c>
      <c r="U38" s="585">
        <f ca="1">SUMIF($Z$28:AK35,"tertiair",U28:U35)</f>
        <v>0</v>
      </c>
      <c r="V38" s="585">
        <f ca="1">SUMIF($Z$28:AL35,"tertiair",V28:V35)</f>
        <v>0</v>
      </c>
      <c r="W38" s="585">
        <f ca="1">SUMIF($Z$28:AM35,"tertiair",W28:W35)</f>
        <v>0</v>
      </c>
      <c r="X38" s="586"/>
      <c r="Y38" s="586"/>
      <c r="Z38" s="587"/>
    </row>
    <row r="39" spans="1:27" s="563" customFormat="1" ht="15.75" thickBot="1">
      <c r="A39" s="588" t="s">
        <v>278</v>
      </c>
      <c r="B39" s="589"/>
      <c r="C39" s="589"/>
      <c r="D39" s="589"/>
      <c r="E39" s="589"/>
      <c r="F39" s="589"/>
      <c r="G39" s="589"/>
      <c r="H39" s="589"/>
      <c r="I39" s="589"/>
      <c r="J39" s="589"/>
      <c r="K39" s="589"/>
      <c r="L39" s="590"/>
      <c r="M39" s="590">
        <f>SUMIF($Z$28:$Z$35,"landbouw",M28:M35)</f>
        <v>10651</v>
      </c>
      <c r="N39" s="590">
        <f>SUMIF($Z$28:$Z$35,"landbouw",N28:N35)</f>
        <v>47929.5</v>
      </c>
      <c r="O39" s="590">
        <f>SUMIF($Z$28:$Z$35,"landbouw",O28:O35)</f>
        <v>67025.410714285725</v>
      </c>
      <c r="P39" s="590">
        <f>SUMIF($Z$28:$Z$35,"landbouw",P28:P35)</f>
        <v>123338.57142857145</v>
      </c>
      <c r="Q39" s="590">
        <f>SUMIF($Z$28:$Z$35,"landbouw",Q28:Q35)</f>
        <v>0</v>
      </c>
      <c r="R39" s="590">
        <f>SUMIF($Z$28:$Z$35,"landbouw",R28:R35)</f>
        <v>0</v>
      </c>
      <c r="S39" s="590">
        <f>SUMIF($Z$28:$Z$35,"landbouw",S28:S35)</f>
        <v>2975.625</v>
      </c>
      <c r="T39" s="590">
        <f>SUMIF($Z$28:$Z$35,"landbouw",T28:T35)</f>
        <v>8926.875</v>
      </c>
      <c r="U39" s="590">
        <f>SUMIF($Z$28:$Z$35,"landbouw",U28:U35)</f>
        <v>0</v>
      </c>
      <c r="V39" s="590">
        <f>SUMIF($Z$28:$Z$35,"landbouw",V28:V35)</f>
        <v>0</v>
      </c>
      <c r="W39" s="590">
        <f>SUMIF($Z$28:$Z$35,"landbouw",W28:W35)</f>
        <v>0</v>
      </c>
      <c r="X39" s="591"/>
      <c r="Y39" s="591"/>
      <c r="Z39" s="592"/>
    </row>
    <row r="40" spans="1:27" s="532" customFormat="1" ht="15.75" thickBot="1">
      <c r="A40" s="593"/>
      <c r="B40" s="594"/>
      <c r="C40" s="594"/>
      <c r="D40" s="594"/>
      <c r="E40" s="594"/>
      <c r="F40" s="594"/>
      <c r="G40" s="594"/>
      <c r="H40" s="594"/>
      <c r="I40" s="594"/>
      <c r="J40" s="594"/>
      <c r="K40" s="594"/>
      <c r="L40" s="577"/>
      <c r="M40" s="577"/>
      <c r="N40" s="577"/>
      <c r="O40" s="578"/>
      <c r="P40" s="578"/>
    </row>
    <row r="41" spans="1:27" s="532" customFormat="1" ht="45">
      <c r="A41" s="595" t="s">
        <v>270</v>
      </c>
      <c r="B41" s="624" t="s">
        <v>89</v>
      </c>
      <c r="C41" s="624" t="s">
        <v>90</v>
      </c>
      <c r="D41" s="624"/>
      <c r="E41" s="624"/>
      <c r="F41" s="624"/>
      <c r="G41" s="624" t="s">
        <v>91</v>
      </c>
      <c r="H41" s="624" t="s">
        <v>92</v>
      </c>
      <c r="I41" s="624"/>
      <c r="J41" s="624"/>
      <c r="K41" s="624"/>
      <c r="L41" s="624" t="s">
        <v>93</v>
      </c>
      <c r="M41" s="625" t="s">
        <v>287</v>
      </c>
      <c r="N41" s="625" t="s">
        <v>94</v>
      </c>
      <c r="O41" s="625" t="s">
        <v>95</v>
      </c>
      <c r="P41" s="625" t="s">
        <v>535</v>
      </c>
      <c r="Q41" s="625" t="s">
        <v>96</v>
      </c>
      <c r="R41" s="625" t="s">
        <v>97</v>
      </c>
      <c r="S41" s="625" t="s">
        <v>98</v>
      </c>
      <c r="T41" s="625" t="s">
        <v>99</v>
      </c>
      <c r="U41" s="625" t="s">
        <v>100</v>
      </c>
      <c r="V41" s="625" t="s">
        <v>101</v>
      </c>
      <c r="W41" s="624" t="s">
        <v>102</v>
      </c>
      <c r="X41" s="624" t="s">
        <v>288</v>
      </c>
      <c r="Y41" s="624" t="s">
        <v>103</v>
      </c>
      <c r="Z41" s="626" t="s">
        <v>289</v>
      </c>
    </row>
    <row r="42" spans="1:27" s="596" customFormat="1" ht="12.75" hidden="1">
      <c r="A42" s="582"/>
      <c r="B42" s="775"/>
      <c r="C42" s="775"/>
      <c r="D42" s="630"/>
      <c r="E42" s="630"/>
      <c r="F42" s="630"/>
      <c r="G42" s="630"/>
      <c r="H42" s="630"/>
      <c r="I42" s="630"/>
      <c r="J42" s="774"/>
      <c r="K42" s="774"/>
      <c r="L42" s="630"/>
      <c r="M42" s="630"/>
      <c r="N42" s="630"/>
      <c r="O42" s="630"/>
      <c r="P42" s="630"/>
      <c r="Q42" s="630"/>
      <c r="R42" s="630"/>
      <c r="S42" s="630"/>
      <c r="T42" s="630"/>
      <c r="U42" s="630"/>
      <c r="V42" s="630"/>
      <c r="W42" s="630"/>
      <c r="X42" s="630"/>
      <c r="Y42" s="630"/>
      <c r="Z42" s="631"/>
    </row>
    <row r="43" spans="1:27" s="563" customFormat="1" hidden="1">
      <c r="A43" s="583" t="s">
        <v>269</v>
      </c>
      <c r="B43" s="584"/>
      <c r="C43" s="584"/>
      <c r="D43" s="584"/>
      <c r="E43" s="584"/>
      <c r="F43" s="584"/>
      <c r="G43" s="584"/>
      <c r="H43" s="584"/>
      <c r="I43" s="584"/>
      <c r="J43" s="584"/>
      <c r="K43" s="584"/>
      <c r="L43" s="585"/>
      <c r="M43" s="585">
        <f>SUM(M42:M42)</f>
        <v>0</v>
      </c>
      <c r="N43" s="585">
        <f>SUM(N42:N42)</f>
        <v>0</v>
      </c>
      <c r="O43" s="585">
        <f>SUM(O42:O42)</f>
        <v>0</v>
      </c>
      <c r="P43" s="585">
        <f>SUM(P42:P42)</f>
        <v>0</v>
      </c>
      <c r="Q43" s="585">
        <f>SUM(Q42:Q42)</f>
        <v>0</v>
      </c>
      <c r="R43" s="585">
        <f>SUM(R42:R42)</f>
        <v>0</v>
      </c>
      <c r="S43" s="585">
        <f>SUM(S42:S42)</f>
        <v>0</v>
      </c>
      <c r="T43" s="585">
        <f>SUM(T42:T42)</f>
        <v>0</v>
      </c>
      <c r="U43" s="585">
        <f>SUM(U42:U42)</f>
        <v>0</v>
      </c>
      <c r="V43" s="585">
        <f>SUM(V42:V42)</f>
        <v>0</v>
      </c>
      <c r="W43" s="585">
        <f>SUM(W42:W42)</f>
        <v>0</v>
      </c>
      <c r="X43" s="586"/>
      <c r="Y43" s="586"/>
      <c r="Z43" s="587"/>
    </row>
    <row r="44" spans="1:27" s="563" customFormat="1">
      <c r="A44" s="583" t="s">
        <v>276</v>
      </c>
      <c r="B44" s="584"/>
      <c r="C44" s="584"/>
      <c r="D44" s="584"/>
      <c r="E44" s="584"/>
      <c r="F44" s="584"/>
      <c r="G44" s="584"/>
      <c r="H44" s="584"/>
      <c r="I44" s="584"/>
      <c r="J44" s="584"/>
      <c r="K44" s="584"/>
      <c r="L44" s="585"/>
      <c r="M44" s="585">
        <f>SUMIF($Z$42:$Z$42,"industrie",M42:M42)</f>
        <v>0</v>
      </c>
      <c r="N44" s="585">
        <f>SUMIF($Z$42:$Z$42,"industrie",N42:N42)</f>
        <v>0</v>
      </c>
      <c r="O44" s="585">
        <f>SUMIF($Z$42:$Z$42,"industrie",O42:O42)</f>
        <v>0</v>
      </c>
      <c r="P44" s="585">
        <f>SUMIF($Z$42:$Z$42,"industrie",P42:P42)</f>
        <v>0</v>
      </c>
      <c r="Q44" s="585">
        <f>SUMIF($Z$42:$Z$42,"industrie",Q42:Q42)</f>
        <v>0</v>
      </c>
      <c r="R44" s="585">
        <f>SUMIF($Z$42:$Z$42,"industrie",R42:R42)</f>
        <v>0</v>
      </c>
      <c r="S44" s="585">
        <f>SUMIF($Z$42:$Z$42,"industrie",S42:S42)</f>
        <v>0</v>
      </c>
      <c r="T44" s="585">
        <f>SUMIF($Z$42:$Z$42,"industrie",T42:T42)</f>
        <v>0</v>
      </c>
      <c r="U44" s="585">
        <f>SUMIF($Z$42:$Z$42,"industrie",U42:U42)</f>
        <v>0</v>
      </c>
      <c r="V44" s="585">
        <f>SUMIF($Z$42:$Z$42,"industrie",V42:V42)</f>
        <v>0</v>
      </c>
      <c r="W44" s="585">
        <f>SUMIF($Z$42:$Z$42,"industrie",W42:W42)</f>
        <v>0</v>
      </c>
      <c r="X44" s="586"/>
      <c r="Y44" s="586"/>
      <c r="Z44" s="587"/>
    </row>
    <row r="45" spans="1:27" s="563" customFormat="1">
      <c r="A45" s="583" t="s">
        <v>277</v>
      </c>
      <c r="B45" s="584"/>
      <c r="C45" s="584"/>
      <c r="D45" s="584"/>
      <c r="E45" s="584"/>
      <c r="F45" s="584"/>
      <c r="G45" s="584"/>
      <c r="H45" s="584"/>
      <c r="I45" s="584"/>
      <c r="J45" s="584"/>
      <c r="K45" s="584"/>
      <c r="L45" s="585"/>
      <c r="M45" s="585">
        <f>SUMIF($Z$42:$Z$43,"tertiair",M42:M43)</f>
        <v>0</v>
      </c>
      <c r="N45" s="585">
        <f>SUMIF($Z$42:$Z$43,"tertiair",N42:N43)</f>
        <v>0</v>
      </c>
      <c r="O45" s="585">
        <f>SUMIF($Z$42:$Z$43,"tertiair",O42:O43)</f>
        <v>0</v>
      </c>
      <c r="P45" s="585">
        <f>SUMIF($Z$42:$Z$43,"tertiair",P42:P43)</f>
        <v>0</v>
      </c>
      <c r="Q45" s="585">
        <f>SUMIF($Z$42:$Z$43,"tertiair",Q42:Q43)</f>
        <v>0</v>
      </c>
      <c r="R45" s="585">
        <f>SUMIF($Z$42:$Z$43,"tertiair",R42:R43)</f>
        <v>0</v>
      </c>
      <c r="S45" s="585">
        <f>SUMIF($Z$42:$Z$43,"tertiair",S42:S43)</f>
        <v>0</v>
      </c>
      <c r="T45" s="585">
        <f>SUMIF($Z$42:$Z$43,"tertiair",T42:T43)</f>
        <v>0</v>
      </c>
      <c r="U45" s="585">
        <f>SUMIF($Z$42:$Z$43,"tertiair",U42:U43)</f>
        <v>0</v>
      </c>
      <c r="V45" s="585">
        <f>SUMIF($Z$42:$Z$43,"tertiair",V42:V43)</f>
        <v>0</v>
      </c>
      <c r="W45" s="585">
        <f>SUMIF($Z$42:$Z$43,"tertiair",W42:W43)</f>
        <v>0</v>
      </c>
      <c r="X45" s="586"/>
      <c r="Y45" s="586"/>
      <c r="Z45" s="587"/>
    </row>
    <row r="46" spans="1:27" s="563" customFormat="1" ht="15.75" thickBot="1">
      <c r="A46" s="588" t="s">
        <v>278</v>
      </c>
      <c r="B46" s="589"/>
      <c r="C46" s="589"/>
      <c r="D46" s="589"/>
      <c r="E46" s="589"/>
      <c r="F46" s="589"/>
      <c r="G46" s="589"/>
      <c r="H46" s="589"/>
      <c r="I46" s="589"/>
      <c r="J46" s="589"/>
      <c r="K46" s="589"/>
      <c r="L46" s="590"/>
      <c r="M46" s="590">
        <f>SUMIF($Z$42:$Z$44,"landbouw",M42:M44)</f>
        <v>0</v>
      </c>
      <c r="N46" s="590">
        <f>SUMIF($Z$42:$Z$44,"landbouw",N42:N44)</f>
        <v>0</v>
      </c>
      <c r="O46" s="590">
        <f>SUMIF($Z$42:$Z$44,"landbouw",O42:O44)</f>
        <v>0</v>
      </c>
      <c r="P46" s="590">
        <f>SUMIF($Z$42:$Z$44,"landbouw",P42:P44)</f>
        <v>0</v>
      </c>
      <c r="Q46" s="590">
        <f>SUMIF($Z$42:$Z$44,"landbouw",Q42:Q44)</f>
        <v>0</v>
      </c>
      <c r="R46" s="590">
        <f>SUMIF($Z$42:$Z$44,"landbouw",R42:R44)</f>
        <v>0</v>
      </c>
      <c r="S46" s="590">
        <f>SUMIF($Z$42:$Z$44,"landbouw",S42:S44)</f>
        <v>0</v>
      </c>
      <c r="T46" s="590">
        <f>SUMIF($Z$42:$Z$44,"landbouw",T42:T44)</f>
        <v>0</v>
      </c>
      <c r="U46" s="590">
        <f>SUMIF($Z$42:$Z$44,"landbouw",U42:U44)</f>
        <v>0</v>
      </c>
      <c r="V46" s="590">
        <f>SUMIF($Z$42:$Z$44,"landbouw",V42:V44)</f>
        <v>0</v>
      </c>
      <c r="W46" s="590">
        <f>SUMIF($Z$42:$Z$44,"landbouw",W42:W44)</f>
        <v>0</v>
      </c>
      <c r="X46" s="591"/>
      <c r="Y46" s="591"/>
      <c r="Z46" s="592"/>
    </row>
    <row r="47" spans="1:27" s="597" customFormat="1">
      <c r="A47" s="593"/>
      <c r="B47" s="577"/>
      <c r="C47" s="577"/>
      <c r="D47" s="577"/>
      <c r="E47" s="577"/>
      <c r="F47" s="577"/>
      <c r="G47" s="577"/>
      <c r="H47" s="577"/>
      <c r="I47" s="577"/>
      <c r="J47" s="577"/>
      <c r="K47" s="577"/>
      <c r="L47" s="577"/>
      <c r="M47" s="577"/>
      <c r="N47" s="577"/>
      <c r="O47" s="577"/>
      <c r="P47" s="577"/>
      <c r="Q47" s="577"/>
      <c r="R47" s="577"/>
      <c r="S47" s="577"/>
      <c r="T47" s="577"/>
      <c r="U47" s="577"/>
      <c r="V47" s="577"/>
      <c r="W47" s="577"/>
      <c r="X47" s="577"/>
      <c r="Y47" s="577"/>
    </row>
    <row r="48" spans="1:27" s="597" customFormat="1" ht="15.75" thickBot="1">
      <c r="A48" s="593"/>
      <c r="B48" s="577"/>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row>
    <row r="49" spans="1:16">
      <c r="A49" s="598" t="s">
        <v>271</v>
      </c>
      <c r="B49" s="599"/>
      <c r="C49" s="599"/>
      <c r="D49" s="599"/>
      <c r="E49" s="599"/>
      <c r="F49" s="599"/>
      <c r="G49" s="599"/>
      <c r="H49" s="599"/>
      <c r="I49" s="600"/>
      <c r="J49" s="601"/>
      <c r="K49" s="601"/>
      <c r="L49" s="602"/>
      <c r="M49" s="602"/>
      <c r="N49" s="602"/>
      <c r="O49" s="602"/>
      <c r="P49" s="602"/>
    </row>
    <row r="50" spans="1:16">
      <c r="A50" s="604"/>
      <c r="B50" s="594"/>
      <c r="C50" s="594"/>
      <c r="D50" s="594"/>
      <c r="E50" s="594"/>
      <c r="F50" s="594"/>
      <c r="G50" s="594"/>
      <c r="H50" s="594"/>
      <c r="I50" s="605"/>
      <c r="J50" s="594"/>
      <c r="K50" s="594"/>
      <c r="L50" s="602"/>
      <c r="M50" s="602"/>
      <c r="N50" s="602"/>
      <c r="O50" s="602"/>
      <c r="P50" s="602"/>
    </row>
    <row r="51" spans="1:16">
      <c r="A51" s="606"/>
      <c r="B51" s="607" t="s">
        <v>272</v>
      </c>
      <c r="C51" s="607" t="s">
        <v>273</v>
      </c>
      <c r="D51" s="607"/>
      <c r="E51" s="607"/>
      <c r="F51" s="607"/>
      <c r="G51" s="607"/>
      <c r="H51" s="607"/>
      <c r="I51" s="608"/>
      <c r="J51" s="607"/>
      <c r="K51" s="607"/>
      <c r="L51" s="607"/>
      <c r="M51" s="607"/>
      <c r="N51" s="607"/>
      <c r="O51" s="607"/>
      <c r="P51" s="602"/>
    </row>
    <row r="52" spans="1:16">
      <c r="A52" s="604" t="s">
        <v>269</v>
      </c>
      <c r="B52" s="609">
        <f>IF(ISERROR(O36/(O36+N36)),0,O36/(O36+N36))</f>
        <v>0.58305826430393903</v>
      </c>
      <c r="C52" s="610">
        <f>IF(ISERROR(N36/(O36+N36)),0,N36/(N36+O36))</f>
        <v>0.41694173569606091</v>
      </c>
      <c r="D52" s="577"/>
      <c r="E52" s="577"/>
      <c r="F52" s="577"/>
      <c r="G52" s="577"/>
      <c r="H52" s="577"/>
      <c r="I52" s="611"/>
      <c r="J52" s="577"/>
      <c r="K52" s="577"/>
      <c r="L52" s="612"/>
      <c r="M52" s="612"/>
      <c r="N52" s="612"/>
      <c r="O52" s="612"/>
      <c r="P52" s="602"/>
    </row>
    <row r="53" spans="1:16">
      <c r="A53" s="604"/>
      <c r="B53" s="613"/>
      <c r="C53" s="613"/>
      <c r="D53" s="613"/>
      <c r="E53" s="613"/>
      <c r="F53" s="613"/>
      <c r="G53" s="613"/>
      <c r="H53" s="613"/>
      <c r="I53" s="614"/>
      <c r="J53" s="613"/>
      <c r="K53" s="613"/>
      <c r="L53" s="615"/>
      <c r="M53" s="615"/>
      <c r="N53" s="615"/>
      <c r="O53" s="615"/>
      <c r="P53" s="602"/>
    </row>
    <row r="54" spans="1:16" ht="30">
      <c r="A54" s="616"/>
      <c r="B54" s="617" t="s">
        <v>535</v>
      </c>
      <c r="C54" s="617" t="s">
        <v>96</v>
      </c>
      <c r="D54" s="617" t="s">
        <v>97</v>
      </c>
      <c r="E54" s="617" t="s">
        <v>98</v>
      </c>
      <c r="F54" s="617" t="s">
        <v>99</v>
      </c>
      <c r="G54" s="617" t="s">
        <v>100</v>
      </c>
      <c r="H54" s="617" t="s">
        <v>101</v>
      </c>
      <c r="I54" s="618" t="s">
        <v>102</v>
      </c>
      <c r="J54" s="607"/>
      <c r="K54" s="607"/>
      <c r="L54" s="615"/>
      <c r="M54" s="615"/>
      <c r="N54" s="615"/>
      <c r="O54" s="602"/>
      <c r="P54" s="602"/>
    </row>
    <row r="55" spans="1:16">
      <c r="A55" s="606" t="s">
        <v>274</v>
      </c>
      <c r="B55" s="619">
        <f t="shared" ref="B55:I55" si="2">$C$52*P36</f>
        <v>51424.998049701164</v>
      </c>
      <c r="C55" s="619">
        <f t="shared" si="2"/>
        <v>0</v>
      </c>
      <c r="D55" s="619">
        <f t="shared" si="2"/>
        <v>0</v>
      </c>
      <c r="E55" s="619">
        <f t="shared" si="2"/>
        <v>1240.6622522805912</v>
      </c>
      <c r="F55" s="619">
        <f t="shared" si="2"/>
        <v>3721.986756841774</v>
      </c>
      <c r="G55" s="619">
        <f t="shared" si="2"/>
        <v>0</v>
      </c>
      <c r="H55" s="619">
        <f t="shared" si="2"/>
        <v>0</v>
      </c>
      <c r="I55" s="620">
        <f t="shared" si="2"/>
        <v>0</v>
      </c>
      <c r="J55" s="577"/>
      <c r="K55" s="577"/>
      <c r="L55" s="615"/>
      <c r="M55" s="615"/>
      <c r="N55" s="615"/>
      <c r="O55" s="602"/>
      <c r="P55" s="602"/>
    </row>
    <row r="56" spans="1:16" ht="15.75" thickBot="1">
      <c r="A56" s="621" t="s">
        <v>275</v>
      </c>
      <c r="B56" s="622">
        <f t="shared" ref="B56:I56" si="3">$B$52*P36</f>
        <v>71913.573378870278</v>
      </c>
      <c r="C56" s="622">
        <f t="shared" si="3"/>
        <v>0</v>
      </c>
      <c r="D56" s="622">
        <f t="shared" si="3"/>
        <v>0</v>
      </c>
      <c r="E56" s="622">
        <f t="shared" si="3"/>
        <v>1734.9627477194085</v>
      </c>
      <c r="F56" s="622">
        <f t="shared" si="3"/>
        <v>5204.888243158226</v>
      </c>
      <c r="G56" s="622">
        <f t="shared" si="3"/>
        <v>0</v>
      </c>
      <c r="H56" s="622">
        <f t="shared" si="3"/>
        <v>0</v>
      </c>
      <c r="I56" s="623">
        <f t="shared" si="3"/>
        <v>0</v>
      </c>
      <c r="J56" s="577"/>
      <c r="K56" s="577"/>
      <c r="L56" s="615"/>
      <c r="M56" s="615"/>
      <c r="N56" s="615"/>
      <c r="O56" s="602"/>
      <c r="P56" s="602"/>
    </row>
    <row r="57" spans="1:16">
      <c r="J57" s="561"/>
      <c r="K57" s="561"/>
      <c r="L57" s="561"/>
      <c r="M57" s="561"/>
      <c r="N57" s="561"/>
    </row>
    <row r="58" spans="1:16">
      <c r="J58" s="561"/>
      <c r="K58" s="561"/>
      <c r="L58" s="561"/>
      <c r="M58" s="561"/>
      <c r="N58"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2021-11-11T13:30:10Z</dcterms:modified>
</cp:coreProperties>
</file>