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C18C65E-ABE3-4EC3-B648-B367613670D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E50" i="18"/>
  <c r="E8" i="18" s="1"/>
  <c r="E10" i="18" s="1"/>
  <c r="H50" i="18"/>
  <c r="D50" i="18"/>
  <c r="F50" i="18"/>
  <c r="N6" i="17"/>
  <c r="L6" i="17"/>
  <c r="F6" i="17"/>
  <c r="D6" i="17"/>
  <c r="C6" i="17"/>
  <c r="N16" i="16"/>
  <c r="L16" i="16"/>
  <c r="F16" i="16"/>
  <c r="D16" i="16"/>
  <c r="C16" i="16"/>
  <c r="B16" i="16"/>
  <c r="B13" i="15"/>
  <c r="C50" i="18" l="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<sst xmlns="http://schemas.openxmlformats.org/spreadsheetml/2006/main" count="2568" uniqueCount="962">
  <si>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</si>
  <si>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</si>
  <si>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</si>
  <si>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</si>
  <si>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</si>
  <si>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</si>
  <si>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</si>
  <si>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</si>
  <si>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</si>
  <si>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</si>
  <si>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</si>
  <si>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</si>
  <si>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</si>
  <si>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</si>
  <si>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</si>
  <si>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</si>
  <si>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</si>
  <si>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</si>
  <si>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</si>
  <si>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</si>
  <si>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</si>
  <si>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</si>
  <si>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</si>
  <si>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</si>
  <si>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</si>
  <si>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</si>
  <si>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</si>
  <si>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</si>
  <si>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</si>
  <si>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</si>
  <si>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</si>
  <si>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</si>
  <si>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</si>
  <si>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</si>
  <si>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</si>
  <si>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</si>
  <si>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</si>
  <si>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</si>
  <si>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</si>
  <si>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</si>
  <si>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</si>
  <si>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</si>
  <si>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</si>
  <si>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</si>
  <si>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</si>
  <si>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</si>
  <si>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</si>
  <si>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</si>
  <si>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</si>
  <si>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</si>
  <si>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</si>
  <si>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</si>
  <si>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</si>
  <si>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</si>
  <si>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</si>
  <si>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</si>
  <si>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</si>
  <si>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</si>
  <si>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</si>
  <si>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</si>
  <si>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</si>
  <si>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</si>
  <si>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</si>
  <si>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</si>
  <si>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</si>
  <si>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</si>
  <si>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</si>
  <si>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</si>
  <si>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</si>
  <si>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</si>
  <si>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</si>
  <si>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</si>
  <si>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</si>
  <si>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</si>
  <si>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</si>
  <si>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</si>
  <si>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</si>
  <si>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</si>
  <si>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</si>
  <si>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</si>
  <si>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</si>
  <si>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</si>
  <si>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</si>
  <si>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</si>
  <si>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</si>
  <si>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</si>
  <si>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</si>
  <si>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</si>
  <si>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</si>
  <si>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</si>
  <si>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</si>
  <si>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</si>
  <si>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</si>
  <si>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</si>
  <si>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</si>
  <si>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</si>
  <si>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</si>
  <si>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</si>
  <si>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</si>
  <si>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</si>
  <si>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</si>
  <si>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</si>
  <si>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</si>
  <si>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</si>
  <si>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</si>
  <si>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</si>
  <si>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</si>
  <si>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</si>
  <si>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</si>
  <si>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</si>
  <si>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</si>
  <si>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</si>
  <si>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</si>
  <si>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</si>
  <si>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</si>
  <si>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</si>
  <si>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</si>
  <si>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</si>
  <si>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</si>
  <si>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</si>
  <si>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</si>
  <si>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</si>
  <si>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</si>
  <si>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</si>
  <si>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</si>
  <si>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</si>
  <si>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</si>
  <si>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</si>
  <si>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</si>
  <si>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</si>
  <si>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</si>
  <si>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</si>
  <si>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</si>
  <si>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</si>
  <si>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</si>
  <si>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</si>
  <si>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</si>
  <si>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</si>
  <si>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</si>
  <si>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</si>
  <si>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</si>
  <si>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</si>
  <si>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</si>
  <si>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</si>
  <si>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</si>
  <si>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</si>
  <si>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</si>
  <si>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</si>
  <si>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</si>
  <si>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</si>
  <si>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</si>
  <si>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</si>
  <si>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</si>
  <si>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</si>
  <si>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</si>
  <si>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</si>
  <si>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</si>
  <si>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</si>
  <si>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</si>
  <si>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</si>
  <si>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</si>
  <si>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</si>
  <si>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</si>
  <si>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</si>
  <si>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</si>
  <si>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</si>
  <si>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</si>
  <si>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</si>
  <si>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</si>
  <si>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</si>
  <si>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</si>
  <si>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</si>
  <si>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</si>
  <si>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</si>
  <si>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</si>
  <si>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</si>
  <si>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</si>
  <si>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</si>
  <si>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</si>
  <si>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</si>
  <si>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</si>
  <si>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</si>
  <si>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</si>
  <si>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</si>
  <si>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</si>
  <si>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</si>
  <si>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</si>
  <si>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</si>
  <si>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</si>
  <si>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</si>
  <si>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</si>
  <si>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</si>
  <si>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</si>
  <si>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</si>
  <si>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</si>
  <si>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</si>
  <si>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</si>
  <si>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</si>
  <si>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</si>
  <si>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</si>
  <si>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</si>
  <si>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</si>
  <si>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</si>
  <si>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</si>
  <si>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</si>
  <si>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</si>
  <si>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</si>
  <si>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</si>
  <si>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</si>
  <si>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</si>
  <si>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</si>
  <si>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</si>
  <si>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</si>
  <si>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</si>
  <si>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</si>
  <si>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</si>
  <si>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</si>
  <si>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</si>
  <si>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</si>
  <si>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</si>
  <si>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</si>
  <si>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</si>
  <si>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</si>
  <si>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</si>
  <si>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</si>
  <si>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</si>
  <si>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</si>
  <si>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</si>
  <si>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</si>
  <si>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</si>
  <si>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</si>
  <si>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</si>
  <si>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</si>
  <si>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</si>
  <si>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</si>
  <si>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</si>
  <si>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</si>
  <si>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</si>
  <si>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</si>
  <si>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</si>
  <si>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</si>
  <si>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</si>
  <si>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</si>
  <si>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</si>
  <si>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</si>
  <si>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</si>
  <si>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</si>
  <si>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</si>
  <si>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</si>
  <si>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</si>
  <si>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</si>
  <si>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</si>
  <si>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</si>
  <si>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</si>
  <si>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</si>
  <si>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</si>
  <si>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</si>
  <si>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</si>
  <si>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</si>
  <si>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</si>
  <si>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</si>
  <si>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</si>
  <si>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</si>
  <si>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</si>
  <si>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</si>
  <si>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</si>
  <si>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</si>
  <si>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</si>
  <si>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</si>
  <si>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</si>
  <si>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</si>
  <si>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</si>
  <si>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</si>
  <si>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</si>
  <si>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</si>
  <si>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</si>
  <si>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</si>
  <si>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</si>
  <si>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</si>
  <si>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</si>
  <si>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</si>
  <si>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</si>
  <si>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</si>
  <si>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</si>
  <si>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</si>
  <si>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</si>
  <si>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</si>
  <si>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</si>
  <si>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</si>
  <si>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</si>
  <si>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</si>
  <si>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</si>
  <si>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</si>
  <si>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</si>
  <si>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</si>
  <si>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</si>
  <si>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</si>
  <si>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</si>
  <si>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</si>
  <si>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</si>
  <si>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</si>
  <si>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</si>
  <si>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</si>
  <si>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</si>
  <si>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</si>
  <si>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</si>
  <si>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</si>
  <si>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</si>
  <si>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</si>
  <si>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</si>
  <si>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</si>
  <si>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</si>
  <si>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</si>
  <si>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</si>
  <si>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</si>
  <si>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</si>
  <si>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</si>
  <si>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</si>
  <si>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</si>
  <si>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</si>
  <si>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</si>
  <si>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</si>
  <si>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</si>
  <si>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</si>
  <si>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</si>
  <si>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</si>
  <si>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</si>
  <si>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</si>
  <si>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</si>
  <si>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</si>
  <si>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</si>
  <si>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</si>
  <si>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</si>
  <si>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</si>
  <si>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</si>
  <si>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</si>
  <si>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</si>
  <si>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</si>
  <si>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</si>
  <si>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</si>
  <si>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</si>
  <si>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</si>
  <si>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</si>
  <si>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</si>
  <si>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</si>
  <si>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</si>
  <si>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</si>
  <si>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</si>
  <si>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</si>
  <si>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</si>
  <si>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</si>
  <si>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</si>
  <si>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</si>
  <si>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</si>
  <si>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</si>
  <si>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</si>
  <si>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</si>
  <si>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</si>
  <si>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</si>
  <si>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</si>
  <si>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</si>
  <si>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</si>
  <si>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</si>
  <si>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</si>
  <si>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</si>
  <si>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</si>
  <si>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</si>
  <si>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</si>
  <si>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</si>
  <si>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</si>
  <si>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</si>
  <si>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</si>
  <si>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</si>
  <si>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</si>
  <si>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</si>
  <si>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</si>
  <si>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</si>
  <si>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</si>
  <si>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</si>
  <si>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</si>
  <si>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</si>
  <si>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</si>
  <si>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</si>
  <si>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</si>
  <si>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</si>
  <si>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</si>
  <si>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</si>
  <si>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</si>
  <si>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</si>
  <si>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</si>
  <si>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</si>
  <si>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</si>
  <si>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</si>
  <si>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</si>
  <si>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</si>
  <si>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</si>
  <si>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</si>
  <si>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</si>
  <si>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</si>
  <si>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</si>
  <si>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</si>
  <si>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</si>
  <si>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</si>
  <si>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</si>
  <si>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</si>
  <si>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</si>
  <si>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</si>
  <si>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</si>
  <si>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</si>
  <si>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</si>
  <si>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</si>
  <si>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</si>
  <si>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</si>
  <si>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</si>
  <si>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</si>
  <si>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</si>
  <si>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</si>
  <si>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</si>
  <si>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</si>
  <si>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</si>
  <si>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</si>
  <si>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</si>
  <si>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</si>
  <si>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</si>
  <si>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</si>
  <si>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</si>
  <si>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</si>
  <si>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</si>
  <si>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</si>
  <si>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</si>
  <si>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</si>
  <si>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</si>
  <si>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</si>
  <si>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</si>
  <si>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</si>
  <si>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</si>
  <si>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</si>
  <si>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</si>
  <si>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</si>
  <si>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</si>
  <si>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</si>
  <si>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</si>
  <si>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</si>
  <si>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</si>
  <si>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</si>
  <si>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</si>
  <si>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</si>
  <si>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</si>
  <si>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</si>
  <si>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</si>
  <si>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</si>
  <si>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</si>
  <si>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</si>
  <si>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</si>
  <si>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</si>
  <si>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</si>
  <si>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</si>
  <si>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</si>
  <si>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</si>
  <si>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</si>
  <si>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</si>
  <si>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</si>
  <si>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</si>
  <si>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</si>
  <si>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</si>
  <si>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</si>
  <si>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</si>
  <si>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</si>
  <si>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</si>
  <si>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</si>
  <si>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</si>
  <si>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</si>
  <si>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</si>
  <si>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</si>
  <si>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</si>
  <si>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</si>
  <si>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</si>
  <si>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</si>
  <si>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</si>
  <si>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</si>
  <si>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</si>
  <si>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</si>
  <si>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</si>
  <si>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</si>
  <si>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</si>
  <si>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</si>
  <si>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</si>
  <si>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</si>
  <si>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</si>
  <si>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</si>
  <si>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</si>
  <si>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</si>
  <si>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</si>
  <si>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</si>
  <si>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</si>
  <si>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</si>
  <si>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</si>
  <si>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</si>
  <si>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</si>
  <si>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</si>
  <si>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</si>
  <si>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</si>
  <si>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</si>
  <si>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</si>
  <si>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</si>
  <si>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</si>
  <si>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</si>
  <si>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</si>
  <si>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</si>
  <si>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</si>
  <si>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</si>
  <si>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</si>
  <si>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</si>
  <si>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</si>
  <si>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</si>
  <si>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</si>
  <si>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</si>
  <si>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</si>
  <si>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</si>
  <si>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</si>
  <si>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</si>
  <si>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</si>
  <si>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</si>
  <si>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</si>
  <si>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</si>
  <si>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</si>
  <si>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</si>
  <si>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</si>
  <si>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</si>
  <si>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</si>
  <si>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</si>
  <si>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</si>
  <si>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</si>
  <si>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</si>
  <si>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</si>
  <si>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</si>
  <si>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</si>
  <si>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</si>
  <si>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</si>
  <si>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</si>
  <si>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</si>
  <si>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</si>
  <si>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</si>
  <si>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</si>
  <si>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</si>
  <si>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</si>
  <si>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</si>
  <si>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</si>
  <si>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</si>
  <si>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</si>
  <si>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</si>
  <si>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</si>
  <si>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</si>
  <si>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</si>
  <si>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</si>
  <si>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</si>
  <si>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</si>
  <si>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</si>
  <si>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</si>
  <si>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</si>
  <si>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</si>
  <si>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</si>
  <si>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</si>
  <si>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</si>
  <si>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</si>
  <si>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</si>
  <si>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</si>
  <si>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</si>
  <si>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</si>
  <si>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</si>
  <si>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</si>
  <si>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</si>
  <si>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</si>
  <si>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</si>
  <si>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</si>
  <si>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</si>
  <si>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</si>
  <si>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</si>
  <si>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</si>
  <si>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</si>
  <si>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</si>
  <si>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</si>
  <si>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</si>
  <si>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</si>
  <si>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</si>
  <si>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</si>
  <si>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</si>
  <si>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</si>
  <si>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</si>
  <si>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</si>
  <si>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</si>
  <si>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</si>
  <si>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</si>
  <si>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</si>
  <si>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</si>
  <si>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</si>
  <si>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</si>
  <si>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</si>
  <si>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</si>
  <si>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</si>
  <si>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</si>
  <si>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</si>
  <si>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</si>
  <si>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</si>
  <si>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</si>
  <si>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</si>
  <si>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</si>
  <si>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</si>
  <si>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</si>
  <si>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</si>
  <si>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</si>
  <si>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</si>
  <si>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</si>
  <si>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</si>
  <si>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</si>
  <si>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</si>
  <si>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</si>
  <si>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</si>
  <si>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</si>
  <si>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</si>
  <si>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</si>
  <si>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</si>
  <si>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</si>
  <si>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</si>
  <si>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</si>
  <si>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</si>
  <si>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</si>
  <si>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</si>
  <si>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</si>
  <si>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</si>
  <si>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</si>
  <si>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</si>
  <si>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</si>
  <si>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</si>
  <si>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</si>
  <si>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</si>
  <si>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</si>
  <si>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</si>
  <si>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</si>
  <si>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</si>
  <si>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</si>
  <si>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</si>
  <si>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</si>
  <si>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</si>
  <si>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</si>
  <si>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</si>
  <si>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</si>
  <si>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</si>
  <si>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</si>
  <si>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</si>
  <si>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</si>
  <si>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</si>
  <si>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</si>
  <si>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</si>
  <si>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</si>
  <si>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</si>
  <si>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</si>
  <si>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</si>
  <si>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</si>
  <si>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</si>
  <si>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</si>
  <si>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</si>
  <si>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</si>
  <si>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</si>
  <si>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</si>
  <si>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</si>
  <si>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</si>
  <si>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</si>
  <si>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</si>
  <si>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</si>
  <si>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</si>
  <si>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</si>
  <si>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</si>
  <si>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</si>
  <si>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</si>
  <si>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</si>
  <si>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</si>
  <si>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</si>
  <si>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</si>
  <si>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</si>
  <si>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</si>
  <si>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</si>
  <si>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</si>
  <si>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</si>
  <si>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</si>
  <si>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</si>
  <si>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</si>
  <si>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</si>
  <si>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</si>
  <si>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</si>
  <si>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</si>
  <si>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</si>
  <si>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</si>
  <si>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</si>
  <si>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</si>
  <si>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</si>
  <si>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</si>
  <si>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</si>
  <si>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</si>
  <si>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</si>
  <si>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</si>
  <si>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</si>
  <si>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</si>
  <si>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</si>
  <si>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</si>
  <si>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</si>
  <si>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</si>
  <si>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</si>
  <si>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</si>
  <si>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</si>
  <si>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</si>
  <si>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</si>
  <si>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</si>
  <si>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</si>
  <si>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</si>
  <si>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</si>
  <si>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</si>
  <si>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</si>
  <si>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</si>
  <si>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</si>
  <si>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</si>
  <si>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</si>
  <si>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</si>
  <si>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</si>
  <si>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</si>
  <si>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</si>
  <si>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</si>
  <si>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</si>
  <si>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</si>
  <si>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</si>
  <si>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</si>
  <si>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</si>
  <si>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</si>
  <si>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</si>
  <si>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</si>
  <si>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</si>
  <si>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</si>
  <si>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</si>
  <si>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</si>
  <si>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</si>
  <si>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</si>
  <si>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</si>
  <si>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</si>
  <si>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</si>
  <si>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</si>
  <si>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</si>
  <si>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</si>
  <si>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</si>
  <si>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</si>
  <si>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</si>
  <si>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</si>
  <si>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</si>
  <si>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</si>
  <si>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</si>
  <si>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</si>
  <si>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</si>
  <si>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</si>
  <si>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</si>
  <si>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</si>
  <si>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</si>
  <si>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</si>
  <si>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</si>
  <si>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</si>
  <si>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</si>
  <si>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</si>
  <si>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</si>
  <si>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</si>
  <si>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</si>
  <si>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</si>
  <si>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</si>
  <si>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</si>
  <si>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</si>
  <si>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</si>
  <si>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</si>
  <si>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</si>
  <si>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</si>
  <si>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</si>
  <si>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</si>
  <si>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</si>
  <si>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</si>
  <si>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</si>
  <si>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</si>
  <si>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</si>
  <si>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</si>
  <si>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</si>
  <si>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</si>
  <si>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</si>
  <si>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</si>
  <si>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</si>
  <si>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</si>
  <si>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</si>
  <si>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</si>
  <si>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</si>
  <si>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</si>
  <si>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</si>
  <si>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</si>
  <si>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</si>
  <si>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</si>
  <si>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</si>
  <si>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</si>
  <si>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</si>
  <si>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</si>
  <si>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</si>
  <si>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</si>
  <si>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</si>
  <si>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</si>
  <si>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</si>
  <si>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</si>
  <si>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</si>
  <si>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</si>
  <si>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</si>
  <si>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</si>
  <si>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</si>
  <si>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</si>
  <si>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</si>
  <si>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</si>
  <si>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</si>
  <si>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</si>
  <si>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</si>
  <si>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</si>
  <si>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</si>
  <si>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</si>
  <si>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</si>
  <si>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</si>
  <si>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</si>
  <si>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</si>
  <si>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</si>
  <si>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</si>
  <si>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</si>
  <si>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</si>
  <si>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</si>
  <si>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</si>
  <si>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</si>
  <si>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</si>
  <si>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</si>
  <si>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</si>
  <si>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</si>
  <si>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</si>
  <si>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</si>
  <si>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</si>
  <si>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</si>
  <si>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</si>
  <si>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</si>
  <si>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</si>
  <si>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</si>
  <si>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</si>
  <si>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</si>
  <si>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</si>
  <si>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</si>
  <si>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</si>
  <si>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</si>
  <si>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</si>
  <si>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</si>
  <si>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</si>
  <si>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</si>
  <si>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</si>
  <si>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</si>
  <si>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</si>
  <si>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</si>
  <si>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</si>
  <si>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</si>
  <si>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</si>
  <si>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</si>
  <si>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</si>
  <si>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</si>
  <si>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</si>
  <si>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</si>
  <si>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</si>
  <si>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</si>
  <si>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</si>
  <si>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</si>
  <si>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</si>
  <si>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</si>
  <si>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</si>
  <si>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</si>
  <si>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</si>
  <si>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</si>
  <si>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</si>
  <si>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</si>
  <si>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</si>
  <si>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</si>
  <si>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</si>
  <si>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</si>
  <si>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</si>
  <si>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</si>
  <si>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</si>
  <si>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</si>
  <si>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</si>
  <si>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</si>
  <si>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</si>
  <si>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</si>
  <si>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</si>
  <si>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</si>
  <si>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</si>
  <si>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</si>
  <si>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</si>
  <si>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</si>
  <si>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</si>
  <si>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</si>
  <si>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</si>
  <si>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</si>
  <si>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</si>
  <si>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</si>
  <si>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</si>
  <si>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</si>
  <si>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</si>
  <si>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</si>
  <si>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</si>
  <si>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</si>
  <si>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</si>
  <si>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</si>
  <si>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</si>
  <si>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</si>
  <si>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</si>
  <si>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</si>
  <si>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</si>
  <si>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</si>
  <si>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</si>
  <si>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</si>
  <si>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</si>
  <si>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</si>
  <si>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</si>
  <si>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</si>
  <si>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</si>
  <si>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</si>
  <si>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</si>
  <si>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</si>
  <si>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</si>
  <si>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</si>
  <si>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</si>
  <si>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</si>
  <si>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</si>
  <si>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</si>
  <si>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</si>
  <si>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</si>
  <si>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</si>
  <si>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</si>
  <si>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</si>
  <si>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</si>
  <si>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</si>
  <si>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</si>
  <si>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</si>
  <si>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</si>
  <si>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</si>
  <si>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</si>
  <si>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</si>
  <si>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</si>
  <si>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</si>
  <si>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</si>
  <si>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</si>
  <si>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</si>
  <si>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</si>
  <si>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</si>
  <si>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12002</t>
  </si>
  <si>
    <t>BERLAAR</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</si>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</sst>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4B8F748-4212-4E00-B778-6F10BEA109D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12002</v>
      </c>
      <c r="B6" s="384"/>
      <c r="C6" s="385"/>
    </row>
    <row r="7" spans="1:7" s="382" customFormat="1" ht="15.75" customHeight="1">
      <c r="A7" s="386" t="str">
        <f>txtMunicipality</f>
        <v>BERLAAR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10606.115143828309</v>
      </c>
      <c r="D10" s="674">
        <f ca="1">tertiair!C16</f>
        <v>0</v>
      </c>
      <c r="E10" s="674">
        <f ca="1">tertiair!D16</f>
        <v>11001.131469827669</v>
      </c>
      <c r="F10" s="674">
        <f>tertiair!E16</f>
        <v>95.908651424507838</v>
      </c>
      <c r="G10" s="674">
        <f ca="1">tertiair!F16</f>
        <v>1938.1235947358578</v>
      </c>
      <c r="H10" s="674">
        <f>tertiair!G16</f>
        <v>0</v>
      </c>
      <c r="I10" s="674">
        <f>tertiair!H16</f>
        <v>0</v>
      </c>
      <c r="J10" s="674">
        <f>tertiair!I16</f>
        <v>0</v>
      </c>
      <c r="K10" s="674">
        <f>tertiair!J16</f>
        <v>0</v>
      </c>
      <c r="L10" s="674">
        <f>tertiair!K16</f>
        <v>0</v>
      </c>
      <c r="M10" s="674">
        <f ca="1">tertiair!L16</f>
        <v>0</v>
      </c>
      <c r="N10" s="674">
        <f>tertiair!M16</f>
        <v>0</v>
      </c>
      <c r="O10" s="674">
        <f ca="1">tertiair!N16</f>
        <v>741.26973392649211</v>
      </c>
      <c r="P10" s="674">
        <f>tertiair!O16</f>
        <v>0</v>
      </c>
      <c r="Q10" s="675">
        <f>tertiair!P16</f>
        <v>0</v>
      </c>
      <c r="R10" s="677">
        <f ca="1">SUM(C10:Q10)</f>
        <v>24382.548593742835</v>
      </c>
      <c r="S10" s="68"/>
    </row>
    <row r="11" spans="1:19" s="443" customFormat="1">
      <c r="A11" s="789" t="s">
        <v>214</v>
      </c>
      <c r="B11" s="794"/>
      <c r="C11" s="674">
        <f>huishoudens!B8</f>
        <v>19194.452223341494</v>
      </c>
      <c r="D11" s="674">
        <f>huishoudens!C8</f>
        <v>0</v>
      </c>
      <c r="E11" s="674">
        <f>huishoudens!D8</f>
        <v>52842.321688003569</v>
      </c>
      <c r="F11" s="674">
        <f>huishoudens!E8</f>
        <v>838.01943783471961</v>
      </c>
      <c r="G11" s="674">
        <f>huishoudens!F8</f>
        <v>25548.779641214758</v>
      </c>
      <c r="H11" s="674">
        <f>huishoudens!G8</f>
        <v>0</v>
      </c>
      <c r="I11" s="674">
        <f>huishoudens!H8</f>
        <v>0</v>
      </c>
      <c r="J11" s="674">
        <f>huishoudens!I8</f>
        <v>0</v>
      </c>
      <c r="K11" s="674">
        <f>huishoudens!J8</f>
        <v>463.57370422401317</v>
      </c>
      <c r="L11" s="674">
        <f>huishoudens!K8</f>
        <v>0</v>
      </c>
      <c r="M11" s="674">
        <f>huishoudens!L8</f>
        <v>0</v>
      </c>
      <c r="N11" s="674">
        <f>huishoudens!M8</f>
        <v>0</v>
      </c>
      <c r="O11" s="674">
        <f>huishoudens!N8</f>
        <v>6290.3582870583277</v>
      </c>
      <c r="P11" s="674">
        <f>huishoudens!O8</f>
        <v>53.153333333333336</v>
      </c>
      <c r="Q11" s="675">
        <f>huishoudens!P8</f>
        <v>247.86666666666667</v>
      </c>
      <c r="R11" s="677">
        <f>SUM(C11:Q11)</f>
        <v>105478.52498167689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1842.2882811790728</v>
      </c>
      <c r="D13" s="674">
        <f>industrie!C18</f>
        <v>0</v>
      </c>
      <c r="E13" s="674">
        <f>industrie!D18</f>
        <v>1787.3493438147179</v>
      </c>
      <c r="F13" s="674">
        <f>industrie!E18</f>
        <v>13.843625039823568</v>
      </c>
      <c r="G13" s="674">
        <f>industrie!F18</f>
        <v>886.43896542084724</v>
      </c>
      <c r="H13" s="674">
        <f>industrie!G18</f>
        <v>0</v>
      </c>
      <c r="I13" s="674">
        <f>industrie!H18</f>
        <v>0</v>
      </c>
      <c r="J13" s="674">
        <f>industrie!I18</f>
        <v>0</v>
      </c>
      <c r="K13" s="674">
        <f>industrie!J18</f>
        <v>4.1351191195135932</v>
      </c>
      <c r="L13" s="674">
        <f>industrie!K18</f>
        <v>0</v>
      </c>
      <c r="M13" s="674">
        <f>industrie!L18</f>
        <v>0</v>
      </c>
      <c r="N13" s="674">
        <f>industrie!M18</f>
        <v>0</v>
      </c>
      <c r="O13" s="674">
        <f>industrie!N18</f>
        <v>91.570487681909967</v>
      </c>
      <c r="P13" s="674">
        <f>industrie!O18</f>
        <v>0</v>
      </c>
      <c r="Q13" s="675">
        <f>industrie!P18</f>
        <v>0</v>
      </c>
      <c r="R13" s="677">
        <f>SUM(C13:Q13)</f>
        <v>4625.6258222558854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31642.855648348876</v>
      </c>
      <c r="D16" s="707">
        <f t="shared" ref="D16:R16" ca="1" si="0">SUM(D9:D15)</f>
        <v>0</v>
      </c>
      <c r="E16" s="707">
        <f t="shared" ca="1" si="0"/>
        <v>65630.802501645958</v>
      </c>
      <c r="F16" s="707">
        <f t="shared" si="0"/>
        <v>947.77171429905104</v>
      </c>
      <c r="G16" s="707">
        <f t="shared" ca="1" si="0"/>
        <v>28373.342201371463</v>
      </c>
      <c r="H16" s="707">
        <f t="shared" si="0"/>
        <v>0</v>
      </c>
      <c r="I16" s="707">
        <f t="shared" si="0"/>
        <v>0</v>
      </c>
      <c r="J16" s="707">
        <f t="shared" si="0"/>
        <v>0</v>
      </c>
      <c r="K16" s="707">
        <f t="shared" si="0"/>
        <v>467.70882334352677</v>
      </c>
      <c r="L16" s="707">
        <f t="shared" si="0"/>
        <v>0</v>
      </c>
      <c r="M16" s="707">
        <f t="shared" ca="1" si="0"/>
        <v>0</v>
      </c>
      <c r="N16" s="707">
        <f t="shared" si="0"/>
        <v>0</v>
      </c>
      <c r="O16" s="707">
        <f t="shared" ca="1" si="0"/>
        <v>7123.19850866673</v>
      </c>
      <c r="P16" s="707">
        <f t="shared" si="0"/>
        <v>53.153333333333336</v>
      </c>
      <c r="Q16" s="707">
        <f t="shared" si="0"/>
        <v>247.86666666666667</v>
      </c>
      <c r="R16" s="707">
        <f t="shared" ca="1" si="0"/>
        <v>134486.69939767561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2.5907062060528361</v>
      </c>
      <c r="D19" s="674">
        <f>transport!C54</f>
        <v>0</v>
      </c>
      <c r="E19" s="674">
        <f>transport!D54</f>
        <v>0</v>
      </c>
      <c r="F19" s="674">
        <f>transport!E54</f>
        <v>0</v>
      </c>
      <c r="G19" s="674">
        <f>transport!F54</f>
        <v>0</v>
      </c>
      <c r="H19" s="674">
        <f>transport!G54</f>
        <v>516.72146054382063</v>
      </c>
      <c r="I19" s="674">
        <f>transport!H54</f>
        <v>0</v>
      </c>
      <c r="J19" s="674">
        <f>transport!I54</f>
        <v>0</v>
      </c>
      <c r="K19" s="674">
        <f>transport!J54</f>
        <v>0</v>
      </c>
      <c r="L19" s="674">
        <f>transport!K54</f>
        <v>0</v>
      </c>
      <c r="M19" s="674">
        <f>transport!L54</f>
        <v>0</v>
      </c>
      <c r="N19" s="674">
        <f>transport!M54</f>
        <v>22.838538216788869</v>
      </c>
      <c r="O19" s="674">
        <f>transport!N54</f>
        <v>0</v>
      </c>
      <c r="P19" s="674">
        <f>transport!O54</f>
        <v>0</v>
      </c>
      <c r="Q19" s="675">
        <f>transport!P54</f>
        <v>0</v>
      </c>
      <c r="R19" s="677">
        <f>SUM(C19:Q19)</f>
        <v>542.15070496666226</v>
      </c>
      <c r="S19" s="68"/>
    </row>
    <row r="20" spans="1:19" s="443" customFormat="1">
      <c r="A20" s="789" t="s">
        <v>296</v>
      </c>
      <c r="B20" s="794"/>
      <c r="C20" s="674">
        <f>transport!B14</f>
        <v>2.3506107403933818</v>
      </c>
      <c r="D20" s="674">
        <f>transport!C14</f>
        <v>0</v>
      </c>
      <c r="E20" s="674">
        <f>transport!D14</f>
        <v>2.907835570563293</v>
      </c>
      <c r="F20" s="674">
        <f>transport!E14</f>
        <v>186.74478233601275</v>
      </c>
      <c r="G20" s="674">
        <f>transport!F14</f>
        <v>0</v>
      </c>
      <c r="H20" s="674">
        <f>transport!G14</f>
        <v>35491.404613698549</v>
      </c>
      <c r="I20" s="674">
        <f>transport!H14</f>
        <v>7029.7674575254623</v>
      </c>
      <c r="J20" s="674">
        <f>transport!I14</f>
        <v>0</v>
      </c>
      <c r="K20" s="674">
        <f>transport!J14</f>
        <v>0</v>
      </c>
      <c r="L20" s="674">
        <f>transport!K14</f>
        <v>0</v>
      </c>
      <c r="M20" s="674">
        <f>transport!L14</f>
        <v>0</v>
      </c>
      <c r="N20" s="674">
        <f>transport!M14</f>
        <v>1901.2158559518548</v>
      </c>
      <c r="O20" s="674">
        <f>transport!N14</f>
        <v>0</v>
      </c>
      <c r="P20" s="674">
        <f>transport!O14</f>
        <v>0</v>
      </c>
      <c r="Q20" s="675">
        <f>transport!P14</f>
        <v>0</v>
      </c>
      <c r="R20" s="677">
        <f>SUM(C20:Q20)</f>
        <v>44614.391155822843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4.9413169464462179</v>
      </c>
      <c r="D22" s="792">
        <f t="shared" ref="D22:R22" si="1">SUM(D18:D21)</f>
        <v>0</v>
      </c>
      <c r="E22" s="792">
        <f t="shared" si="1"/>
        <v>2.907835570563293</v>
      </c>
      <c r="F22" s="792">
        <f t="shared" si="1"/>
        <v>186.74478233601275</v>
      </c>
      <c r="G22" s="792">
        <f t="shared" si="1"/>
        <v>0</v>
      </c>
      <c r="H22" s="792">
        <f t="shared" si="1"/>
        <v>36008.126074242369</v>
      </c>
      <c r="I22" s="792">
        <f t="shared" si="1"/>
        <v>7029.7674575254623</v>
      </c>
      <c r="J22" s="792">
        <f t="shared" si="1"/>
        <v>0</v>
      </c>
      <c r="K22" s="792">
        <f t="shared" si="1"/>
        <v>0</v>
      </c>
      <c r="L22" s="792">
        <f t="shared" si="1"/>
        <v>0</v>
      </c>
      <c r="M22" s="792">
        <f t="shared" si="1"/>
        <v>0</v>
      </c>
      <c r="N22" s="792">
        <f t="shared" si="1"/>
        <v>1924.0543941686437</v>
      </c>
      <c r="O22" s="792">
        <f t="shared" si="1"/>
        <v>0</v>
      </c>
      <c r="P22" s="792">
        <f t="shared" si="1"/>
        <v>0</v>
      </c>
      <c r="Q22" s="792">
        <f t="shared" si="1"/>
        <v>0</v>
      </c>
      <c r="R22" s="792">
        <f t="shared" si="1"/>
        <v>45156.541860789504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828.78441682868436</v>
      </c>
      <c r="D24" s="674">
        <f>+landbouw!C8</f>
        <v>32708.571428571431</v>
      </c>
      <c r="E24" s="674">
        <f>+landbouw!D8</f>
        <v>10222.339847568088</v>
      </c>
      <c r="F24" s="674">
        <f>+landbouw!E8</f>
        <v>7.8077045103011669</v>
      </c>
      <c r="G24" s="674">
        <f>+landbouw!F8</f>
        <v>2704.5986015042076</v>
      </c>
      <c r="H24" s="674">
        <f>+landbouw!G8</f>
        <v>0</v>
      </c>
      <c r="I24" s="674">
        <f>+landbouw!H8</f>
        <v>0</v>
      </c>
      <c r="J24" s="674">
        <f>+landbouw!I8</f>
        <v>0</v>
      </c>
      <c r="K24" s="674">
        <f>+landbouw!J8</f>
        <v>102.52466356833736</v>
      </c>
      <c r="L24" s="674">
        <f>+landbouw!K8</f>
        <v>0</v>
      </c>
      <c r="M24" s="674">
        <f>+landbouw!L8</f>
        <v>0</v>
      </c>
      <c r="N24" s="674">
        <f>+landbouw!M8</f>
        <v>0</v>
      </c>
      <c r="O24" s="674">
        <f>+landbouw!N8</f>
        <v>0</v>
      </c>
      <c r="P24" s="674">
        <f>+landbouw!O8</f>
        <v>0</v>
      </c>
      <c r="Q24" s="675">
        <f>+landbouw!P8</f>
        <v>0</v>
      </c>
      <c r="R24" s="677">
        <f>SUM(C24:Q24)</f>
        <v>46574.626662551047</v>
      </c>
      <c r="S24" s="68"/>
    </row>
    <row r="25" spans="1:19" s="443" customFormat="1" ht="15" thickBot="1">
      <c r="A25" s="811" t="s">
        <v>873</v>
      </c>
      <c r="B25" s="977"/>
      <c r="C25" s="978">
        <f>IF(Onbekend_ele_kWh="---",0,Onbekend_ele_kWh)/1000+IF(REST_rest_ele_kWh="---",0,REST_rest_ele_kWh)/1000</f>
        <v>1519.6310344384799</v>
      </c>
      <c r="D25" s="978"/>
      <c r="E25" s="978">
        <f>IF(onbekend_gas_kWh="---",0,onbekend_gas_kWh)/1000+IF(REST_rest_gas_kWh="---",0,REST_rest_gas_kWh)/1000</f>
        <v>2156.5281151737499</v>
      </c>
      <c r="F25" s="978"/>
      <c r="G25" s="978"/>
      <c r="H25" s="978"/>
      <c r="I25" s="978"/>
      <c r="J25" s="978"/>
      <c r="K25" s="978"/>
      <c r="L25" s="978"/>
      <c r="M25" s="978"/>
      <c r="N25" s="978"/>
      <c r="O25" s="978"/>
      <c r="P25" s="978"/>
      <c r="Q25" s="979"/>
      <c r="R25" s="677">
        <f>SUM(C25:Q25)</f>
        <v>3676.1591496122301</v>
      </c>
      <c r="S25" s="68"/>
    </row>
    <row r="26" spans="1:19" s="443" customFormat="1" ht="15.75" thickBot="1">
      <c r="A26" s="680" t="s">
        <v>874</v>
      </c>
      <c r="B26" s="797"/>
      <c r="C26" s="792">
        <f>SUM(C24:C25)</f>
        <v>2348.4154512671644</v>
      </c>
      <c r="D26" s="792">
        <f t="shared" ref="D26:R26" si="2">SUM(D24:D25)</f>
        <v>32708.571428571431</v>
      </c>
      <c r="E26" s="792">
        <f t="shared" si="2"/>
        <v>12378.867962741839</v>
      </c>
      <c r="F26" s="792">
        <f t="shared" si="2"/>
        <v>7.8077045103011669</v>
      </c>
      <c r="G26" s="792">
        <f t="shared" si="2"/>
        <v>2704.5986015042076</v>
      </c>
      <c r="H26" s="792">
        <f t="shared" si="2"/>
        <v>0</v>
      </c>
      <c r="I26" s="792">
        <f t="shared" si="2"/>
        <v>0</v>
      </c>
      <c r="J26" s="792">
        <f t="shared" si="2"/>
        <v>0</v>
      </c>
      <c r="K26" s="792">
        <f t="shared" si="2"/>
        <v>102.52466356833736</v>
      </c>
      <c r="L26" s="792">
        <f t="shared" si="2"/>
        <v>0</v>
      </c>
      <c r="M26" s="792">
        <f t="shared" si="2"/>
        <v>0</v>
      </c>
      <c r="N26" s="792">
        <f t="shared" si="2"/>
        <v>0</v>
      </c>
      <c r="O26" s="792">
        <f t="shared" si="2"/>
        <v>0</v>
      </c>
      <c r="P26" s="792">
        <f t="shared" si="2"/>
        <v>0</v>
      </c>
      <c r="Q26" s="792">
        <f t="shared" si="2"/>
        <v>0</v>
      </c>
      <c r="R26" s="792">
        <f t="shared" si="2"/>
        <v>50250.785812163274</v>
      </c>
      <c r="S26" s="68"/>
    </row>
    <row r="27" spans="1:19" s="443" customFormat="1" ht="17.25" thickTop="1" thickBot="1">
      <c r="A27" s="681" t="s">
        <v>109</v>
      </c>
      <c r="B27" s="784"/>
      <c r="C27" s="682">
        <f ca="1">C22+C16+C26</f>
        <v>33996.212416562485</v>
      </c>
      <c r="D27" s="682">
        <f t="shared" ref="D27:R27" ca="1" si="3">D22+D16+D26</f>
        <v>32708.571428571431</v>
      </c>
      <c r="E27" s="682">
        <f t="shared" ca="1" si="3"/>
        <v>78012.578299958346</v>
      </c>
      <c r="F27" s="682">
        <f t="shared" si="3"/>
        <v>1142.3242011453649</v>
      </c>
      <c r="G27" s="682">
        <f t="shared" ca="1" si="3"/>
        <v>31077.94080287567</v>
      </c>
      <c r="H27" s="682">
        <f t="shared" si="3"/>
        <v>36008.126074242369</v>
      </c>
      <c r="I27" s="682">
        <f t="shared" si="3"/>
        <v>7029.7674575254623</v>
      </c>
      <c r="J27" s="682">
        <f t="shared" si="3"/>
        <v>0</v>
      </c>
      <c r="K27" s="682">
        <f t="shared" si="3"/>
        <v>570.23348691186413</v>
      </c>
      <c r="L27" s="682">
        <f t="shared" si="3"/>
        <v>0</v>
      </c>
      <c r="M27" s="682">
        <f t="shared" ca="1" si="3"/>
        <v>0</v>
      </c>
      <c r="N27" s="682">
        <f t="shared" si="3"/>
        <v>1924.0543941686437</v>
      </c>
      <c r="O27" s="682">
        <f t="shared" ca="1" si="3"/>
        <v>7123.19850866673</v>
      </c>
      <c r="P27" s="682">
        <f t="shared" si="3"/>
        <v>53.153333333333336</v>
      </c>
      <c r="Q27" s="682">
        <f t="shared" si="3"/>
        <v>247.86666666666667</v>
      </c>
      <c r="R27" s="682">
        <f t="shared" ca="1" si="3"/>
        <v>229894.02707062836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2332.3597319302385</v>
      </c>
      <c r="D40" s="674">
        <f ca="1">tertiair!C20</f>
        <v>0</v>
      </c>
      <c r="E40" s="674">
        <f ca="1">tertiair!D20</f>
        <v>2222.2285569051892</v>
      </c>
      <c r="F40" s="674">
        <f>tertiair!E20</f>
        <v>21.771263873363282</v>
      </c>
      <c r="G40" s="674">
        <f ca="1">tertiair!F20</f>
        <v>517.47899979447402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5093.8385525032645</v>
      </c>
    </row>
    <row r="41" spans="1:18">
      <c r="A41" s="802" t="s">
        <v>214</v>
      </c>
      <c r="B41" s="809"/>
      <c r="C41" s="674">
        <f ca="1">huishoudens!B12</f>
        <v>4220.9957967721302</v>
      </c>
      <c r="D41" s="674">
        <f ca="1">huishoudens!C12</f>
        <v>0</v>
      </c>
      <c r="E41" s="674">
        <f>huishoudens!D12</f>
        <v>10674.148980976721</v>
      </c>
      <c r="F41" s="674">
        <f>huishoudens!E12</f>
        <v>190.23041238848137</v>
      </c>
      <c r="G41" s="674">
        <f>huishoudens!F12</f>
        <v>6821.5241642043411</v>
      </c>
      <c r="H41" s="674">
        <f>huishoudens!G12</f>
        <v>0</v>
      </c>
      <c r="I41" s="674">
        <f>huishoudens!H12</f>
        <v>0</v>
      </c>
      <c r="J41" s="674">
        <f>huishoudens!I12</f>
        <v>0</v>
      </c>
      <c r="K41" s="674">
        <f>huishoudens!J12</f>
        <v>164.10509129530067</v>
      </c>
      <c r="L41" s="674">
        <f>huishoudens!K12</f>
        <v>0</v>
      </c>
      <c r="M41" s="674">
        <f>huishoudens!L12</f>
        <v>0</v>
      </c>
      <c r="N41" s="674">
        <f>huishoudens!M12</f>
        <v>0</v>
      </c>
      <c r="O41" s="674">
        <f>huishoudens!N12</f>
        <v>0</v>
      </c>
      <c r="P41" s="674">
        <f>huishoudens!O12</f>
        <v>0</v>
      </c>
      <c r="Q41" s="749">
        <f>huishoudens!P12</f>
        <v>0</v>
      </c>
      <c r="R41" s="830">
        <f t="shared" ca="1" si="4"/>
        <v>22071.004445636972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405.13222262435954</v>
      </c>
      <c r="D43" s="674">
        <f ca="1">industrie!C22</f>
        <v>0</v>
      </c>
      <c r="E43" s="674">
        <f>industrie!D22</f>
        <v>361.04456745057303</v>
      </c>
      <c r="F43" s="674">
        <f>industrie!E22</f>
        <v>3.14250288403995</v>
      </c>
      <c r="G43" s="674">
        <f>industrie!F22</f>
        <v>236.67920376736623</v>
      </c>
      <c r="H43" s="674">
        <f>industrie!G22</f>
        <v>0</v>
      </c>
      <c r="I43" s="674">
        <f>industrie!H22</f>
        <v>0</v>
      </c>
      <c r="J43" s="674">
        <f>industrie!I22</f>
        <v>0</v>
      </c>
      <c r="K43" s="674">
        <f>industrie!J22</f>
        <v>1.4638321683078119</v>
      </c>
      <c r="L43" s="674">
        <f>industrie!K22</f>
        <v>0</v>
      </c>
      <c r="M43" s="674">
        <f>industrie!L22</f>
        <v>0</v>
      </c>
      <c r="N43" s="674">
        <f>industrie!M22</f>
        <v>0</v>
      </c>
      <c r="O43" s="674">
        <f>industrie!N22</f>
        <v>0</v>
      </c>
      <c r="P43" s="674">
        <f>industrie!O22</f>
        <v>0</v>
      </c>
      <c r="Q43" s="749">
        <f>industrie!P22</f>
        <v>0</v>
      </c>
      <c r="R43" s="829">
        <f t="shared" ca="1" si="4"/>
        <v>1007.4623288946466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6958.4877513267274</v>
      </c>
      <c r="D46" s="707">
        <f t="shared" ref="D46:Q46" ca="1" si="5">SUM(D39:D45)</f>
        <v>0</v>
      </c>
      <c r="E46" s="707">
        <f t="shared" ca="1" si="5"/>
        <v>13257.422105332484</v>
      </c>
      <c r="F46" s="707">
        <f t="shared" si="5"/>
        <v>215.14417914588458</v>
      </c>
      <c r="G46" s="707">
        <f t="shared" ca="1" si="5"/>
        <v>7575.6823677661814</v>
      </c>
      <c r="H46" s="707">
        <f t="shared" si="5"/>
        <v>0</v>
      </c>
      <c r="I46" s="707">
        <f t="shared" si="5"/>
        <v>0</v>
      </c>
      <c r="J46" s="707">
        <f t="shared" si="5"/>
        <v>0</v>
      </c>
      <c r="K46" s="707">
        <f t="shared" si="5"/>
        <v>165.56892346360848</v>
      </c>
      <c r="L46" s="707">
        <f t="shared" si="5"/>
        <v>0</v>
      </c>
      <c r="M46" s="707">
        <f t="shared" ca="1" si="5"/>
        <v>0</v>
      </c>
      <c r="N46" s="707">
        <f t="shared" si="5"/>
        <v>0</v>
      </c>
      <c r="O46" s="707">
        <f t="shared" ca="1" si="5"/>
        <v>0</v>
      </c>
      <c r="P46" s="707">
        <f t="shared" si="5"/>
        <v>0</v>
      </c>
      <c r="Q46" s="707">
        <f t="shared" si="5"/>
        <v>0</v>
      </c>
      <c r="R46" s="707">
        <f ca="1">SUM(R39:R45)</f>
        <v>28172.305327034883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0.5697146174936164</v>
      </c>
      <c r="D49" s="674">
        <f ca="1">transport!C58</f>
        <v>0</v>
      </c>
      <c r="E49" s="674">
        <f>transport!D58</f>
        <v>0</v>
      </c>
      <c r="F49" s="674">
        <f>transport!E58</f>
        <v>0</v>
      </c>
      <c r="G49" s="674">
        <f>transport!F58</f>
        <v>0</v>
      </c>
      <c r="H49" s="674">
        <f>transport!G58</f>
        <v>137.96462996520012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138.53434458269373</v>
      </c>
    </row>
    <row r="50" spans="1:18">
      <c r="A50" s="805" t="s">
        <v>296</v>
      </c>
      <c r="B50" s="815"/>
      <c r="C50" s="984">
        <f ca="1">transport!B18</f>
        <v>0.51691592651872087</v>
      </c>
      <c r="D50" s="984">
        <f>transport!C18</f>
        <v>0</v>
      </c>
      <c r="E50" s="984">
        <f>transport!D18</f>
        <v>0.58738278525378518</v>
      </c>
      <c r="F50" s="984">
        <f>transport!E18</f>
        <v>42.391065590274899</v>
      </c>
      <c r="G50" s="984">
        <f>transport!F18</f>
        <v>0</v>
      </c>
      <c r="H50" s="984">
        <f>transport!G18</f>
        <v>9476.2050318575129</v>
      </c>
      <c r="I50" s="984">
        <f>transport!H18</f>
        <v>1750.4120969238402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11270.112493083401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1.0866305440123374</v>
      </c>
      <c r="D52" s="707">
        <f t="shared" ref="D52:Q52" ca="1" si="6">SUM(D48:D51)</f>
        <v>0</v>
      </c>
      <c r="E52" s="707">
        <f t="shared" si="6"/>
        <v>0.58738278525378518</v>
      </c>
      <c r="F52" s="707">
        <f t="shared" si="6"/>
        <v>42.391065590274899</v>
      </c>
      <c r="G52" s="707">
        <f t="shared" si="6"/>
        <v>0</v>
      </c>
      <c r="H52" s="707">
        <f t="shared" si="6"/>
        <v>9614.1696618227124</v>
      </c>
      <c r="I52" s="707">
        <f t="shared" si="6"/>
        <v>1750.4120969238402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11408.646837666094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182.25555484256026</v>
      </c>
      <c r="D54" s="984">
        <f ca="1">+landbouw!C12</f>
        <v>7773.0957983193293</v>
      </c>
      <c r="E54" s="984">
        <f>+landbouw!D12</f>
        <v>2064.9126492087539</v>
      </c>
      <c r="F54" s="984">
        <f>+landbouw!E12</f>
        <v>1.772348923838365</v>
      </c>
      <c r="G54" s="984">
        <f>+landbouw!F12</f>
        <v>722.1278266016235</v>
      </c>
      <c r="H54" s="984">
        <f>+landbouw!G12</f>
        <v>0</v>
      </c>
      <c r="I54" s="984">
        <f>+landbouw!H12</f>
        <v>0</v>
      </c>
      <c r="J54" s="984">
        <f>+landbouw!I12</f>
        <v>0</v>
      </c>
      <c r="K54" s="984">
        <f>+landbouw!J12</f>
        <v>36.293730903191424</v>
      </c>
      <c r="L54" s="984">
        <f>+landbouw!K12</f>
        <v>0</v>
      </c>
      <c r="M54" s="984">
        <f>+landbouw!L12</f>
        <v>0</v>
      </c>
      <c r="N54" s="984">
        <f>+landbouw!M12</f>
        <v>0</v>
      </c>
      <c r="O54" s="984">
        <f>+landbouw!N12</f>
        <v>0</v>
      </c>
      <c r="P54" s="984">
        <f>+landbouw!O12</f>
        <v>0</v>
      </c>
      <c r="Q54" s="985">
        <f>+landbouw!P12</f>
        <v>0</v>
      </c>
      <c r="R54" s="706">
        <f ca="1">SUM(C54:Q54)</f>
        <v>10780.457908799295</v>
      </c>
    </row>
    <row r="55" spans="1:18" ht="15" thickBot="1">
      <c r="A55" s="805" t="s">
        <v>873</v>
      </c>
      <c r="B55" s="815"/>
      <c r="C55" s="984">
        <f ca="1">C25*'EF ele_warmte'!B12</f>
        <v>334.17761207111209</v>
      </c>
      <c r="D55" s="984"/>
      <c r="E55" s="984">
        <f>E25*EF_CO2_aardgas</f>
        <v>435.61867926509751</v>
      </c>
      <c r="F55" s="984"/>
      <c r="G55" s="984"/>
      <c r="H55" s="984"/>
      <c r="I55" s="984"/>
      <c r="J55" s="984"/>
      <c r="K55" s="984"/>
      <c r="L55" s="984"/>
      <c r="M55" s="984"/>
      <c r="N55" s="984"/>
      <c r="O55" s="984"/>
      <c r="P55" s="984"/>
      <c r="Q55" s="985"/>
      <c r="R55" s="706">
        <f ca="1">SUM(C55:Q55)</f>
        <v>769.79629133620961</v>
      </c>
    </row>
    <row r="56" spans="1:18" ht="15.75" thickBot="1">
      <c r="A56" s="803" t="s">
        <v>874</v>
      </c>
      <c r="B56" s="816"/>
      <c r="C56" s="707">
        <f ca="1">SUM(C54:C55)</f>
        <v>516.43316691367238</v>
      </c>
      <c r="D56" s="707">
        <f t="shared" ref="D56:Q56" ca="1" si="7">SUM(D54:D55)</f>
        <v>7773.0957983193293</v>
      </c>
      <c r="E56" s="707">
        <f t="shared" si="7"/>
        <v>2500.5313284738513</v>
      </c>
      <c r="F56" s="707">
        <f t="shared" si="7"/>
        <v>1.772348923838365</v>
      </c>
      <c r="G56" s="707">
        <f t="shared" si="7"/>
        <v>722.1278266016235</v>
      </c>
      <c r="H56" s="707">
        <f t="shared" si="7"/>
        <v>0</v>
      </c>
      <c r="I56" s="707">
        <f t="shared" si="7"/>
        <v>0</v>
      </c>
      <c r="J56" s="707">
        <f t="shared" si="7"/>
        <v>0</v>
      </c>
      <c r="K56" s="707">
        <f t="shared" si="7"/>
        <v>36.293730903191424</v>
      </c>
      <c r="L56" s="707">
        <f t="shared" si="7"/>
        <v>0</v>
      </c>
      <c r="M56" s="707">
        <f t="shared" si="7"/>
        <v>0</v>
      </c>
      <c r="N56" s="707">
        <f t="shared" si="7"/>
        <v>0</v>
      </c>
      <c r="O56" s="707">
        <f t="shared" si="7"/>
        <v>0</v>
      </c>
      <c r="P56" s="707">
        <f t="shared" si="7"/>
        <v>0</v>
      </c>
      <c r="Q56" s="708">
        <f t="shared" si="7"/>
        <v>0</v>
      </c>
      <c r="R56" s="709">
        <f ca="1">SUM(R54:R55)</f>
        <v>11550.254200135505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7476.0075487844124</v>
      </c>
      <c r="D61" s="715">
        <f t="shared" ref="D61:Q61" ca="1" si="8">D46+D52+D56</f>
        <v>7773.0957983193293</v>
      </c>
      <c r="E61" s="715">
        <f t="shared" ca="1" si="8"/>
        <v>15758.540816591589</v>
      </c>
      <c r="F61" s="715">
        <f t="shared" si="8"/>
        <v>259.30759365999785</v>
      </c>
      <c r="G61" s="715">
        <f t="shared" ca="1" si="8"/>
        <v>8297.8101943678048</v>
      </c>
      <c r="H61" s="715">
        <f t="shared" si="8"/>
        <v>9614.1696618227124</v>
      </c>
      <c r="I61" s="715">
        <f t="shared" si="8"/>
        <v>1750.4120969238402</v>
      </c>
      <c r="J61" s="715">
        <f t="shared" si="8"/>
        <v>0</v>
      </c>
      <c r="K61" s="715">
        <f t="shared" si="8"/>
        <v>201.86265436679992</v>
      </c>
      <c r="L61" s="715">
        <f t="shared" si="8"/>
        <v>0</v>
      </c>
      <c r="M61" s="715">
        <f t="shared" ca="1" si="8"/>
        <v>0</v>
      </c>
      <c r="N61" s="715">
        <f t="shared" si="8"/>
        <v>0</v>
      </c>
      <c r="O61" s="715">
        <f t="shared" ca="1" si="8"/>
        <v>0</v>
      </c>
      <c r="P61" s="715">
        <f t="shared" si="8"/>
        <v>0</v>
      </c>
      <c r="Q61" s="715">
        <f t="shared" si="8"/>
        <v>0</v>
      </c>
      <c r="R61" s="715">
        <f ca="1">R46+R52+R56</f>
        <v>51131.206364836478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0.21990707250500072</v>
      </c>
      <c r="D63" s="759">
        <f t="shared" ca="1" si="9"/>
        <v>0.23764705882352943</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1892.7893850652754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22896</v>
      </c>
      <c r="D76" s="996">
        <f>'lokale energieproductie'!C8</f>
        <v>26936.470588235297</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5441.1670588235302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1892.7893850652754</v>
      </c>
      <c r="C78" s="730">
        <f>SUM(C72:C77)</f>
        <v>22896</v>
      </c>
      <c r="D78" s="731">
        <f t="shared" ref="D78:H78" si="10">SUM(D76:D77)</f>
        <v>26936.470588235297</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5441.1670588235302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32708.571428571431</v>
      </c>
      <c r="D87" s="752">
        <f>'lokale energieproductie'!C17</f>
        <v>38480.672268907569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7773.0957983193293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32708.571428571431</v>
      </c>
      <c r="D90" s="730">
        <f t="shared" ref="D90:H90" si="12">SUM(D87:D89)</f>
        <v>38480.672268907569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7773.0957983193293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19194.452223341494</v>
      </c>
      <c r="C4" s="447">
        <f>huishoudens!C8</f>
        <v>0</v>
      </c>
      <c r="D4" s="447">
        <f>huishoudens!D8</f>
        <v>52842.321688003569</v>
      </c>
      <c r="E4" s="447">
        <f>huishoudens!E8</f>
        <v>838.01943783471961</v>
      </c>
      <c r="F4" s="447">
        <f>huishoudens!F8</f>
        <v>25548.779641214758</v>
      </c>
      <c r="G4" s="447">
        <f>huishoudens!G8</f>
        <v>0</v>
      </c>
      <c r="H4" s="447">
        <f>huishoudens!H8</f>
        <v>0</v>
      </c>
      <c r="I4" s="447">
        <f>huishoudens!I8</f>
        <v>0</v>
      </c>
      <c r="J4" s="447">
        <f>huishoudens!J8</f>
        <v>463.57370422401317</v>
      </c>
      <c r="K4" s="447">
        <f>huishoudens!K8</f>
        <v>0</v>
      </c>
      <c r="L4" s="447">
        <f>huishoudens!L8</f>
        <v>0</v>
      </c>
      <c r="M4" s="447">
        <f>huishoudens!M8</f>
        <v>0</v>
      </c>
      <c r="N4" s="447">
        <f>huishoudens!N8</f>
        <v>6290.3582870583277</v>
      </c>
      <c r="O4" s="447">
        <f>huishoudens!O8</f>
        <v>53.153333333333336</v>
      </c>
      <c r="P4" s="448">
        <f>huishoudens!P8</f>
        <v>247.86666666666667</v>
      </c>
      <c r="Q4" s="449">
        <f>SUM(B4:P4)</f>
        <v>105478.52498167689</v>
      </c>
    </row>
    <row r="5" spans="1:17">
      <c r="A5" s="446" t="s">
        <v>149</v>
      </c>
      <c r="B5" s="447">
        <f ca="1">tertiair!B16</f>
        <v>9942.3691438283095</v>
      </c>
      <c r="C5" s="447">
        <f ca="1">tertiair!C16</f>
        <v>0</v>
      </c>
      <c r="D5" s="447">
        <f ca="1">tertiair!D16</f>
        <v>11001.131469827669</v>
      </c>
      <c r="E5" s="447">
        <f>tertiair!E16</f>
        <v>95.908651424507838</v>
      </c>
      <c r="F5" s="447">
        <f ca="1">tertiair!F16</f>
        <v>1938.1235947358578</v>
      </c>
      <c r="G5" s="447">
        <f>tertiair!G16</f>
        <v>0</v>
      </c>
      <c r="H5" s="447">
        <f>tertiair!H16</f>
        <v>0</v>
      </c>
      <c r="I5" s="447">
        <f>tertiair!I16</f>
        <v>0</v>
      </c>
      <c r="J5" s="447">
        <f>tertiair!J16</f>
        <v>0</v>
      </c>
      <c r="K5" s="447">
        <f>tertiair!K16</f>
        <v>0</v>
      </c>
      <c r="L5" s="447">
        <f ca="1">tertiair!L16</f>
        <v>0</v>
      </c>
      <c r="M5" s="447">
        <f>tertiair!M16</f>
        <v>0</v>
      </c>
      <c r="N5" s="447">
        <f ca="1">tertiair!N16</f>
        <v>741.26973392649211</v>
      </c>
      <c r="O5" s="447">
        <f>tertiair!O16</f>
        <v>0</v>
      </c>
      <c r="P5" s="448">
        <f>tertiair!P16</f>
        <v>0</v>
      </c>
      <c r="Q5" s="446">
        <f t="shared" ref="Q5:Q14" ca="1" si="0">SUM(B5:P5)</f>
        <v>23718.802593742836</v>
      </c>
    </row>
    <row r="6" spans="1:17">
      <c r="A6" s="446" t="s">
        <v>187</v>
      </c>
      <c r="B6" s="447">
        <f>'openbare verlichting'!B8</f>
        <v>663.74599999999998</v>
      </c>
      <c r="C6" s="447"/>
      <c r="D6" s="447"/>
      <c r="E6" s="447"/>
      <c r="F6" s="447"/>
      <c r="G6" s="447"/>
      <c r="H6" s="447"/>
      <c r="I6" s="447"/>
      <c r="J6" s="447"/>
      <c r="K6" s="447"/>
      <c r="L6" s="447"/>
      <c r="M6" s="447"/>
      <c r="N6" s="447"/>
      <c r="O6" s="447"/>
      <c r="P6" s="448"/>
      <c r="Q6" s="446">
        <f t="shared" si="0"/>
        <v>663.74599999999998</v>
      </c>
    </row>
    <row r="7" spans="1:17">
      <c r="A7" s="446" t="s">
        <v>105</v>
      </c>
      <c r="B7" s="447">
        <f>landbouw!B8</f>
        <v>828.78441682868436</v>
      </c>
      <c r="C7" s="447">
        <f>landbouw!C8</f>
        <v>32708.571428571431</v>
      </c>
      <c r="D7" s="447">
        <f>landbouw!D8</f>
        <v>10222.339847568088</v>
      </c>
      <c r="E7" s="447">
        <f>landbouw!E8</f>
        <v>7.8077045103011669</v>
      </c>
      <c r="F7" s="447">
        <f>landbouw!F8</f>
        <v>2704.5986015042076</v>
      </c>
      <c r="G7" s="447">
        <f>landbouw!G8</f>
        <v>0</v>
      </c>
      <c r="H7" s="447">
        <f>landbouw!H8</f>
        <v>0</v>
      </c>
      <c r="I7" s="447">
        <f>landbouw!I8</f>
        <v>0</v>
      </c>
      <c r="J7" s="447">
        <f>landbouw!J8</f>
        <v>102.52466356833736</v>
      </c>
      <c r="K7" s="447">
        <f>landbouw!K8</f>
        <v>0</v>
      </c>
      <c r="L7" s="447">
        <f>landbouw!L8</f>
        <v>0</v>
      </c>
      <c r="M7" s="447">
        <f>landbouw!M8</f>
        <v>0</v>
      </c>
      <c r="N7" s="447">
        <f>landbouw!N8</f>
        <v>0</v>
      </c>
      <c r="O7" s="447">
        <f>landbouw!O8</f>
        <v>0</v>
      </c>
      <c r="P7" s="448">
        <f>landbouw!P8</f>
        <v>0</v>
      </c>
      <c r="Q7" s="446">
        <f t="shared" si="0"/>
        <v>46574.626662551047</v>
      </c>
    </row>
    <row r="8" spans="1:17">
      <c r="A8" s="446" t="s">
        <v>665</v>
      </c>
      <c r="B8" s="447">
        <f>industrie!B18</f>
        <v>1842.2882811790728</v>
      </c>
      <c r="C8" s="447">
        <f>industrie!C18</f>
        <v>0</v>
      </c>
      <c r="D8" s="447">
        <f>industrie!D18</f>
        <v>1787.3493438147179</v>
      </c>
      <c r="E8" s="447">
        <f>industrie!E18</f>
        <v>13.843625039823568</v>
      </c>
      <c r="F8" s="447">
        <f>industrie!F18</f>
        <v>886.43896542084724</v>
      </c>
      <c r="G8" s="447">
        <f>industrie!G18</f>
        <v>0</v>
      </c>
      <c r="H8" s="447">
        <f>industrie!H18</f>
        <v>0</v>
      </c>
      <c r="I8" s="447">
        <f>industrie!I18</f>
        <v>0</v>
      </c>
      <c r="J8" s="447">
        <f>industrie!J18</f>
        <v>4.1351191195135932</v>
      </c>
      <c r="K8" s="447">
        <f>industrie!K18</f>
        <v>0</v>
      </c>
      <c r="L8" s="447">
        <f>industrie!L18</f>
        <v>0</v>
      </c>
      <c r="M8" s="447">
        <f>industrie!M18</f>
        <v>0</v>
      </c>
      <c r="N8" s="447">
        <f>industrie!N18</f>
        <v>91.570487681909967</v>
      </c>
      <c r="O8" s="447">
        <f>industrie!O18</f>
        <v>0</v>
      </c>
      <c r="P8" s="448">
        <f>industrie!P18</f>
        <v>0</v>
      </c>
      <c r="Q8" s="446">
        <f t="shared" si="0"/>
        <v>4625.6258222558854</v>
      </c>
    </row>
    <row r="9" spans="1:17" s="452" customFormat="1">
      <c r="A9" s="450" t="s">
        <v>562</v>
      </c>
      <c r="B9" s="451">
        <f>transport!B14</f>
        <v>2.3506107403933818</v>
      </c>
      <c r="C9" s="451">
        <f>transport!C14</f>
        <v>0</v>
      </c>
      <c r="D9" s="451">
        <f>transport!D14</f>
        <v>2.907835570563293</v>
      </c>
      <c r="E9" s="451">
        <f>transport!E14</f>
        <v>186.74478233601275</v>
      </c>
      <c r="F9" s="451">
        <f>transport!F14</f>
        <v>0</v>
      </c>
      <c r="G9" s="451">
        <f>transport!G14</f>
        <v>35491.404613698549</v>
      </c>
      <c r="H9" s="451">
        <f>transport!H14</f>
        <v>7029.7674575254623</v>
      </c>
      <c r="I9" s="451">
        <f>transport!I14</f>
        <v>0</v>
      </c>
      <c r="J9" s="451">
        <f>transport!J14</f>
        <v>0</v>
      </c>
      <c r="K9" s="451">
        <f>transport!K14</f>
        <v>0</v>
      </c>
      <c r="L9" s="451">
        <f>transport!L14</f>
        <v>0</v>
      </c>
      <c r="M9" s="451">
        <f>transport!M14</f>
        <v>1901.2158559518548</v>
      </c>
      <c r="N9" s="451">
        <f>transport!N14</f>
        <v>0</v>
      </c>
      <c r="O9" s="451">
        <f>transport!O14</f>
        <v>0</v>
      </c>
      <c r="P9" s="451">
        <f>transport!P14</f>
        <v>0</v>
      </c>
      <c r="Q9" s="450">
        <f>SUM(B9:P9)</f>
        <v>44614.391155822843</v>
      </c>
    </row>
    <row r="10" spans="1:17">
      <c r="A10" s="446" t="s">
        <v>552</v>
      </c>
      <c r="B10" s="447">
        <f>transport!B54</f>
        <v>2.5907062060528361</v>
      </c>
      <c r="C10" s="447">
        <f>transport!C54</f>
        <v>0</v>
      </c>
      <c r="D10" s="447">
        <f>transport!D54</f>
        <v>0</v>
      </c>
      <c r="E10" s="447">
        <f>transport!E54</f>
        <v>0</v>
      </c>
      <c r="F10" s="447">
        <f>transport!F54</f>
        <v>0</v>
      </c>
      <c r="G10" s="447">
        <f>transport!G54</f>
        <v>516.72146054382063</v>
      </c>
      <c r="H10" s="447">
        <f>transport!H54</f>
        <v>0</v>
      </c>
      <c r="I10" s="447">
        <f>transport!I54</f>
        <v>0</v>
      </c>
      <c r="J10" s="447">
        <f>transport!J54</f>
        <v>0</v>
      </c>
      <c r="K10" s="447">
        <f>transport!K54</f>
        <v>0</v>
      </c>
      <c r="L10" s="447">
        <f>transport!L54</f>
        <v>0</v>
      </c>
      <c r="M10" s="447">
        <f>transport!M54</f>
        <v>22.838538216788869</v>
      </c>
      <c r="N10" s="447">
        <f>transport!N54</f>
        <v>0</v>
      </c>
      <c r="O10" s="447">
        <f>transport!O54</f>
        <v>0</v>
      </c>
      <c r="P10" s="448">
        <f>transport!P54</f>
        <v>0</v>
      </c>
      <c r="Q10" s="446">
        <f t="shared" si="0"/>
        <v>542.15070496666226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1519.6310344384799</v>
      </c>
      <c r="C14" s="454"/>
      <c r="D14" s="454">
        <f>'SEAP template'!E25</f>
        <v>2156.5281151737499</v>
      </c>
      <c r="E14" s="454"/>
      <c r="F14" s="454"/>
      <c r="G14" s="454"/>
      <c r="H14" s="454"/>
      <c r="I14" s="454"/>
      <c r="J14" s="454"/>
      <c r="K14" s="454"/>
      <c r="L14" s="454"/>
      <c r="M14" s="454"/>
      <c r="N14" s="454"/>
      <c r="O14" s="454"/>
      <c r="P14" s="455"/>
      <c r="Q14" s="446">
        <f t="shared" si="0"/>
        <v>3676.1591496122301</v>
      </c>
    </row>
    <row r="15" spans="1:17" s="459" customFormat="1">
      <c r="A15" s="456" t="s">
        <v>556</v>
      </c>
      <c r="B15" s="457">
        <f ca="1">SUM(B4:B14)</f>
        <v>33996.212416562485</v>
      </c>
      <c r="C15" s="457">
        <f t="shared" ref="C15:Q15" ca="1" si="1">SUM(C4:C14)</f>
        <v>32708.571428571431</v>
      </c>
      <c r="D15" s="457">
        <f t="shared" ca="1" si="1"/>
        <v>78012.578299958332</v>
      </c>
      <c r="E15" s="457">
        <f t="shared" si="1"/>
        <v>1142.3242011453649</v>
      </c>
      <c r="F15" s="457">
        <f t="shared" ca="1" si="1"/>
        <v>31077.94080287567</v>
      </c>
      <c r="G15" s="457">
        <f t="shared" si="1"/>
        <v>36008.126074242369</v>
      </c>
      <c r="H15" s="457">
        <f t="shared" si="1"/>
        <v>7029.7674575254623</v>
      </c>
      <c r="I15" s="457">
        <f t="shared" si="1"/>
        <v>0</v>
      </c>
      <c r="J15" s="457">
        <f t="shared" si="1"/>
        <v>570.23348691186402</v>
      </c>
      <c r="K15" s="457">
        <f t="shared" si="1"/>
        <v>0</v>
      </c>
      <c r="L15" s="457">
        <f t="shared" ca="1" si="1"/>
        <v>0</v>
      </c>
      <c r="M15" s="457">
        <f t="shared" si="1"/>
        <v>1924.0543941686437</v>
      </c>
      <c r="N15" s="457">
        <f t="shared" ca="1" si="1"/>
        <v>7123.19850866673</v>
      </c>
      <c r="O15" s="457">
        <f t="shared" si="1"/>
        <v>53.153333333333336</v>
      </c>
      <c r="P15" s="457">
        <f t="shared" si="1"/>
        <v>247.86666666666667</v>
      </c>
      <c r="Q15" s="457">
        <f t="shared" ca="1" si="1"/>
        <v>229894.02707062839</v>
      </c>
    </row>
    <row r="17" spans="1:17">
      <c r="A17" s="460" t="s">
        <v>557</v>
      </c>
      <c r="B17" s="764">
        <f ca="1">huishoudens!B10</f>
        <v>0.21990707250500074</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4220.9957967721302</v>
      </c>
      <c r="C22" s="447">
        <f t="shared" ref="C22:C32" ca="1" si="3">C4*$C$17</f>
        <v>0</v>
      </c>
      <c r="D22" s="447">
        <f t="shared" ref="D22:D32" si="4">D4*$D$17</f>
        <v>10674.148980976721</v>
      </c>
      <c r="E22" s="447">
        <f t="shared" ref="E22:E32" si="5">E4*$E$17</f>
        <v>190.23041238848137</v>
      </c>
      <c r="F22" s="447">
        <f t="shared" ref="F22:F32" si="6">F4*$F$17</f>
        <v>6821.5241642043411</v>
      </c>
      <c r="G22" s="447">
        <f t="shared" ref="G22:G32" si="7">G4*$G$17</f>
        <v>0</v>
      </c>
      <c r="H22" s="447">
        <f t="shared" ref="H22:H32" si="8">H4*$H$17</f>
        <v>0</v>
      </c>
      <c r="I22" s="447">
        <f t="shared" ref="I22:I32" si="9">I4*$I$17</f>
        <v>0</v>
      </c>
      <c r="J22" s="447">
        <f t="shared" ref="J22:J32" si="10">J4*$J$17</f>
        <v>164.10509129530067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22071.004445636972</v>
      </c>
    </row>
    <row r="23" spans="1:17">
      <c r="A23" s="446" t="s">
        <v>149</v>
      </c>
      <c r="B23" s="447">
        <f t="shared" ca="1" si="2"/>
        <v>2186.3972921833342</v>
      </c>
      <c r="C23" s="447">
        <f t="shared" ca="1" si="3"/>
        <v>0</v>
      </c>
      <c r="D23" s="447">
        <f t="shared" ca="1" si="4"/>
        <v>2222.2285569051892</v>
      </c>
      <c r="E23" s="447">
        <f t="shared" si="5"/>
        <v>21.771263873363282</v>
      </c>
      <c r="F23" s="447">
        <f t="shared" ca="1" si="6"/>
        <v>517.47899979447402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4947.8761127563594</v>
      </c>
    </row>
    <row r="24" spans="1:17">
      <c r="A24" s="446" t="s">
        <v>187</v>
      </c>
      <c r="B24" s="447">
        <f t="shared" ca="1" si="2"/>
        <v>145.96243974690421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145.96243974690421</v>
      </c>
    </row>
    <row r="25" spans="1:17">
      <c r="A25" s="446" t="s">
        <v>105</v>
      </c>
      <c r="B25" s="447">
        <f t="shared" ca="1" si="2"/>
        <v>182.25555484256026</v>
      </c>
      <c r="C25" s="447">
        <f t="shared" ca="1" si="3"/>
        <v>7773.0957983193293</v>
      </c>
      <c r="D25" s="447">
        <f t="shared" si="4"/>
        <v>2064.9126492087539</v>
      </c>
      <c r="E25" s="447">
        <f t="shared" si="5"/>
        <v>1.772348923838365</v>
      </c>
      <c r="F25" s="447">
        <f t="shared" si="6"/>
        <v>722.1278266016235</v>
      </c>
      <c r="G25" s="447">
        <f t="shared" si="7"/>
        <v>0</v>
      </c>
      <c r="H25" s="447">
        <f t="shared" si="8"/>
        <v>0</v>
      </c>
      <c r="I25" s="447">
        <f t="shared" si="9"/>
        <v>0</v>
      </c>
      <c r="J25" s="447">
        <f t="shared" si="10"/>
        <v>36.293730903191424</v>
      </c>
      <c r="K25" s="447">
        <f t="shared" si="11"/>
        <v>0</v>
      </c>
      <c r="L25" s="447">
        <f t="shared" si="12"/>
        <v>0</v>
      </c>
      <c r="M25" s="447">
        <f t="shared" si="13"/>
        <v>0</v>
      </c>
      <c r="N25" s="447">
        <f t="shared" si="14"/>
        <v>0</v>
      </c>
      <c r="O25" s="447">
        <f t="shared" si="15"/>
        <v>0</v>
      </c>
      <c r="P25" s="448">
        <f t="shared" si="16"/>
        <v>0</v>
      </c>
      <c r="Q25" s="446">
        <f t="shared" ca="1" si="17"/>
        <v>10780.457908799295</v>
      </c>
    </row>
    <row r="26" spans="1:17">
      <c r="A26" s="446" t="s">
        <v>665</v>
      </c>
      <c r="B26" s="447">
        <f t="shared" ca="1" si="2"/>
        <v>405.13222262435954</v>
      </c>
      <c r="C26" s="447">
        <f t="shared" ca="1" si="3"/>
        <v>0</v>
      </c>
      <c r="D26" s="447">
        <f t="shared" si="4"/>
        <v>361.04456745057303</v>
      </c>
      <c r="E26" s="447">
        <f t="shared" si="5"/>
        <v>3.14250288403995</v>
      </c>
      <c r="F26" s="447">
        <f t="shared" si="6"/>
        <v>236.67920376736623</v>
      </c>
      <c r="G26" s="447">
        <f t="shared" si="7"/>
        <v>0</v>
      </c>
      <c r="H26" s="447">
        <f t="shared" si="8"/>
        <v>0</v>
      </c>
      <c r="I26" s="447">
        <f t="shared" si="9"/>
        <v>0</v>
      </c>
      <c r="J26" s="447">
        <f t="shared" si="10"/>
        <v>1.4638321683078119</v>
      </c>
      <c r="K26" s="447">
        <f t="shared" si="11"/>
        <v>0</v>
      </c>
      <c r="L26" s="447">
        <f t="shared" si="12"/>
        <v>0</v>
      </c>
      <c r="M26" s="447">
        <f t="shared" si="13"/>
        <v>0</v>
      </c>
      <c r="N26" s="447">
        <f t="shared" si="14"/>
        <v>0</v>
      </c>
      <c r="O26" s="447">
        <f t="shared" si="15"/>
        <v>0</v>
      </c>
      <c r="P26" s="448">
        <f t="shared" si="16"/>
        <v>0</v>
      </c>
      <c r="Q26" s="446">
        <f t="shared" ca="1" si="17"/>
        <v>1007.4623288946466</v>
      </c>
    </row>
    <row r="27" spans="1:17" s="452" customFormat="1">
      <c r="A27" s="450" t="s">
        <v>562</v>
      </c>
      <c r="B27" s="758">
        <f t="shared" ca="1" si="2"/>
        <v>0.51691592651872087</v>
      </c>
      <c r="C27" s="451">
        <f t="shared" ca="1" si="3"/>
        <v>0</v>
      </c>
      <c r="D27" s="451">
        <f t="shared" si="4"/>
        <v>0.58738278525378518</v>
      </c>
      <c r="E27" s="451">
        <f t="shared" si="5"/>
        <v>42.391065590274899</v>
      </c>
      <c r="F27" s="451">
        <f t="shared" si="6"/>
        <v>0</v>
      </c>
      <c r="G27" s="451">
        <f t="shared" si="7"/>
        <v>9476.2050318575129</v>
      </c>
      <c r="H27" s="451">
        <f t="shared" si="8"/>
        <v>1750.4120969238402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11270.112493083401</v>
      </c>
    </row>
    <row r="28" spans="1:17">
      <c r="A28" s="446" t="s">
        <v>552</v>
      </c>
      <c r="B28" s="447">
        <f t="shared" ca="1" si="2"/>
        <v>0.5697146174936164</v>
      </c>
      <c r="C28" s="447">
        <f t="shared" ca="1" si="3"/>
        <v>0</v>
      </c>
      <c r="D28" s="447">
        <f t="shared" si="4"/>
        <v>0</v>
      </c>
      <c r="E28" s="447">
        <f t="shared" si="5"/>
        <v>0</v>
      </c>
      <c r="F28" s="447">
        <f t="shared" si="6"/>
        <v>0</v>
      </c>
      <c r="G28" s="447">
        <f t="shared" si="7"/>
        <v>137.96462996520012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138.53434458269373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334.17761207111209</v>
      </c>
      <c r="C32" s="447">
        <f t="shared" ca="1" si="3"/>
        <v>0</v>
      </c>
      <c r="D32" s="447">
        <f t="shared" si="4"/>
        <v>435.61867926509751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769.79629133620961</v>
      </c>
    </row>
    <row r="33" spans="1:17" s="459" customFormat="1">
      <c r="A33" s="456" t="s">
        <v>556</v>
      </c>
      <c r="B33" s="457">
        <f ca="1">SUM(B22:B32)</f>
        <v>7476.0075487844124</v>
      </c>
      <c r="C33" s="457">
        <f t="shared" ref="C33:Q33" ca="1" si="18">SUM(C22:C32)</f>
        <v>7773.0957983193293</v>
      </c>
      <c r="D33" s="457">
        <f t="shared" ca="1" si="18"/>
        <v>15758.540816591589</v>
      </c>
      <c r="E33" s="457">
        <f t="shared" si="18"/>
        <v>259.30759365999785</v>
      </c>
      <c r="F33" s="457">
        <f t="shared" ca="1" si="18"/>
        <v>8297.8101943678048</v>
      </c>
      <c r="G33" s="457">
        <f t="shared" si="18"/>
        <v>9614.1696618227124</v>
      </c>
      <c r="H33" s="457">
        <f t="shared" si="18"/>
        <v>1750.4120969238402</v>
      </c>
      <c r="I33" s="457">
        <f t="shared" si="18"/>
        <v>0</v>
      </c>
      <c r="J33" s="457">
        <f t="shared" si="18"/>
        <v>201.86265436679992</v>
      </c>
      <c r="K33" s="457">
        <f t="shared" si="18"/>
        <v>0</v>
      </c>
      <c r="L33" s="457">
        <f t="shared" ca="1" si="18"/>
        <v>0</v>
      </c>
      <c r="M33" s="457">
        <f t="shared" si="18"/>
        <v>0</v>
      </c>
      <c r="N33" s="457">
        <f t="shared" ca="1" si="18"/>
        <v>0</v>
      </c>
      <c r="O33" s="457">
        <f t="shared" si="18"/>
        <v>0</v>
      </c>
      <c r="P33" s="457">
        <f t="shared" si="18"/>
        <v>0</v>
      </c>
      <c r="Q33" s="457">
        <f t="shared" ca="1" si="18"/>
        <v>51131.206364836486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1892.7893850652754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22896</v>
      </c>
      <c r="D8" s="1013">
        <f>'SEAP template'!D76</f>
        <v>26936.470588235297</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5441.1670588235302</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1892.7893850652754</v>
      </c>
      <c r="C10" s="1017">
        <f>SUM(C4:C9)</f>
        <v>22896</v>
      </c>
      <c r="D10" s="1017">
        <f t="shared" ref="D10:H10" si="0">SUM(D8:D9)</f>
        <v>26936.470588235297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5441.1670588235302</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0.21990707250500074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32708.571428571431</v>
      </c>
      <c r="D17" s="1014">
        <f>'SEAP template'!D87</f>
        <v>38480.672268907569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7773.0957983193293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32708.571428571431</v>
      </c>
      <c r="D20" s="1017">
        <f t="shared" ref="D20:H20" si="2">SUM(D17:D19)</f>
        <v>38480.672268907569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7773.0957983193293</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0.21990707250500074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0.21990707250500074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0.21990707250500074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1278</v>
      </c>
      <c r="C14" s="327"/>
      <c r="D14" s="327"/>
      <c r="E14" s="327"/>
      <c r="F14" s="327"/>
    </row>
    <row r="15" spans="1:6">
      <c r="A15" s="1293" t="s">
        <v>177</v>
      </c>
      <c r="B15" s="1294">
        <v>10</v>
      </c>
      <c r="C15" s="327"/>
      <c r="D15" s="327"/>
      <c r="E15" s="327"/>
      <c r="F15" s="327"/>
    </row>
    <row r="16" spans="1:6">
      <c r="A16" s="1293" t="s">
        <v>6</v>
      </c>
      <c r="B16" s="1294">
        <v>522</v>
      </c>
      <c r="C16" s="327"/>
      <c r="D16" s="327"/>
      <c r="E16" s="327"/>
      <c r="F16" s="327"/>
    </row>
    <row r="17" spans="1:6">
      <c r="A17" s="1293" t="s">
        <v>7</v>
      </c>
      <c r="B17" s="1294">
        <v>75</v>
      </c>
      <c r="C17" s="327"/>
      <c r="D17" s="327"/>
      <c r="E17" s="327"/>
      <c r="F17" s="327"/>
    </row>
    <row r="18" spans="1:6">
      <c r="A18" s="1293" t="s">
        <v>8</v>
      </c>
      <c r="B18" s="1294">
        <v>358</v>
      </c>
      <c r="C18" s="327"/>
      <c r="D18" s="327"/>
      <c r="E18" s="327"/>
      <c r="F18" s="327"/>
    </row>
    <row r="19" spans="1:6">
      <c r="A19" s="1293" t="s">
        <v>9</v>
      </c>
      <c r="B19" s="1294">
        <v>374</v>
      </c>
      <c r="C19" s="327"/>
      <c r="D19" s="327"/>
      <c r="E19" s="327"/>
      <c r="F19" s="327"/>
    </row>
    <row r="20" spans="1:6">
      <c r="A20" s="1293" t="s">
        <v>10</v>
      </c>
      <c r="B20" s="1294">
        <v>304</v>
      </c>
      <c r="C20" s="327"/>
      <c r="D20" s="327"/>
      <c r="E20" s="327"/>
      <c r="F20" s="327"/>
    </row>
    <row r="21" spans="1:6">
      <c r="A21" s="1293" t="s">
        <v>11</v>
      </c>
      <c r="B21" s="1294">
        <v>615</v>
      </c>
      <c r="C21" s="327"/>
      <c r="D21" s="327"/>
      <c r="E21" s="327"/>
      <c r="F21" s="327"/>
    </row>
    <row r="22" spans="1:6">
      <c r="A22" s="1293" t="s">
        <v>12</v>
      </c>
      <c r="B22" s="1294">
        <v>2219</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359</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85</v>
      </c>
      <c r="C29" s="327"/>
      <c r="D29" s="327"/>
      <c r="E29" s="327"/>
      <c r="F29" s="327"/>
    </row>
    <row r="30" spans="1:6">
      <c r="A30" s="1288" t="s">
        <v>956</v>
      </c>
      <c r="B30" s="1296">
        <v>31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4076.9352138186</v>
      </c>
    </row>
    <row r="39" spans="1:6">
      <c r="A39" s="1293" t="s">
        <v>29</v>
      </c>
      <c r="B39" s="1293" t="s">
        <v>30</v>
      </c>
      <c r="C39" s="1294">
        <v>2964</v>
      </c>
      <c r="D39" s="1294">
        <v>58583505.1973432</v>
      </c>
      <c r="E39" s="1294">
        <v>4375</v>
      </c>
      <c r="F39" s="1294">
        <v>17683640.491300602</v>
      </c>
    </row>
    <row r="40" spans="1:6">
      <c r="A40" s="1293" t="s">
        <v>29</v>
      </c>
      <c r="B40" s="1293" t="s">
        <v>28</v>
      </c>
      <c r="C40" s="1294">
        <v>0</v>
      </c>
      <c r="D40" s="1294">
        <v>0</v>
      </c>
      <c r="E40" s="1294">
        <v>0</v>
      </c>
      <c r="F40" s="1294">
        <v>0</v>
      </c>
    </row>
    <row r="41" spans="1:6">
      <c r="A41" s="1293" t="s">
        <v>31</v>
      </c>
      <c r="B41" s="1293" t="s">
        <v>32</v>
      </c>
      <c r="C41" s="1294">
        <v>25</v>
      </c>
      <c r="D41" s="1294">
        <v>959543.80551054701</v>
      </c>
      <c r="E41" s="1294">
        <v>71</v>
      </c>
      <c r="F41" s="1294">
        <v>924106.62704463198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76391.520774574907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394869.50835657801</v>
      </c>
      <c r="E48" s="1294">
        <v>25</v>
      </c>
      <c r="F48" s="1294">
        <v>555577.31900264602</v>
      </c>
    </row>
    <row r="49" spans="1:6">
      <c r="A49" s="1293" t="s">
        <v>31</v>
      </c>
      <c r="B49" s="1293" t="s">
        <v>39</v>
      </c>
      <c r="C49" s="1294">
        <v>0</v>
      </c>
      <c r="D49" s="1294">
        <v>0</v>
      </c>
      <c r="E49" s="1294">
        <v>0</v>
      </c>
      <c r="F49" s="1294">
        <v>0</v>
      </c>
    </row>
    <row r="50" spans="1:6">
      <c r="A50" s="1293" t="s">
        <v>31</v>
      </c>
      <c r="B50" s="1293" t="s">
        <v>40</v>
      </c>
      <c r="C50" s="1294">
        <v>4</v>
      </c>
      <c r="D50" s="1294">
        <v>627126.97861038905</v>
      </c>
      <c r="E50" s="1294">
        <v>8</v>
      </c>
      <c r="F50" s="1294">
        <v>286212.81435722002</v>
      </c>
    </row>
    <row r="51" spans="1:6">
      <c r="A51" s="1293" t="s">
        <v>41</v>
      </c>
      <c r="B51" s="1293" t="s">
        <v>42</v>
      </c>
      <c r="C51" s="1294">
        <v>5</v>
      </c>
      <c r="D51" s="1294">
        <v>82813011.874402598</v>
      </c>
      <c r="E51" s="1294">
        <v>39</v>
      </c>
      <c r="F51" s="1294">
        <v>807754.04673144</v>
      </c>
    </row>
    <row r="52" spans="1:6">
      <c r="A52" s="1293" t="s">
        <v>41</v>
      </c>
      <c r="B52" s="1293" t="s">
        <v>28</v>
      </c>
      <c r="C52" s="1294">
        <v>3</v>
      </c>
      <c r="D52" s="1294">
        <v>1044507.75388006</v>
      </c>
      <c r="E52" s="1294">
        <v>4</v>
      </c>
      <c r="F52" s="1294">
        <v>21030.370097244398</v>
      </c>
    </row>
    <row r="53" spans="1:6">
      <c r="A53" s="1293" t="s">
        <v>43</v>
      </c>
      <c r="B53" s="1293" t="s">
        <v>44</v>
      </c>
      <c r="C53" s="1294">
        <v>58</v>
      </c>
      <c r="D53" s="1294">
        <v>2156528.1151737501</v>
      </c>
      <c r="E53" s="1294">
        <v>103</v>
      </c>
      <c r="F53" s="1294">
        <v>1519631.0344384799</v>
      </c>
    </row>
    <row r="54" spans="1:6">
      <c r="A54" s="1293" t="s">
        <v>45</v>
      </c>
      <c r="B54" s="1293" t="s">
        <v>46</v>
      </c>
      <c r="C54" s="1294">
        <v>0</v>
      </c>
      <c r="D54" s="1294">
        <v>0</v>
      </c>
      <c r="E54" s="1294">
        <v>1</v>
      </c>
      <c r="F54" s="1294">
        <v>663746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401696.41340007598</v>
      </c>
      <c r="E57" s="1294">
        <v>45</v>
      </c>
      <c r="F57" s="1294">
        <v>945562.13206219405</v>
      </c>
    </row>
    <row r="58" spans="1:6">
      <c r="A58" s="1293" t="s">
        <v>48</v>
      </c>
      <c r="B58" s="1293" t="s">
        <v>50</v>
      </c>
      <c r="C58" s="1294">
        <v>6</v>
      </c>
      <c r="D58" s="1294">
        <v>120420.767784981</v>
      </c>
      <c r="E58" s="1294">
        <v>7</v>
      </c>
      <c r="F58" s="1294">
        <v>90532.544037525804</v>
      </c>
    </row>
    <row r="59" spans="1:6">
      <c r="A59" s="1293" t="s">
        <v>48</v>
      </c>
      <c r="B59" s="1293" t="s">
        <v>51</v>
      </c>
      <c r="C59" s="1294">
        <v>40</v>
      </c>
      <c r="D59" s="1294">
        <v>987774.32770839799</v>
      </c>
      <c r="E59" s="1294">
        <v>90</v>
      </c>
      <c r="F59" s="1294">
        <v>3076934.7258655299</v>
      </c>
    </row>
    <row r="60" spans="1:6">
      <c r="A60" s="1293" t="s">
        <v>48</v>
      </c>
      <c r="B60" s="1293" t="s">
        <v>52</v>
      </c>
      <c r="C60" s="1294">
        <v>31</v>
      </c>
      <c r="D60" s="1294">
        <v>1250311.18620846</v>
      </c>
      <c r="E60" s="1294">
        <v>48</v>
      </c>
      <c r="F60" s="1294">
        <v>853294.01597299997</v>
      </c>
    </row>
    <row r="61" spans="1:6">
      <c r="A61" s="1293" t="s">
        <v>48</v>
      </c>
      <c r="B61" s="1293" t="s">
        <v>53</v>
      </c>
      <c r="C61" s="1294">
        <v>87</v>
      </c>
      <c r="D61" s="1294">
        <v>3516073.0156620499</v>
      </c>
      <c r="E61" s="1294">
        <v>205</v>
      </c>
      <c r="F61" s="1294">
        <v>2251834.0711501902</v>
      </c>
    </row>
    <row r="62" spans="1:6">
      <c r="A62" s="1293" t="s">
        <v>48</v>
      </c>
      <c r="B62" s="1293" t="s">
        <v>54</v>
      </c>
      <c r="C62" s="1294">
        <v>4</v>
      </c>
      <c r="D62" s="1294">
        <v>201249.37267390999</v>
      </c>
      <c r="E62" s="1294">
        <v>0</v>
      </c>
      <c r="F62" s="1294">
        <v>0</v>
      </c>
    </row>
    <row r="63" spans="1:6">
      <c r="A63" s="1293" t="s">
        <v>48</v>
      </c>
      <c r="B63" s="1293" t="s">
        <v>28</v>
      </c>
      <c r="C63" s="1294">
        <v>78</v>
      </c>
      <c r="D63" s="1294">
        <v>5718851.2689209599</v>
      </c>
      <c r="E63" s="1294">
        <v>95</v>
      </c>
      <c r="F63" s="1294">
        <v>2724211.6547398702</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4511.0154024996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33327.376594014597</v>
      </c>
      <c r="E68" s="1296">
        <v>9</v>
      </c>
      <c r="F68" s="1296">
        <v>70717.051661580204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51691556</v>
      </c>
      <c r="E73" s="445"/>
      <c r="F73" s="327"/>
    </row>
    <row r="74" spans="1:6">
      <c r="A74" s="1293" t="s">
        <v>63</v>
      </c>
      <c r="B74" s="1293" t="s">
        <v>749</v>
      </c>
      <c r="C74" s="1306" t="s">
        <v>743</v>
      </c>
      <c r="D74" s="1294">
        <v>2470423.1018430768</v>
      </c>
      <c r="E74" s="445"/>
      <c r="F74" s="327"/>
    </row>
    <row r="75" spans="1:6">
      <c r="A75" s="1293" t="s">
        <v>64</v>
      </c>
      <c r="B75" s="1293" t="s">
        <v>748</v>
      </c>
      <c r="C75" s="1306" t="s">
        <v>744</v>
      </c>
      <c r="D75" s="1294">
        <v>7227379</v>
      </c>
      <c r="E75" s="445"/>
      <c r="F75" s="327"/>
    </row>
    <row r="76" spans="1:6">
      <c r="A76" s="1293" t="s">
        <v>64</v>
      </c>
      <c r="B76" s="1293" t="s">
        <v>749</v>
      </c>
      <c r="C76" s="1306" t="s">
        <v>745</v>
      </c>
      <c r="D76" s="1294">
        <v>7409.3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142729.79631384675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1510.8117320408921</v>
      </c>
      <c r="C91" s="327"/>
      <c r="D91" s="327"/>
      <c r="E91" s="327"/>
      <c r="F91" s="327"/>
    </row>
    <row r="92" spans="1:6">
      <c r="A92" s="1288" t="s">
        <v>68</v>
      </c>
      <c r="B92" s="1289">
        <v>381.97765302438319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2012</v>
      </c>
      <c r="C97" s="327"/>
      <c r="D97" s="327"/>
      <c r="E97" s="327"/>
      <c r="F97" s="327"/>
    </row>
    <row r="98" spans="1:6">
      <c r="A98" s="1293" t="s">
        <v>71</v>
      </c>
      <c r="B98" s="1294">
        <v>4</v>
      </c>
      <c r="C98" s="327"/>
      <c r="D98" s="327"/>
      <c r="E98" s="327"/>
      <c r="F98" s="327"/>
    </row>
    <row r="99" spans="1:6">
      <c r="A99" s="1293" t="s">
        <v>72</v>
      </c>
      <c r="B99" s="1294">
        <v>39</v>
      </c>
      <c r="C99" s="327"/>
      <c r="D99" s="327"/>
      <c r="E99" s="327"/>
      <c r="F99" s="327"/>
    </row>
    <row r="100" spans="1:6">
      <c r="A100" s="1293" t="s">
        <v>73</v>
      </c>
      <c r="B100" s="1294">
        <v>182</v>
      </c>
      <c r="C100" s="327"/>
      <c r="D100" s="327"/>
      <c r="E100" s="327"/>
      <c r="F100" s="327"/>
    </row>
    <row r="101" spans="1:6">
      <c r="A101" s="1293" t="s">
        <v>74</v>
      </c>
      <c r="B101" s="1294">
        <v>46</v>
      </c>
      <c r="C101" s="327"/>
      <c r="D101" s="327"/>
      <c r="E101" s="327"/>
      <c r="F101" s="327"/>
    </row>
    <row r="102" spans="1:6">
      <c r="A102" s="1293" t="s">
        <v>75</v>
      </c>
      <c r="B102" s="1294">
        <v>34</v>
      </c>
      <c r="C102" s="327"/>
      <c r="D102" s="327"/>
      <c r="E102" s="327"/>
      <c r="F102" s="327"/>
    </row>
    <row r="103" spans="1:6">
      <c r="A103" s="1293" t="s">
        <v>76</v>
      </c>
      <c r="B103" s="1294">
        <v>111</v>
      </c>
      <c r="C103" s="327"/>
      <c r="D103" s="327"/>
      <c r="E103" s="327"/>
      <c r="F103" s="327"/>
    </row>
    <row r="104" spans="1:6">
      <c r="A104" s="1293" t="s">
        <v>77</v>
      </c>
      <c r="B104" s="1294">
        <v>1499</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7</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26</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33996.212416562485</v>
      </c>
      <c r="C3" s="44" t="s">
        <v>163</v>
      </c>
      <c r="D3" s="44"/>
      <c r="E3" s="157"/>
      <c r="F3" s="44"/>
      <c r="G3" s="44"/>
      <c r="H3" s="44"/>
      <c r="I3" s="44"/>
      <c r="J3" s="44"/>
      <c r="K3" s="97"/>
    </row>
    <row r="4" spans="1:11">
      <c r="A4" s="352" t="s">
        <v>164</v>
      </c>
      <c r="B4" s="50">
        <f>IF(ISERROR('SEAP template'!B78+'SEAP template'!C78),0,'SEAP template'!B78+'SEAP template'!C78)</f>
        <v>24788.789385065276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5441.1670588235302</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0.21990707250500074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7773.0957983193293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32708.571428571431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663.74599999999998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663.74599999999998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0.21990707250500074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145.96243974690421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17683.640491300601</v>
      </c>
      <c r="C5" s="18">
        <f>IF(ISERROR('Eigen informatie GS &amp; warmtenet'!B57),0,'Eigen informatie GS &amp; warmtenet'!B57)</f>
        <v>0</v>
      </c>
      <c r="D5" s="31">
        <f>(SUM(HH_hh_gas_kWh,HH_rest_gas_kWh)/1000)*0.902</f>
        <v>52842.321688003569</v>
      </c>
      <c r="E5" s="18">
        <f>B32*B41</f>
        <v>838.01943783471961</v>
      </c>
      <c r="F5" s="18">
        <f>B36*B45</f>
        <v>25548.779641214758</v>
      </c>
      <c r="G5" s="19"/>
      <c r="H5" s="18"/>
      <c r="I5" s="18"/>
      <c r="J5" s="18">
        <f>B35*B44+C35*C44</f>
        <v>463.57370422401317</v>
      </c>
      <c r="K5" s="18"/>
      <c r="L5" s="18"/>
      <c r="M5" s="18"/>
      <c r="N5" s="18">
        <f>B34*B43+C34*C43</f>
        <v>6290.3582870583277</v>
      </c>
      <c r="O5" s="18">
        <f>B52*B53*B54</f>
        <v>53.153333333333336</v>
      </c>
      <c r="P5" s="18">
        <f>B60*B61*B62/1000-B60*B61*B62/1000/B63</f>
        <v>247.86666666666667</v>
      </c>
    </row>
    <row r="6" spans="1:16">
      <c r="A6" s="17" t="s">
        <v>622</v>
      </c>
      <c r="B6" s="766">
        <f>kWh_PV_kleiner_dan_10kW</f>
        <v>1510.8117320408921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19194.452223341494</v>
      </c>
      <c r="C8" s="22">
        <f>C5</f>
        <v>0</v>
      </c>
      <c r="D8" s="22">
        <f>D5</f>
        <v>52842.321688003569</v>
      </c>
      <c r="E8" s="22">
        <f>E5</f>
        <v>838.01943783471961</v>
      </c>
      <c r="F8" s="22">
        <f>F5</f>
        <v>25548.779641214758</v>
      </c>
      <c r="G8" s="22"/>
      <c r="H8" s="22"/>
      <c r="I8" s="22"/>
      <c r="J8" s="22">
        <f>J5</f>
        <v>463.57370422401317</v>
      </c>
      <c r="K8" s="22"/>
      <c r="L8" s="22">
        <f>L5</f>
        <v>0</v>
      </c>
      <c r="M8" s="22">
        <f>M5</f>
        <v>0</v>
      </c>
      <c r="N8" s="22">
        <f>N5</f>
        <v>6290.3582870583277</v>
      </c>
      <c r="O8" s="22">
        <f>O5</f>
        <v>53.153333333333336</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0.21990707250500074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4220.9957967721302</v>
      </c>
      <c r="C12" s="24">
        <f ca="1">C10*C8</f>
        <v>0</v>
      </c>
      <c r="D12" s="24">
        <f>D8*D10</f>
        <v>10674.148980976721</v>
      </c>
      <c r="E12" s="24">
        <f>E10*E8</f>
        <v>190.23041238848137</v>
      </c>
      <c r="F12" s="24">
        <f>F10*F8</f>
        <v>6821.5241642043411</v>
      </c>
      <c r="G12" s="24"/>
      <c r="H12" s="24"/>
      <c r="I12" s="24"/>
      <c r="J12" s="24">
        <f>J10*J8</f>
        <v>164.10509129530067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4440</v>
      </c>
      <c r="C26" s="37"/>
      <c r="D26" s="228"/>
    </row>
    <row r="27" spans="1:5" s="16" customFormat="1">
      <c r="A27" s="230" t="s">
        <v>648</v>
      </c>
      <c r="B27" s="38">
        <f>SUM(HH_hh_gas_aantal,HH_rest_gas_aantal)</f>
        <v>2964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2815.8</v>
      </c>
      <c r="C31" s="35" t="s">
        <v>104</v>
      </c>
      <c r="D31" s="174"/>
    </row>
    <row r="32" spans="1:5">
      <c r="A32" s="171" t="s">
        <v>72</v>
      </c>
      <c r="B32" s="34">
        <f>IF((B21*($B$26-($B$27-0.05*$B$27)-$B$60))&lt;0,0,B21*($B$26-($B$27-0.05*$B$27)-$B$60))</f>
        <v>39.595772611755727</v>
      </c>
      <c r="C32" s="35" t="s">
        <v>104</v>
      </c>
      <c r="D32" s="174"/>
    </row>
    <row r="33" spans="1:6">
      <c r="A33" s="171" t="s">
        <v>73</v>
      </c>
      <c r="B33" s="34">
        <f>IF((B22*($B$26-($B$27-0.05*$B$27)-$B$60))&lt;0,0,B22*($B$26-($B$27-0.05*$B$27)-$B$60))</f>
        <v>266.52598916351258</v>
      </c>
      <c r="C33" s="35" t="s">
        <v>104</v>
      </c>
      <c r="D33" s="174"/>
    </row>
    <row r="34" spans="1:6">
      <c r="A34" s="171" t="s">
        <v>74</v>
      </c>
      <c r="B34" s="34">
        <f>IF((B24*($B$26-($B$27-0.05*$B$27)-$B$60))&lt;0,0,B24*($B$26-($B$27-0.05*$B$27)-$B$60))</f>
        <v>67.596608710681977</v>
      </c>
      <c r="C34" s="34">
        <f>B26*C24</f>
        <v>907.99033485068082</v>
      </c>
      <c r="D34" s="233"/>
    </row>
    <row r="35" spans="1:6">
      <c r="A35" s="171" t="s">
        <v>76</v>
      </c>
      <c r="B35" s="34">
        <f>IF((B19*($B$26-($B$27-0.05*$B$27)-$B$60))&lt;0,0,B19*($B$26-($B$27-0.05*$B$27)-$B$60))</f>
        <v>25.130279963160611</v>
      </c>
      <c r="C35" s="34">
        <f>B35/2</f>
        <v>12.565139981580305</v>
      </c>
      <c r="D35" s="233"/>
    </row>
    <row r="36" spans="1:6">
      <c r="A36" s="171" t="s">
        <v>77</v>
      </c>
      <c r="B36" s="34">
        <f>IF((B18*($B$26-($B$27-0.05*$B$27)-$B$60))&lt;0,0,B18*($B$26-($B$27-0.05*$B$27)-$B$60))</f>
        <v>1212.3513495508885</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9942.3691438283095</v>
      </c>
      <c r="C5" s="18">
        <f>IF(ISERROR('Eigen informatie GS &amp; warmtenet'!B58),0,'Eigen informatie GS &amp; warmtenet'!B58)</f>
        <v>0</v>
      </c>
      <c r="D5" s="31">
        <f>SUM(D6:D12)</f>
        <v>11001.131469827669</v>
      </c>
      <c r="E5" s="18">
        <f>SUM(E6:E12)</f>
        <v>95.908651424507838</v>
      </c>
      <c r="F5" s="18">
        <f>SUM(F6:F12)</f>
        <v>1938.1235947358578</v>
      </c>
      <c r="G5" s="19"/>
      <c r="H5" s="18"/>
      <c r="I5" s="18"/>
      <c r="J5" s="18">
        <f>SUM(J6:J12)</f>
        <v>0</v>
      </c>
      <c r="K5" s="18"/>
      <c r="L5" s="18"/>
      <c r="M5" s="18"/>
      <c r="N5" s="18">
        <f>SUM(N6:N12)</f>
        <v>741.26973392649211</v>
      </c>
      <c r="O5" s="18">
        <f>B38*B39*B40</f>
        <v>0</v>
      </c>
      <c r="P5" s="18">
        <f>B46*B47*B48/1000-B46*B47*B48/1000/B49</f>
        <v>0</v>
      </c>
      <c r="R5" s="33"/>
    </row>
    <row r="6" spans="1:18">
      <c r="A6" s="33" t="s">
        <v>53</v>
      </c>
      <c r="B6" s="38">
        <f>B26</f>
        <v>2251.8340711501901</v>
      </c>
      <c r="C6" s="34"/>
      <c r="D6" s="38">
        <f>IF(ISERROR(TER_kantoor_gas_kWh/1000),0,TER_kantoor_gas_kWh/1000)*0.902</f>
        <v>3171.4978601271691</v>
      </c>
      <c r="E6" s="34">
        <f>$C$26*'E Balans VL '!I12/100/3.6*1000000</f>
        <v>3.6957161031395933</v>
      </c>
      <c r="F6" s="34">
        <f>$C$26*('E Balans VL '!L12+'E Balans VL '!N12)/100/3.6*1000000</f>
        <v>265.43825421011888</v>
      </c>
      <c r="G6" s="35"/>
      <c r="H6" s="34"/>
      <c r="I6" s="34"/>
      <c r="J6" s="34">
        <f>$C$26*('E Balans VL '!D12+'E Balans VL '!E12)/100/3.6*1000000</f>
        <v>0</v>
      </c>
      <c r="K6" s="34"/>
      <c r="L6" s="34"/>
      <c r="M6" s="34"/>
      <c r="N6" s="34">
        <f>$C$26*'E Balans VL '!Y12/100/3.6*1000000</f>
        <v>0.45497241076859185</v>
      </c>
      <c r="O6" s="34"/>
      <c r="P6" s="34"/>
      <c r="R6" s="33"/>
    </row>
    <row r="7" spans="1:18">
      <c r="A7" s="33" t="s">
        <v>52</v>
      </c>
      <c r="B7" s="38">
        <f t="shared" ref="B7:B12" si="0">B27</f>
        <v>853.294015973</v>
      </c>
      <c r="C7" s="34"/>
      <c r="D7" s="38">
        <f>IF(ISERROR(TER_horeca_gas_kWh/1000),0,TER_horeca_gas_kWh/1000)*0.902</f>
        <v>1127.7806899600309</v>
      </c>
      <c r="E7" s="34">
        <f>$C$27*'E Balans VL '!I9/100/3.6*1000000</f>
        <v>44.279784861368285</v>
      </c>
      <c r="F7" s="34">
        <f>$C$27*('E Balans VL '!L9+'E Balans VL '!N9)/100/3.6*1000000</f>
        <v>194.72231359824522</v>
      </c>
      <c r="G7" s="35"/>
      <c r="H7" s="34"/>
      <c r="I7" s="34"/>
      <c r="J7" s="34">
        <f>$C$27*('E Balans VL '!D9+'E Balans VL '!E9)/100/3.6*1000000</f>
        <v>0</v>
      </c>
      <c r="K7" s="34"/>
      <c r="L7" s="34"/>
      <c r="M7" s="34"/>
      <c r="N7" s="34">
        <f>$C$27*'E Balans VL '!Y9/100/3.6*1000000</f>
        <v>9.0107457047705952E-2</v>
      </c>
      <c r="O7" s="34"/>
      <c r="P7" s="34"/>
      <c r="R7" s="33"/>
    </row>
    <row r="8" spans="1:18">
      <c r="A8" s="6" t="s">
        <v>51</v>
      </c>
      <c r="B8" s="38">
        <f t="shared" si="0"/>
        <v>3076.9347258655298</v>
      </c>
      <c r="C8" s="34"/>
      <c r="D8" s="38">
        <f>IF(ISERROR(TER_handel_gas_kWh/1000),0,TER_handel_gas_kWh/1000)*0.902</f>
        <v>890.97244359297497</v>
      </c>
      <c r="E8" s="34">
        <f>$C$28*'E Balans VL '!I13/100/3.6*1000000</f>
        <v>16.569671603809468</v>
      </c>
      <c r="F8" s="34">
        <f>$C$28*('E Balans VL '!L13+'E Balans VL '!N13)/100/3.6*1000000</f>
        <v>627.47842886848571</v>
      </c>
      <c r="G8" s="35"/>
      <c r="H8" s="34"/>
      <c r="I8" s="34"/>
      <c r="J8" s="34">
        <f>$C$28*('E Balans VL '!D13+'E Balans VL '!E13)/100/3.6*1000000</f>
        <v>0</v>
      </c>
      <c r="K8" s="34"/>
      <c r="L8" s="34"/>
      <c r="M8" s="34"/>
      <c r="N8" s="34">
        <f>$C$28*'E Balans VL '!Y13/100/3.6*1000000</f>
        <v>15.299971509054384</v>
      </c>
      <c r="O8" s="34"/>
      <c r="P8" s="34"/>
      <c r="R8" s="33"/>
    </row>
    <row r="9" spans="1:18">
      <c r="A9" s="33" t="s">
        <v>50</v>
      </c>
      <c r="B9" s="38">
        <f t="shared" si="0"/>
        <v>90.53254403752581</v>
      </c>
      <c r="C9" s="34"/>
      <c r="D9" s="38">
        <f>IF(ISERROR(TER_gezond_gas_kWh/1000),0,TER_gezond_gas_kWh/1000)*0.902</f>
        <v>108.61953254205287</v>
      </c>
      <c r="E9" s="34">
        <f>$C$29*'E Balans VL '!I10/100/3.6*1000000</f>
        <v>8.9718780673018042E-2</v>
      </c>
      <c r="F9" s="34">
        <f>$C$29*('E Balans VL '!L10+'E Balans VL '!N10)/100/3.6*1000000</f>
        <v>31.412183280551378</v>
      </c>
      <c r="G9" s="35"/>
      <c r="H9" s="34"/>
      <c r="I9" s="34"/>
      <c r="J9" s="34">
        <f>$C$29*('E Balans VL '!D10+'E Balans VL '!E10)/100/3.6*1000000</f>
        <v>0</v>
      </c>
      <c r="K9" s="34"/>
      <c r="L9" s="34"/>
      <c r="M9" s="34"/>
      <c r="N9" s="34">
        <f>$C$29*'E Balans VL '!Y10/100/3.6*1000000</f>
        <v>0.78011108917467065</v>
      </c>
      <c r="O9" s="34"/>
      <c r="P9" s="34"/>
      <c r="R9" s="33"/>
    </row>
    <row r="10" spans="1:18">
      <c r="A10" s="33" t="s">
        <v>49</v>
      </c>
      <c r="B10" s="38">
        <f t="shared" si="0"/>
        <v>945.56213206219411</v>
      </c>
      <c r="C10" s="34"/>
      <c r="D10" s="38">
        <f>IF(ISERROR(TER_ander_gas_kWh/1000),0,TER_ander_gas_kWh/1000)*0.902</f>
        <v>362.33016488686854</v>
      </c>
      <c r="E10" s="34">
        <f>$C$30*'E Balans VL '!I14/100/3.6*1000000</f>
        <v>7.7356432623173186</v>
      </c>
      <c r="F10" s="34">
        <f>$C$30*('E Balans VL '!L14+'E Balans VL '!N14)/100/3.6*1000000</f>
        <v>276.44387198624349</v>
      </c>
      <c r="G10" s="35"/>
      <c r="H10" s="34"/>
      <c r="I10" s="34"/>
      <c r="J10" s="34">
        <f>$C$30*('E Balans VL '!D14+'E Balans VL '!E14)/100/3.6*1000000</f>
        <v>0</v>
      </c>
      <c r="K10" s="34"/>
      <c r="L10" s="34"/>
      <c r="M10" s="34"/>
      <c r="N10" s="34">
        <f>$C$30*'E Balans VL '!Y14/100/3.6*1000000</f>
        <v>545.46528196508484</v>
      </c>
      <c r="O10" s="34"/>
      <c r="P10" s="34"/>
      <c r="R10" s="33"/>
    </row>
    <row r="11" spans="1:18">
      <c r="A11" s="33" t="s">
        <v>54</v>
      </c>
      <c r="B11" s="38">
        <f t="shared" si="0"/>
        <v>0</v>
      </c>
      <c r="C11" s="34"/>
      <c r="D11" s="38">
        <f>IF(ISERROR(TER_onderwijs_gas_kWh/1000),0,TER_onderwijs_gas_kWh/1000)*0.902</f>
        <v>181.52693415186681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2724.21165473987</v>
      </c>
      <c r="C12" s="34"/>
      <c r="D12" s="38">
        <f>IF(ISERROR(TER_rest_gas_kWh/1000),0,TER_rest_gas_kWh/1000)*0.902</f>
        <v>5158.4038445667065</v>
      </c>
      <c r="E12" s="34">
        <f>$C$32*'E Balans VL '!I8/100/3.6*1000000</f>
        <v>23.538116813200133</v>
      </c>
      <c r="F12" s="34">
        <f>$C$32*('E Balans VL '!L8+'E Balans VL '!N8)/100/3.6*1000000</f>
        <v>542.62854279221324</v>
      </c>
      <c r="G12" s="35"/>
      <c r="H12" s="34"/>
      <c r="I12" s="34"/>
      <c r="J12" s="34">
        <f>$C$32*('E Balans VL '!D8+'E Balans VL '!E8)/100/3.6*1000000</f>
        <v>0</v>
      </c>
      <c r="K12" s="34"/>
      <c r="L12" s="34"/>
      <c r="M12" s="34"/>
      <c r="N12" s="34">
        <f>$C$32*'E Balans VL '!Y8/100/3.6*1000000</f>
        <v>179.17928949536184</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9942.3691438283095</v>
      </c>
      <c r="C16" s="22">
        <f t="shared" ca="1" si="1"/>
        <v>0</v>
      </c>
      <c r="D16" s="22">
        <f t="shared" ca="1" si="1"/>
        <v>11001.131469827669</v>
      </c>
      <c r="E16" s="22">
        <f t="shared" si="1"/>
        <v>95.908651424507838</v>
      </c>
      <c r="F16" s="22">
        <f t="shared" ca="1" si="1"/>
        <v>1938.1235947358578</v>
      </c>
      <c r="G16" s="22">
        <f t="shared" si="1"/>
        <v>0</v>
      </c>
      <c r="H16" s="22">
        <f t="shared" si="1"/>
        <v>0</v>
      </c>
      <c r="I16" s="22">
        <f t="shared" si="1"/>
        <v>0</v>
      </c>
      <c r="J16" s="22">
        <f t="shared" si="1"/>
        <v>0</v>
      </c>
      <c r="K16" s="22">
        <f t="shared" si="1"/>
        <v>0</v>
      </c>
      <c r="L16" s="22">
        <f t="shared" ca="1" si="1"/>
        <v>0</v>
      </c>
      <c r="M16" s="22">
        <f t="shared" si="1"/>
        <v>0</v>
      </c>
      <c r="N16" s="22">
        <f t="shared" ca="1" si="1"/>
        <v>741.26973392649211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0.21990707250500074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2186.3972921833342</v>
      </c>
      <c r="C20" s="24">
        <f t="shared" ref="C20:P20" ca="1" si="2">C16*C18</f>
        <v>0</v>
      </c>
      <c r="D20" s="24">
        <f t="shared" ca="1" si="2"/>
        <v>2222.2285569051892</v>
      </c>
      <c r="E20" s="24">
        <f t="shared" si="2"/>
        <v>21.771263873363282</v>
      </c>
      <c r="F20" s="24">
        <f t="shared" ca="1" si="2"/>
        <v>517.47899979447402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2251.8340711501901</v>
      </c>
      <c r="C26" s="40">
        <f>IF(ISERROR(B26*3.6/1000000/'E Balans VL '!Z12*100),0,B26*3.6/1000000/'E Balans VL '!Z12*100)</f>
        <v>4.7849859151823861E-2</v>
      </c>
      <c r="D26" s="236" t="s">
        <v>685</v>
      </c>
      <c r="F26" s="6"/>
    </row>
    <row r="27" spans="1:18">
      <c r="A27" s="231" t="s">
        <v>52</v>
      </c>
      <c r="B27" s="34">
        <f>IF(ISERROR(TER_horeca_ele_kWh/1000),0,TER_horeca_ele_kWh/1000)</f>
        <v>853.294015973</v>
      </c>
      <c r="C27" s="40">
        <f>IF(ISERROR(B27*3.6/1000000/'E Balans VL '!Z9*100),0,B27*3.6/1000000/'E Balans VL '!Z9*100)</f>
        <v>6.7160837551085192E-2</v>
      </c>
      <c r="D27" s="236" t="s">
        <v>685</v>
      </c>
      <c r="F27" s="6"/>
    </row>
    <row r="28" spans="1:18">
      <c r="A28" s="171" t="s">
        <v>51</v>
      </c>
      <c r="B28" s="34">
        <f>IF(ISERROR(TER_handel_ele_kWh/1000),0,TER_handel_ele_kWh/1000)</f>
        <v>3076.9347258655298</v>
      </c>
      <c r="C28" s="40">
        <f>IF(ISERROR(B28*3.6/1000000/'E Balans VL '!Z13*100),0,B28*3.6/1000000/'E Balans VL '!Z13*100)</f>
        <v>8.6186588381947121E-2</v>
      </c>
      <c r="D28" s="236" t="s">
        <v>685</v>
      </c>
      <c r="F28" s="6"/>
    </row>
    <row r="29" spans="1:18">
      <c r="A29" s="231" t="s">
        <v>50</v>
      </c>
      <c r="B29" s="34">
        <f>IF(ISERROR(TER_gezond_ele_kWh/1000),0,TER_gezond_ele_kWh/1000)</f>
        <v>90.53254403752581</v>
      </c>
      <c r="C29" s="40">
        <f>IF(ISERROR(B29*3.6/1000000/'E Balans VL '!Z10*100),0,B29*3.6/1000000/'E Balans VL '!Z10*100)</f>
        <v>1.1581849976276318E-2</v>
      </c>
      <c r="D29" s="236" t="s">
        <v>685</v>
      </c>
      <c r="F29" s="6"/>
    </row>
    <row r="30" spans="1:18">
      <c r="A30" s="231" t="s">
        <v>49</v>
      </c>
      <c r="B30" s="34">
        <f>IF(ISERROR(TER_ander_ele_kWh/1000),0,TER_ander_ele_kWh/1000)</f>
        <v>945.56213206219411</v>
      </c>
      <c r="C30" s="40">
        <f>IF(ISERROR(B30*3.6/1000000/'E Balans VL '!Z14*100),0,B30*3.6/1000000/'E Balans VL '!Z14*100)</f>
        <v>7.072008003254486E-2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2724.21165473987</v>
      </c>
      <c r="C32" s="40">
        <f>IF(ISERROR(B32*3.6/1000000/'E Balans VL '!Z8*100),0,B32*3.6/1000000/'E Balans VL '!Z8*100)</f>
        <v>2.2441870543626025E-2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1842.2882811790728</v>
      </c>
      <c r="C5" s="18">
        <f>IF(ISERROR('Eigen informatie GS &amp; warmtenet'!B59),0,'Eigen informatie GS &amp; warmtenet'!B59)</f>
        <v>0</v>
      </c>
      <c r="D5" s="31">
        <f>SUM(D6:D15)</f>
        <v>1787.3493438147179</v>
      </c>
      <c r="E5" s="18">
        <f>SUM(E6:E15)</f>
        <v>13.843625039823568</v>
      </c>
      <c r="F5" s="18">
        <f>SUM(F6:F15)</f>
        <v>886.43896542084724</v>
      </c>
      <c r="G5" s="19"/>
      <c r="H5" s="18"/>
      <c r="I5" s="18"/>
      <c r="J5" s="18">
        <f>SUM(J6:J15)</f>
        <v>4.1351191195135932</v>
      </c>
      <c r="K5" s="18"/>
      <c r="L5" s="18"/>
      <c r="M5" s="18"/>
      <c r="N5" s="18">
        <f>SUM(N6:N15)</f>
        <v>91.570487681909967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76.3915207745749</v>
      </c>
      <c r="C8" s="34"/>
      <c r="D8" s="38">
        <f>IF( ISERROR(IND_metaal_Gas_kWH/1000),0,IND_metaal_Gas_kWH/1000)*0.902</f>
        <v>0</v>
      </c>
      <c r="E8" s="34">
        <f>C30*'E Balans VL '!I18/100/3.6*1000000</f>
        <v>0.69568381299823612</v>
      </c>
      <c r="F8" s="34">
        <f>C30*'E Balans VL '!L18/100/3.6*1000000+C30*'E Balans VL '!N18/100/3.6*1000000</f>
        <v>10.075461462993673</v>
      </c>
      <c r="G8" s="35"/>
      <c r="H8" s="34"/>
      <c r="I8" s="34"/>
      <c r="J8" s="41">
        <f>C30*'E Balans VL '!D18/100/3.6*1000000+C30*'E Balans VL '!E18/100/3.6*1000000</f>
        <v>1.2527100242088471</v>
      </c>
      <c r="K8" s="34"/>
      <c r="L8" s="34"/>
      <c r="M8" s="34"/>
      <c r="N8" s="34">
        <f>C30*'E Balans VL '!Y18/100/3.6*1000000</f>
        <v>0.26252731044843075</v>
      </c>
      <c r="O8" s="34"/>
      <c r="P8" s="34"/>
      <c r="R8" s="33"/>
    </row>
    <row r="9" spans="1:18">
      <c r="A9" s="6" t="s">
        <v>32</v>
      </c>
      <c r="B9" s="38">
        <f t="shared" si="0"/>
        <v>924.10662704463198</v>
      </c>
      <c r="C9" s="34"/>
      <c r="D9" s="38">
        <f>IF( ISERROR(IND_andere_gas_kWh/1000),0,IND_andere_gas_kWh/1000)*0.902</f>
        <v>865.5085125705134</v>
      </c>
      <c r="E9" s="34">
        <f>C31*'E Balans VL '!I19/100/3.6*1000000</f>
        <v>5.3414744006310269</v>
      </c>
      <c r="F9" s="34">
        <f>C31*'E Balans VL '!L19/100/3.6*1000000+C31*'E Balans VL '!N19/100/3.6*1000000</f>
        <v>735.17128806530377</v>
      </c>
      <c r="G9" s="35"/>
      <c r="H9" s="34"/>
      <c r="I9" s="34"/>
      <c r="J9" s="41">
        <f>C31*'E Balans VL '!D19/100/3.6*1000000+C31*'E Balans VL '!E19/100/3.6*1000000</f>
        <v>8.7410222232743834E-2</v>
      </c>
      <c r="K9" s="34"/>
      <c r="L9" s="34"/>
      <c r="M9" s="34"/>
      <c r="N9" s="34">
        <f>C31*'E Balans VL '!Y19/100/3.6*1000000</f>
        <v>70.015061788150149</v>
      </c>
      <c r="O9" s="34"/>
      <c r="P9" s="34"/>
      <c r="R9" s="33"/>
    </row>
    <row r="10" spans="1:18">
      <c r="A10" s="6" t="s">
        <v>40</v>
      </c>
      <c r="B10" s="38">
        <f t="shared" si="0"/>
        <v>286.21281435722</v>
      </c>
      <c r="C10" s="34"/>
      <c r="D10" s="38">
        <f>IF( ISERROR(IND_voed_gas_kWh/1000),0,IND_voed_gas_kWh/1000)*0.902</f>
        <v>565.66853470657099</v>
      </c>
      <c r="E10" s="34">
        <f>C32*'E Balans VL '!I20/100/3.6*1000000</f>
        <v>2.8142207411620395</v>
      </c>
      <c r="F10" s="34">
        <f>C32*'E Balans VL '!L20/100/3.6*1000000+C32*'E Balans VL '!N20/100/3.6*1000000</f>
        <v>31.787668868455395</v>
      </c>
      <c r="G10" s="35"/>
      <c r="H10" s="34"/>
      <c r="I10" s="34"/>
      <c r="J10" s="41">
        <f>C32*'E Balans VL '!D20/100/3.6*1000000+C32*'E Balans VL '!E20/100/3.6*1000000</f>
        <v>1.1280946341811664E-3</v>
      </c>
      <c r="K10" s="34"/>
      <c r="L10" s="34"/>
      <c r="M10" s="34"/>
      <c r="N10" s="34">
        <f>C32*'E Balans VL '!Y20/100/3.6*1000000</f>
        <v>4.2381385371259928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555.57731900264605</v>
      </c>
      <c r="C15" s="34"/>
      <c r="D15" s="38">
        <f>IF( ISERROR(IND_rest_gas_kWh/1000),0,IND_rest_gas_kWh/1000)*0.902</f>
        <v>356.17229653763337</v>
      </c>
      <c r="E15" s="34">
        <f>C37*'E Balans VL '!I15/100/3.6*1000000</f>
        <v>4.9922460850322654</v>
      </c>
      <c r="F15" s="34">
        <f>C37*'E Balans VL '!L15/100/3.6*1000000+C37*'E Balans VL '!N15/100/3.6*1000000</f>
        <v>109.40454702409446</v>
      </c>
      <c r="G15" s="35"/>
      <c r="H15" s="34"/>
      <c r="I15" s="34"/>
      <c r="J15" s="41">
        <f>C37*'E Balans VL '!D15/100/3.6*1000000+C37*'E Balans VL '!E15/100/3.6*1000000</f>
        <v>2.7938707784378209</v>
      </c>
      <c r="K15" s="34"/>
      <c r="L15" s="34"/>
      <c r="M15" s="34"/>
      <c r="N15" s="34">
        <f>C37*'E Balans VL '!Y15/100/3.6*1000000</f>
        <v>17.054760046185397</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1842.2882811790728</v>
      </c>
      <c r="C18" s="22">
        <f>C5+C16</f>
        <v>0</v>
      </c>
      <c r="D18" s="22">
        <f>MAX((D5+D16),0)</f>
        <v>1787.3493438147179</v>
      </c>
      <c r="E18" s="22">
        <f>MAX((E5+E16),0)</f>
        <v>13.843625039823568</v>
      </c>
      <c r="F18" s="22">
        <f>MAX((F5+F16),0)</f>
        <v>886.43896542084724</v>
      </c>
      <c r="G18" s="22"/>
      <c r="H18" s="22"/>
      <c r="I18" s="22"/>
      <c r="J18" s="22">
        <f>MAX((J5+J16),0)</f>
        <v>4.1351191195135932</v>
      </c>
      <c r="K18" s="22"/>
      <c r="L18" s="22">
        <f>MAX((L5+L16),0)</f>
        <v>0</v>
      </c>
      <c r="M18" s="22"/>
      <c r="N18" s="22">
        <f>MAX((N5+N16),0)</f>
        <v>91.570487681909967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0.21990707250500074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405.13222262435954</v>
      </c>
      <c r="C22" s="24">
        <f ca="1">C18*C20</f>
        <v>0</v>
      </c>
      <c r="D22" s="24">
        <f>D18*D20</f>
        <v>361.04456745057303</v>
      </c>
      <c r="E22" s="24">
        <f>E18*E20</f>
        <v>3.14250288403995</v>
      </c>
      <c r="F22" s="24">
        <f>F18*F20</f>
        <v>236.67920376736623</v>
      </c>
      <c r="G22" s="24"/>
      <c r="H22" s="24"/>
      <c r="I22" s="24"/>
      <c r="J22" s="24">
        <f>J18*J20</f>
        <v>1.4638321683078119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76.3915207745749</v>
      </c>
      <c r="C30" s="40">
        <f>IF(ISERROR(B30*3.6/1000000/'E Balans VL '!Z18*100),0,B30*3.6/1000000/'E Balans VL '!Z18*100)</f>
        <v>4.2506773053884259E-3</v>
      </c>
      <c r="D30" s="236" t="s">
        <v>685</v>
      </c>
    </row>
    <row r="31" spans="1:18">
      <c r="A31" s="6" t="s">
        <v>32</v>
      </c>
      <c r="B31" s="38">
        <f>IF( ISERROR(IND_ander_ele_kWh/1000),0,IND_ander_ele_kWh/1000)</f>
        <v>924.10662704463198</v>
      </c>
      <c r="C31" s="40">
        <f>IF(ISERROR(B31*3.6/1000000/'E Balans VL '!Z19*100),0,B31*3.6/1000000/'E Balans VL '!Z19*100)</f>
        <v>4.2959290107560118E-2</v>
      </c>
      <c r="D31" s="236" t="s">
        <v>685</v>
      </c>
    </row>
    <row r="32" spans="1:18">
      <c r="A32" s="171" t="s">
        <v>40</v>
      </c>
      <c r="B32" s="38">
        <f>IF( ISERROR(IND_voed_ele_kWh/1000),0,IND_voed_ele_kWh/1000)</f>
        <v>286.21281435722</v>
      </c>
      <c r="C32" s="40">
        <f>IF(ISERROR(B32*3.6/1000000/'E Balans VL '!Z20*100),0,B32*3.6/1000000/'E Balans VL '!Z20*100)</f>
        <v>1.0117044956269255E-2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555.57731900264605</v>
      </c>
      <c r="C37" s="40">
        <f>IF(ISERROR(B37*3.6/1000000/'E Balans VL '!Z15*100),0,B37*3.6/1000000/'E Balans VL '!Z15*100)</f>
        <v>4.1954294702740537E-3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828.78441682868436</v>
      </c>
      <c r="C5" s="18">
        <f>'Eigen informatie GS &amp; warmtenet'!B60</f>
        <v>0</v>
      </c>
      <c r="D5" s="31">
        <f>IF(ISERROR(SUM(LB_lb_gas_kWh,LB_rest_gas_kWh)/1000),0,SUM(LB_lb_gas_kWh,LB_rest_gas_kWh)/1000)*0.902</f>
        <v>75639.482704710957</v>
      </c>
      <c r="E5" s="18">
        <f>B17*'E Balans VL '!I25/3.6*1000000/100</f>
        <v>7.8077045103011669</v>
      </c>
      <c r="F5" s="18">
        <f>B17*('E Balans VL '!L25/3.6*1000000+'E Balans VL '!N25/3.6*1000000)/100</f>
        <v>2704.5986015042076</v>
      </c>
      <c r="G5" s="19"/>
      <c r="H5" s="18"/>
      <c r="I5" s="18"/>
      <c r="J5" s="18">
        <f>('E Balans VL '!D25+'E Balans VL '!E25)/3.6*1000000*landbouw!B17/100</f>
        <v>102.52466356833736</v>
      </c>
      <c r="K5" s="18"/>
      <c r="L5" s="18">
        <f>L6*(-1)</f>
        <v>0</v>
      </c>
      <c r="M5" s="18"/>
      <c r="N5" s="18">
        <f>N6*(-1)</f>
        <v>0</v>
      </c>
      <c r="O5" s="18"/>
      <c r="P5" s="18"/>
      <c r="R5" s="33"/>
    </row>
    <row r="6" spans="1:18">
      <c r="A6" s="17" t="s">
        <v>489</v>
      </c>
      <c r="B6" s="18" t="s">
        <v>204</v>
      </c>
      <c r="C6" s="18">
        <f>'lokale energieproductie'!O41+'lokale energieproductie'!O34</f>
        <v>32708.571428571431</v>
      </c>
      <c r="D6" s="305">
        <f>('lokale energieproductie'!P34+'lokale energieproductie'!P41)*(-1)</f>
        <v>-65417.14285714287</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828.78441682868436</v>
      </c>
      <c r="C8" s="22">
        <f>C5+C6</f>
        <v>32708.571428571431</v>
      </c>
      <c r="D8" s="22">
        <f>MAX((D5+D6),0)</f>
        <v>10222.339847568088</v>
      </c>
      <c r="E8" s="22">
        <f>MAX((E5+E6),0)</f>
        <v>7.8077045103011669</v>
      </c>
      <c r="F8" s="22">
        <f>MAX((F5+F6),0)</f>
        <v>2704.5986015042076</v>
      </c>
      <c r="G8" s="22"/>
      <c r="H8" s="22"/>
      <c r="I8" s="22"/>
      <c r="J8" s="22">
        <f>MAX((J5+J6),0)</f>
        <v>102.52466356833736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0.21990707250500074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182.25555484256026</v>
      </c>
      <c r="C12" s="24">
        <f ca="1">C8*C10</f>
        <v>7773.0957983193293</v>
      </c>
      <c r="D12" s="24">
        <f>D8*D10</f>
        <v>2064.9126492087539</v>
      </c>
      <c r="E12" s="24">
        <f>E8*E10</f>
        <v>1.772348923838365</v>
      </c>
      <c r="F12" s="24">
        <f>F8*F10</f>
        <v>722.1278266016235</v>
      </c>
      <c r="G12" s="24"/>
      <c r="H12" s="24"/>
      <c r="I12" s="24"/>
      <c r="J12" s="24">
        <f>J8*J10</f>
        <v>36.293730903191424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0.11220416648697916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120.16512881897533</v>
      </c>
      <c r="C26" s="246">
        <f>B26*'GWP N2O_CH4'!B5</f>
        <v>2523.4677051984818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31.25170230012872</v>
      </c>
      <c r="C27" s="246">
        <f>B27*'GWP N2O_CH4'!B5</f>
        <v>656.28574830270315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1.6121324537544293</v>
      </c>
      <c r="C28" s="246">
        <f>B28*'GWP N2O_CH4'!B4</f>
        <v>499.76106066387308</v>
      </c>
      <c r="D28" s="51"/>
    </row>
    <row r="29" spans="1:4">
      <c r="A29" s="42" t="s">
        <v>266</v>
      </c>
      <c r="B29" s="246">
        <f>B34*'ha_N2O bodem landbouw'!B4</f>
        <v>7.0486362835915166</v>
      </c>
      <c r="C29" s="246">
        <f>B29*'GWP N2O_CH4'!B4</f>
        <v>2185.0772479133702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1.9029099036186557E-3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8.4621986654161742E-6</v>
      </c>
      <c r="C5" s="433" t="s">
        <v>204</v>
      </c>
      <c r="D5" s="418">
        <f>SUM(D6:D11)</f>
        <v>1.0468208054027855E-5</v>
      </c>
      <c r="E5" s="418">
        <f>SUM(E6:E11)</f>
        <v>6.722812164096459E-4</v>
      </c>
      <c r="F5" s="431" t="s">
        <v>204</v>
      </c>
      <c r="G5" s="418">
        <f>SUM(G6:G11)</f>
        <v>0.12776905660931479</v>
      </c>
      <c r="H5" s="418">
        <f>SUM(H6:H11)</f>
        <v>2.5307162847091665E-2</v>
      </c>
      <c r="I5" s="433" t="s">
        <v>204</v>
      </c>
      <c r="J5" s="433" t="s">
        <v>204</v>
      </c>
      <c r="K5" s="433" t="s">
        <v>204</v>
      </c>
      <c r="L5" s="433" t="s">
        <v>204</v>
      </c>
      <c r="M5" s="418">
        <f>SUM(M6:M11)</f>
        <v>6.8443770814266775E-3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7.2576658354524213E-6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8.4528689316360083E-6</v>
      </c>
      <c r="E6" s="421">
        <f>vkm_GW_PW*SUMIFS(TableVerdeelsleutelVkm[LPG],TableVerdeelsleutelVkm[Voertuigtype],"Lichte voertuigen")*SUMIFS(TableECFTransport[EnergieConsumptieFactor (PJ per km)],TableECFTransport[Index],CONCATENATE($A6,"_LPG_LPG"))</f>
        <v>5.4840041489371139E-4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8.5560775182182358E-2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2.0620133281776344E-2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4.7516025687577134E-3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1.4460553225184938E-7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2.3920946312134702E-2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6.4188423032651862E-7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1.0644040763620737E-3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1.0594935963879024E-6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2.0153391223918466E-6</v>
      </c>
      <c r="E8" s="421">
        <f>vkm_NGW_PW*SUMIFS(TableVerdeelsleutelVkm[LPG],TableVerdeelsleutelVkm[Voertuigtype],"Lichte voertuigen")*SUMIFS(TableECFTransport[EnergieConsumptieFactor (PJ per km)],TableECFTransport[Index],CONCATENATE($A8,"_LPG_LPG"))</f>
        <v>1.2388080151593453E-4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1.8195334819816111E-2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4.6863853573906973E-3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1.0242767299351804E-3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4.3370132400165899E-10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9.2000295181622269E-5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2.3236942966608427E-9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4.0937063717100006E-6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2.3506107403933818</v>
      </c>
      <c r="C14" s="22"/>
      <c r="D14" s="22">
        <f t="shared" ref="D14:M14" si="0">((D5)*10^9/3600)+D12</f>
        <v>2.907835570563293</v>
      </c>
      <c r="E14" s="22">
        <f t="shared" si="0"/>
        <v>186.74478233601275</v>
      </c>
      <c r="F14" s="22"/>
      <c r="G14" s="22">
        <f t="shared" si="0"/>
        <v>35491.404613698549</v>
      </c>
      <c r="H14" s="22">
        <f t="shared" si="0"/>
        <v>7029.7674575254623</v>
      </c>
      <c r="I14" s="22"/>
      <c r="J14" s="22"/>
      <c r="K14" s="22"/>
      <c r="L14" s="22"/>
      <c r="M14" s="22">
        <f t="shared" si="0"/>
        <v>1901.2158559518548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0.21990707250500074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0.51691592651872087</v>
      </c>
      <c r="C18" s="24"/>
      <c r="D18" s="24">
        <f t="shared" ref="D18:M18" si="1">D14*D16</f>
        <v>0.58738278525378518</v>
      </c>
      <c r="E18" s="24">
        <f t="shared" si="1"/>
        <v>42.391065590274899</v>
      </c>
      <c r="F18" s="24"/>
      <c r="G18" s="24">
        <f t="shared" si="1"/>
        <v>9476.2050318575129</v>
      </c>
      <c r="H18" s="24">
        <f t="shared" si="1"/>
        <v>1750.4120969238402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9.3265423417902095E-6</v>
      </c>
      <c r="C50" s="316">
        <f t="shared" ref="C50:P50" si="2">SUM(C51:C52)</f>
        <v>0</v>
      </c>
      <c r="D50" s="316">
        <f t="shared" si="2"/>
        <v>0</v>
      </c>
      <c r="E50" s="316">
        <f t="shared" si="2"/>
        <v>0</v>
      </c>
      <c r="F50" s="316">
        <f t="shared" si="2"/>
        <v>0</v>
      </c>
      <c r="G50" s="316">
        <f t="shared" si="2"/>
        <v>1.8601972579577544E-3</v>
      </c>
      <c r="H50" s="316">
        <f t="shared" si="2"/>
        <v>0</v>
      </c>
      <c r="I50" s="316">
        <f t="shared" si="2"/>
        <v>0</v>
      </c>
      <c r="J50" s="316">
        <f t="shared" si="2"/>
        <v>0</v>
      </c>
      <c r="K50" s="316">
        <f t="shared" si="2"/>
        <v>0</v>
      </c>
      <c r="L50" s="316">
        <f t="shared" si="2"/>
        <v>0</v>
      </c>
      <c r="M50" s="316">
        <f t="shared" si="2"/>
        <v>8.2218737580439939E-5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9.3265423417902095E-6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1.8601972579577544E-3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8.2218737580439939E-5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2.5907062060528361</v>
      </c>
      <c r="C54" s="22">
        <f t="shared" ref="C54:P54" si="3">(C50)*10^9/3600</f>
        <v>0</v>
      </c>
      <c r="D54" s="22">
        <f t="shared" si="3"/>
        <v>0</v>
      </c>
      <c r="E54" s="22">
        <f t="shared" si="3"/>
        <v>0</v>
      </c>
      <c r="F54" s="22">
        <f t="shared" si="3"/>
        <v>0</v>
      </c>
      <c r="G54" s="22">
        <f t="shared" si="3"/>
        <v>516.72146054382063</v>
      </c>
      <c r="H54" s="22">
        <f t="shared" si="3"/>
        <v>0</v>
      </c>
      <c r="I54" s="22">
        <f t="shared" si="3"/>
        <v>0</v>
      </c>
      <c r="J54" s="22">
        <f t="shared" si="3"/>
        <v>0</v>
      </c>
      <c r="K54" s="22">
        <f t="shared" si="3"/>
        <v>0</v>
      </c>
      <c r="L54" s="22">
        <f t="shared" si="3"/>
        <v>0</v>
      </c>
      <c r="M54" s="22">
        <f t="shared" si="3"/>
        <v>22.838538216788869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0.21990707250500074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0.5697146174936164</v>
      </c>
      <c r="C58" s="24">
        <f t="shared" ref="C58:P58" ca="1" si="4">C54*C56</f>
        <v>0</v>
      </c>
      <c r="D58" s="24">
        <f t="shared" si="4"/>
        <v>0</v>
      </c>
      <c r="E58" s="24">
        <f t="shared" si="4"/>
        <v>0</v>
      </c>
      <c r="F58" s="24">
        <f t="shared" si="4"/>
        <v>0</v>
      </c>
      <c r="G58" s="24">
        <f t="shared" si="4"/>
        <v>137.96462996520012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1892.7893850652754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22896</v>
      </c>
      <c r="C8" s="544">
        <f>B50</f>
        <v>26936.470588235297</v>
      </c>
      <c r="D8" s="967"/>
      <c r="E8" s="967">
        <f>E50</f>
        <v>0</v>
      </c>
      <c r="F8" s="968"/>
      <c r="G8" s="545"/>
      <c r="H8" s="967">
        <f>I50</f>
        <v>0</v>
      </c>
      <c r="I8" s="967">
        <f>G50+F50</f>
        <v>0</v>
      </c>
      <c r="J8" s="967">
        <f>H50+D50+C50</f>
        <v>0</v>
      </c>
      <c r="K8" s="967"/>
      <c r="L8" s="967"/>
      <c r="M8" s="967"/>
      <c r="N8" s="546"/>
      <c r="O8" s="547">
        <f>C8*$C$12+D8*$D$12+E8*$E$12+F8*$F$12+G8*$G$12+H8*$H$12+I8*$I$12+J8*$J$12</f>
        <v>5441.1670588235302</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24788.789385065276</v>
      </c>
      <c r="C10" s="556">
        <f t="shared" ref="C10:L10" si="0">SUM(C8:C9)</f>
        <v>26936.470588235297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5441.1670588235302</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32708.571428571431</v>
      </c>
      <c r="C17" s="568">
        <f>B51</f>
        <v>38480.672268907569</v>
      </c>
      <c r="D17" s="569"/>
      <c r="E17" s="569">
        <f>E51</f>
        <v>0</v>
      </c>
      <c r="F17" s="570"/>
      <c r="G17" s="571"/>
      <c r="H17" s="568">
        <f>I51</f>
        <v>0</v>
      </c>
      <c r="I17" s="569">
        <f>G51+F51</f>
        <v>0</v>
      </c>
      <c r="J17" s="569">
        <f>H51+D51+C51</f>
        <v>0</v>
      </c>
      <c r="K17" s="569"/>
      <c r="L17" s="569"/>
      <c r="M17" s="569"/>
      <c r="N17" s="974"/>
      <c r="O17" s="572">
        <f>C17*$C$22+E17*$E$22+H17*$H$22+I17*$I$22+J17*$J$22+D17*$D$22+F17*$F$22+G17*$G$22+K17*$K$22+L17*$L$22</f>
        <v>7773.0957983193293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32708.571428571431</v>
      </c>
      <c r="C20" s="555">
        <f>SUM(C17:C19)</f>
        <v>38480.672268907569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7773.0957983193293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12002</v>
      </c>
      <c r="C28" s="775">
        <v>2590</v>
      </c>
      <c r="D28" s="628"/>
      <c r="E28" s="627"/>
      <c r="F28" s="627"/>
      <c r="G28" s="627" t="s">
        <v>959</v>
      </c>
      <c r="H28" s="627" t="s">
        <v>960</v>
      </c>
      <c r="I28" s="627"/>
      <c r="J28" s="774"/>
      <c r="K28" s="774"/>
      <c r="L28" s="627" t="s">
        <v>961</v>
      </c>
      <c r="M28" s="627">
        <v>1532</v>
      </c>
      <c r="N28" s="627">
        <v>6894</v>
      </c>
      <c r="O28" s="627">
        <v>9848.5714285714294</v>
      </c>
      <c r="P28" s="627">
        <v>19697.142857142859</v>
      </c>
      <c r="Q28" s="627">
        <v>0</v>
      </c>
      <c r="R28" s="627">
        <v>0</v>
      </c>
      <c r="S28" s="627">
        <v>0</v>
      </c>
      <c r="T28" s="627">
        <v>0</v>
      </c>
      <c r="U28" s="627">
        <v>0</v>
      </c>
      <c r="V28" s="627">
        <v>0</v>
      </c>
      <c r="W28" s="627"/>
      <c r="X28" s="627">
        <v>10</v>
      </c>
      <c r="Y28" s="627" t="s">
        <v>105</v>
      </c>
      <c r="Z28" s="629" t="s">
        <v>105</v>
      </c>
    </row>
    <row r="29" spans="1:26" s="581" customFormat="1" ht="25.5" hidden="1">
      <c r="A29" s="580"/>
      <c r="B29" s="775">
        <v>12002</v>
      </c>
      <c r="C29" s="775">
        <v>2590</v>
      </c>
      <c r="D29" s="628"/>
      <c r="E29" s="627"/>
      <c r="F29" s="627"/>
      <c r="G29" s="627" t="s">
        <v>959</v>
      </c>
      <c r="H29" s="627" t="s">
        <v>960</v>
      </c>
      <c r="I29" s="627"/>
      <c r="J29" s="774"/>
      <c r="K29" s="774"/>
      <c r="L29" s="627" t="s">
        <v>961</v>
      </c>
      <c r="M29" s="627">
        <v>1558</v>
      </c>
      <c r="N29" s="627">
        <v>7011</v>
      </c>
      <c r="O29" s="627">
        <v>10015.714285714286</v>
      </c>
      <c r="P29" s="627">
        <v>20031.428571428572</v>
      </c>
      <c r="Q29" s="627">
        <v>0</v>
      </c>
      <c r="R29" s="627">
        <v>0</v>
      </c>
      <c r="S29" s="627">
        <v>0</v>
      </c>
      <c r="T29" s="627">
        <v>0</v>
      </c>
      <c r="U29" s="627">
        <v>0</v>
      </c>
      <c r="V29" s="627">
        <v>0</v>
      </c>
      <c r="W29" s="627"/>
      <c r="X29" s="627">
        <v>10</v>
      </c>
      <c r="Y29" s="627" t="s">
        <v>105</v>
      </c>
      <c r="Z29" s="629" t="s">
        <v>105</v>
      </c>
    </row>
    <row r="30" spans="1:26" s="581" customFormat="1" ht="25.5" hidden="1">
      <c r="A30" s="580"/>
      <c r="B30" s="775">
        <v>12002</v>
      </c>
      <c r="C30" s="775">
        <v>2590</v>
      </c>
      <c r="D30" s="628"/>
      <c r="E30" s="627"/>
      <c r="F30" s="627"/>
      <c r="G30" s="627" t="s">
        <v>959</v>
      </c>
      <c r="H30" s="627" t="s">
        <v>960</v>
      </c>
      <c r="I30" s="627"/>
      <c r="J30" s="774"/>
      <c r="K30" s="774"/>
      <c r="L30" s="627" t="s">
        <v>961</v>
      </c>
      <c r="M30" s="627">
        <v>1998</v>
      </c>
      <c r="N30" s="627">
        <v>8991</v>
      </c>
      <c r="O30" s="627">
        <v>12844.285714285714</v>
      </c>
      <c r="P30" s="627">
        <v>25688.571428571431</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5088</v>
      </c>
      <c r="N31" s="585">
        <f>SUM(N28:N30)</f>
        <v>22896</v>
      </c>
      <c r="O31" s="585">
        <f>SUM(O28:O30)</f>
        <v>32708.571428571431</v>
      </c>
      <c r="P31" s="585">
        <f>SUM(P28:P30)</f>
        <v>65417.14285714287</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5088</v>
      </c>
      <c r="N34" s="590">
        <f>SUMIF($Z$28:$Z$30,"landbouw",N28:N30)</f>
        <v>22896</v>
      </c>
      <c r="O34" s="590">
        <f>SUMIF($Z$28:$Z$30,"landbouw",O28:O30)</f>
        <v>32708.571428571431</v>
      </c>
      <c r="P34" s="590">
        <f>SUMIF($Z$28:$Z$30,"landbouw",P28:P30)</f>
        <v>65417.14285714287</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26936.470588235297</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38480.672268907569</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2021-11-11T13:29:53Z</dcterms:modified>
</cp:coreProperties>
</file>