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CD00DA8E-2DDA-4E53-838B-209347D1FDD5}"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D20" i="18"/>
  <c r="G12" i="18"/>
  <c r="F12" i="18"/>
  <c r="E12" i="18"/>
  <c r="D12" i="18"/>
  <c r="C12" i="18"/>
  <c r="L10" i="18"/>
  <c r="K10" i="18"/>
  <c r="G10" i="18"/>
  <c r="D10" i="18"/>
  <c r="B8" i="18"/>
  <c r="B6" i="18"/>
  <c r="B5" i="18"/>
  <c r="B4" i="18"/>
  <c r="J9" i="18" l="1"/>
  <c r="F20" i="18"/>
  <c r="B17" i="18"/>
  <c r="C47" i="18"/>
  <c r="B50" i="18" s="1"/>
  <c r="C8" i="18" s="1"/>
  <c r="G20" i="18"/>
  <c r="K20" i="18"/>
  <c r="B10" i="18"/>
  <c r="O9" i="18"/>
  <c r="O19" i="18"/>
  <c r="O18" i="18"/>
  <c r="B20" i="18"/>
  <c r="I51" i="18"/>
  <c r="H17" i="18" s="1"/>
  <c r="H20" i="18" s="1"/>
  <c r="E51" i="18"/>
  <c r="E17" i="18" s="1"/>
  <c r="E20" i="18" s="1"/>
  <c r="G51" i="18"/>
  <c r="C51" i="18"/>
  <c r="H51" i="18"/>
  <c r="D51" i="18"/>
  <c r="F51" i="18"/>
  <c r="B51" i="18"/>
  <c r="C17" i="18" s="1"/>
  <c r="I50" i="18"/>
  <c r="H8" i="18" s="1"/>
  <c r="H10" i="18" s="1"/>
  <c r="C50" i="18"/>
  <c r="H50" i="18"/>
  <c r="D50" i="18"/>
  <c r="N6" i="17"/>
  <c r="L6" i="17"/>
  <c r="F6" i="17"/>
  <c r="D6" i="17"/>
  <c r="C6" i="17"/>
  <c r="N16" i="16"/>
  <c r="L16" i="16"/>
  <c r="F16" i="16"/>
  <c r="D16" i="16"/>
  <c r="C16" i="16"/>
  <c r="B16" i="16"/>
  <c r="B13" i="15"/>
  <c r="F50" i="18" l="1"/>
  <c r="E50" i="18"/>
  <c r="E8" i="18" s="1"/>
  <c r="E10" i="18" s="1"/>
  <c r="G50"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<sst xmlns="http://schemas.openxmlformats.org/spreadsheetml/2006/main" count="2568" uniqueCount="963">
  <si>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</si>
  <si>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</si>
  <si>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</si>
  <si>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</si>
  <si>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</si>
  <si>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</si>
  <si>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</si>
  <si>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</si>
  <si>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</si>
  <si>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</si>
  <si>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</si>
  <si>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</si>
  <si>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</si>
  <si>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</si>
  <si>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</si>
  <si>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</si>
  <si>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</si>
  <si>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</si>
  <si>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</si>
  <si>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</si>
  <si>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</si>
  <si>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</si>
  <si>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</si>
  <si>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</si>
  <si>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</si>
  <si>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</si>
  <si>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</si>
  <si>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</si>
  <si>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</si>
  <si>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</si>
  <si>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</si>
  <si>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</si>
  <si>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</si>
  <si>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</si>
  <si>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</si>
  <si>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</si>
  <si>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</si>
  <si>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</si>
  <si>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</si>
  <si>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</si>
  <si>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</si>
  <si>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</si>
  <si>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</si>
  <si>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</si>
  <si>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</si>
  <si>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</si>
  <si>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</si>
  <si>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</si>
  <si>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</si>
  <si>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</si>
  <si>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</si>
  <si>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</si>
  <si>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</si>
  <si>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</si>
  <si>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</si>
  <si>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</si>
  <si>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</si>
  <si>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</si>
  <si>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</si>
  <si>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</si>
  <si>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</si>
  <si>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</si>
  <si>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</si>
  <si>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</si>
  <si>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</si>
  <si>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</si>
  <si>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</si>
  <si>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</si>
  <si>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</si>
  <si>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</si>
  <si>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</si>
  <si>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</si>
  <si>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</si>
  <si>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</si>
  <si>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</si>
  <si>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</si>
  <si>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</si>
  <si>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</si>
  <si>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</si>
  <si>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</si>
  <si>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</si>
  <si>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</si>
  <si>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</si>
  <si>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</si>
  <si>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</si>
  <si>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</si>
  <si>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</si>
  <si>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</si>
  <si>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</si>
  <si>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</si>
  <si>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</si>
  <si>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</si>
  <si>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</si>
  <si>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</si>
  <si>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</si>
  <si>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</si>
  <si>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</si>
  <si>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</si>
  <si>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</si>
  <si>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</si>
  <si>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</si>
  <si>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</si>
  <si>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</si>
  <si>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</si>
  <si>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</si>
  <si>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</si>
  <si>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</si>
  <si>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</si>
  <si>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</si>
  <si>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</si>
  <si>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</si>
  <si>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</si>
  <si>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</si>
  <si>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</si>
  <si>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</si>
  <si>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</si>
  <si>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</si>
  <si>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</si>
  <si>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</si>
  <si>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</si>
  <si>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</si>
  <si>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</si>
  <si>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</si>
  <si>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</si>
  <si>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</si>
  <si>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</si>
  <si>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</si>
  <si>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</si>
  <si>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</si>
  <si>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</si>
  <si>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</si>
  <si>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</si>
  <si>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</si>
  <si>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</si>
  <si>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</si>
  <si>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</si>
  <si>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</si>
  <si>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</si>
  <si>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</si>
  <si>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</si>
  <si>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</si>
  <si>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</si>
  <si>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</si>
  <si>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</si>
  <si>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</si>
  <si>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</si>
  <si>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</si>
  <si>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</si>
  <si>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</si>
  <si>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</si>
  <si>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</si>
  <si>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</si>
  <si>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</si>
  <si>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</si>
  <si>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</si>
  <si>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</si>
  <si>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</si>
  <si>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</si>
  <si>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</si>
  <si>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</si>
  <si>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</si>
  <si>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</si>
  <si>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</si>
  <si>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</si>
  <si>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</si>
  <si>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</si>
  <si>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</si>
  <si>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</si>
  <si>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</si>
  <si>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</si>
  <si>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</si>
  <si>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</si>
  <si>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</si>
  <si>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</si>
  <si>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</si>
  <si>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</si>
  <si>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</si>
  <si>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</si>
  <si>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</si>
  <si>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</si>
  <si>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</si>
  <si>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</si>
  <si>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</si>
  <si>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</si>
  <si>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</si>
  <si>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</si>
  <si>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</si>
  <si>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</si>
  <si>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</si>
  <si>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</si>
  <si>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</si>
  <si>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</si>
  <si>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</si>
  <si>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</si>
  <si>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</si>
  <si>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</si>
  <si>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</si>
  <si>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</si>
  <si>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</si>
  <si>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</si>
  <si>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</si>
  <si>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</si>
  <si>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</si>
  <si>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</si>
  <si>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</si>
  <si>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</si>
  <si>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</si>
  <si>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</si>
  <si>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</si>
  <si>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</si>
  <si>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</si>
  <si>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</si>
  <si>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</si>
  <si>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</si>
  <si>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</si>
  <si>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</si>
  <si>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</si>
  <si>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</si>
  <si>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</si>
  <si>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</si>
  <si>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</si>
  <si>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</si>
  <si>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</si>
  <si>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</si>
  <si>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</si>
  <si>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</si>
  <si>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</si>
  <si>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</si>
  <si>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</si>
  <si>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</si>
  <si>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</si>
  <si>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</si>
  <si>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</si>
  <si>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</si>
  <si>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</si>
  <si>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</si>
  <si>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</si>
  <si>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</si>
  <si>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</si>
  <si>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</si>
  <si>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</si>
  <si>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</si>
  <si>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</si>
  <si>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</si>
  <si>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</si>
  <si>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</si>
  <si>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</si>
  <si>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</si>
  <si>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</si>
  <si>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</si>
  <si>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</si>
  <si>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</si>
  <si>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</si>
  <si>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</si>
  <si>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</si>
  <si>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</si>
  <si>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</si>
  <si>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</si>
  <si>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</si>
  <si>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</si>
  <si>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</si>
  <si>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</si>
  <si>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</si>
  <si>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</si>
  <si>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</si>
  <si>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</si>
  <si>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</si>
  <si>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</si>
  <si>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</si>
  <si>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</si>
  <si>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</si>
  <si>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</si>
  <si>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</si>
  <si>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</si>
  <si>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</si>
  <si>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</si>
  <si>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</si>
  <si>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</si>
  <si>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</si>
  <si>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</si>
  <si>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</si>
  <si>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</si>
  <si>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</si>
  <si>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</si>
  <si>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</si>
  <si>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</si>
  <si>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</si>
  <si>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</si>
  <si>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</si>
  <si>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</si>
  <si>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</si>
  <si>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</si>
  <si>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</si>
  <si>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</si>
  <si>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</si>
  <si>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</si>
  <si>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</si>
  <si>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</si>
  <si>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</si>
  <si>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</si>
  <si>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</si>
  <si>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</si>
  <si>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</si>
  <si>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</si>
  <si>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</si>
  <si>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</si>
  <si>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</si>
  <si>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</si>
  <si>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</si>
  <si>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</si>
  <si>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</si>
  <si>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</si>
  <si>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</si>
  <si>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</si>
  <si>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</si>
  <si>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</si>
  <si>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</si>
  <si>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</si>
  <si>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</si>
  <si>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</si>
  <si>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</si>
  <si>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</si>
  <si>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</si>
  <si>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</si>
  <si>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</si>
  <si>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</si>
  <si>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</si>
  <si>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</si>
  <si>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</si>
  <si>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</si>
  <si>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</si>
  <si>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</si>
  <si>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</si>
  <si>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</si>
  <si>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</si>
  <si>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</si>
  <si>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</si>
  <si>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</si>
  <si>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</si>
  <si>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</si>
  <si>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</si>
  <si>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</si>
  <si>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</si>
  <si>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</si>
  <si>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</si>
  <si>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</si>
  <si>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</si>
  <si>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</si>
  <si>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</si>
  <si>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</si>
  <si>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</si>
  <si>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</si>
  <si>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</si>
  <si>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</si>
  <si>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</si>
  <si>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</si>
  <si>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</si>
  <si>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</si>
  <si>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</si>
  <si>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</si>
  <si>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</si>
  <si>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</si>
  <si>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</si>
  <si>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</si>
  <si>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</si>
  <si>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</si>
  <si>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</si>
  <si>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</si>
  <si>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</si>
  <si>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</si>
  <si>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</si>
  <si>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</si>
  <si>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</si>
  <si>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</si>
  <si>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</si>
  <si>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</si>
  <si>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</si>
  <si>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</si>
  <si>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</si>
  <si>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</si>
  <si>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</si>
  <si>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</si>
  <si>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</si>
  <si>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</si>
  <si>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</si>
  <si>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</si>
  <si>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</si>
  <si>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</si>
  <si>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</si>
  <si>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</si>
  <si>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</si>
  <si>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</si>
  <si>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</si>
  <si>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</si>
  <si>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</si>
  <si>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</si>
  <si>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</si>
  <si>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</si>
  <si>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</si>
  <si>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</si>
  <si>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</si>
  <si>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</si>
  <si>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</si>
  <si>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</si>
  <si>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</si>
  <si>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</si>
  <si>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</si>
  <si>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</si>
  <si>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</si>
  <si>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</si>
  <si>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</si>
  <si>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</si>
  <si>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</si>
  <si>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</si>
  <si>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</si>
  <si>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</si>
  <si>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</si>
  <si>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</si>
  <si>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</si>
  <si>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</si>
  <si>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</si>
  <si>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</si>
  <si>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</si>
  <si>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</si>
  <si>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</si>
  <si>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</si>
  <si>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</si>
  <si>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</si>
  <si>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</si>
  <si>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</si>
  <si>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</si>
  <si>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</si>
  <si>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</si>
  <si>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</si>
  <si>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</si>
  <si>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</si>
  <si>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</si>
  <si>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</si>
  <si>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</si>
  <si>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</si>
  <si>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</si>
  <si>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</si>
  <si>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</si>
  <si>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</si>
  <si>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</si>
  <si>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</si>
  <si>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</si>
  <si>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</si>
  <si>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</si>
  <si>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</si>
  <si>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</si>
  <si>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</si>
  <si>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</si>
  <si>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</si>
  <si>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</si>
  <si>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</si>
  <si>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</si>
  <si>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</si>
  <si>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</si>
  <si>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</si>
  <si>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</si>
  <si>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</si>
  <si>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</si>
  <si>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</si>
  <si>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</si>
  <si>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</si>
  <si>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</si>
  <si>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</si>
  <si>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</si>
  <si>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</si>
  <si>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</si>
  <si>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</si>
  <si>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</si>
  <si>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</si>
  <si>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</si>
  <si>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</si>
  <si>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</si>
  <si>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</si>
  <si>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</si>
  <si>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</si>
  <si>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</si>
  <si>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</si>
  <si>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</si>
  <si>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</si>
  <si>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</si>
  <si>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</si>
  <si>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</si>
  <si>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</si>
  <si>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</si>
  <si>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</si>
  <si>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</si>
  <si>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</si>
  <si>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</si>
  <si>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</si>
  <si>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</si>
  <si>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</si>
  <si>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</si>
  <si>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</si>
  <si>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</si>
  <si>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</si>
  <si>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</si>
  <si>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</si>
  <si>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</si>
  <si>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</si>
  <si>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</si>
  <si>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</si>
  <si>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</si>
  <si>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</si>
  <si>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</si>
  <si>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</si>
  <si>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</si>
  <si>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</si>
  <si>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</si>
  <si>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</si>
  <si>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</si>
  <si>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</si>
  <si>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</si>
  <si>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</si>
  <si>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</si>
  <si>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</si>
  <si>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</si>
  <si>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</si>
  <si>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</si>
  <si>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</si>
  <si>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</si>
  <si>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</si>
  <si>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</si>
  <si>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</si>
  <si>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</si>
  <si>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</si>
  <si>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</si>
  <si>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</si>
  <si>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</si>
  <si>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</si>
  <si>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</si>
  <si>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</si>
  <si>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</si>
  <si>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</si>
  <si>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</si>
  <si>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</si>
  <si>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</si>
  <si>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</si>
  <si>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</si>
  <si>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</si>
  <si>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</si>
  <si>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</si>
  <si>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</si>
  <si>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</si>
  <si>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</si>
  <si>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</si>
  <si>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</si>
  <si>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</si>
  <si>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</si>
  <si>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</si>
  <si>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</si>
  <si>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</si>
  <si>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</si>
  <si>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</si>
  <si>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</si>
  <si>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</si>
  <si>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</si>
  <si>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</si>
  <si>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</si>
  <si>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</si>
  <si>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</si>
  <si>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</si>
  <si>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</si>
  <si>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</si>
  <si>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</si>
  <si>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</si>
  <si>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</si>
  <si>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</si>
  <si>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</si>
  <si>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</si>
  <si>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</si>
  <si>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</si>
  <si>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</si>
  <si>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</si>
  <si>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</si>
  <si>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</si>
  <si>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</si>
  <si>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</si>
  <si>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</si>
  <si>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</si>
  <si>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</si>
  <si>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</si>
  <si>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</si>
  <si>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</si>
  <si>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</si>
  <si>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</si>
  <si>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</si>
  <si>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</si>
  <si>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</si>
  <si>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</si>
  <si>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</si>
  <si>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</si>
  <si>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</si>
  <si>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</si>
  <si>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</si>
  <si>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</si>
  <si>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</si>
  <si>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</si>
  <si>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</si>
  <si>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</si>
  <si>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</si>
  <si>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</si>
  <si>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</si>
  <si>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</si>
  <si>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</si>
  <si>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</si>
  <si>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</si>
  <si>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</si>
  <si>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</si>
  <si>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</si>
  <si>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</si>
  <si>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</si>
  <si>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</si>
  <si>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</si>
  <si>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</si>
  <si>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</si>
  <si>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</si>
  <si>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</si>
  <si>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</si>
  <si>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</si>
  <si>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</si>
  <si>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</si>
  <si>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</si>
  <si>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</si>
  <si>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</si>
  <si>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</si>
  <si>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</si>
  <si>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</si>
  <si>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</si>
  <si>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</si>
  <si>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</si>
  <si>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</si>
  <si>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</si>
  <si>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</si>
  <si>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</si>
  <si>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</si>
  <si>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</si>
  <si>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</si>
  <si>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</si>
  <si>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</si>
  <si>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</si>
  <si>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</si>
  <si>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</si>
  <si>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</si>
  <si>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</si>
  <si>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</si>
  <si>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</si>
  <si>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</si>
  <si>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</si>
  <si>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</si>
  <si>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</si>
  <si>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</si>
  <si>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</si>
  <si>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</si>
  <si>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</si>
  <si>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</si>
  <si>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</si>
  <si>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</si>
  <si>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</si>
  <si>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</si>
  <si>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</si>
  <si>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</si>
  <si>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</si>
  <si>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</si>
  <si>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</si>
  <si>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</si>
  <si>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</si>
  <si>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</si>
  <si>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</si>
  <si>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</si>
  <si>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</si>
  <si>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</si>
  <si>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</si>
  <si>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</si>
  <si>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</si>
  <si>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</si>
  <si>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</si>
  <si>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</si>
  <si>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</si>
  <si>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</si>
  <si>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</si>
  <si>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</si>
  <si>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</si>
  <si>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</si>
  <si>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</si>
  <si>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</si>
  <si>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</si>
  <si>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</si>
  <si>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</si>
  <si>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</si>
  <si>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</si>
  <si>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</si>
  <si>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</si>
  <si>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</si>
  <si>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</si>
  <si>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</si>
  <si>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</si>
  <si>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</si>
  <si>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</si>
  <si>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</si>
  <si>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</si>
  <si>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</si>
  <si>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</si>
  <si>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</si>
  <si>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</si>
  <si>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</si>
  <si>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</si>
  <si>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</si>
  <si>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</si>
  <si>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</si>
  <si>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</si>
  <si>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</si>
  <si>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</si>
  <si>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</si>
  <si>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</si>
  <si>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</si>
  <si>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</si>
  <si>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</si>
  <si>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</si>
  <si>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</si>
  <si>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</si>
  <si>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</si>
  <si>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</si>
  <si>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</si>
  <si>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</si>
  <si>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</si>
  <si>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</si>
  <si>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</si>
  <si>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</si>
  <si>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</si>
  <si>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</si>
  <si>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</si>
  <si>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</si>
  <si>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</si>
  <si>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</si>
  <si>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</si>
  <si>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</si>
  <si>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</si>
  <si>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</si>
  <si>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</si>
  <si>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</si>
  <si>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</si>
  <si>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</si>
  <si>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</si>
  <si>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</si>
  <si>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</si>
  <si>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</si>
  <si>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</si>
  <si>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</si>
  <si>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</si>
  <si>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</si>
  <si>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</si>
  <si>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</si>
  <si>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</si>
  <si>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</si>
  <si>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</si>
  <si>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</si>
  <si>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</si>
  <si>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</si>
  <si>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</si>
  <si>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</si>
  <si>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</si>
  <si>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</si>
  <si>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</si>
  <si>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</si>
  <si>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</si>
  <si>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</si>
  <si>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</si>
  <si>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</si>
  <si>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</si>
  <si>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</si>
  <si>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</si>
  <si>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</si>
  <si>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</si>
  <si>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</si>
  <si>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</si>
  <si>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</si>
  <si>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</si>
  <si>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</si>
  <si>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</si>
  <si>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</si>
  <si>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</si>
  <si>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</si>
  <si>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</si>
  <si>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</si>
  <si>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</si>
  <si>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</si>
  <si>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</si>
  <si>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</si>
  <si>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</si>
  <si>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</si>
  <si>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</si>
  <si>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</si>
  <si>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</si>
  <si>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</si>
  <si>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</si>
  <si>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</si>
  <si>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</si>
  <si>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</si>
  <si>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</si>
  <si>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</si>
  <si>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</si>
  <si>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</si>
  <si>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</si>
  <si>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</si>
  <si>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</si>
  <si>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</si>
  <si>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</si>
  <si>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</si>
  <si>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</si>
  <si>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</si>
  <si>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</si>
  <si>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</si>
  <si>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</si>
  <si>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</si>
  <si>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</si>
  <si>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</si>
  <si>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</si>
  <si>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</si>
  <si>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</si>
  <si>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</si>
  <si>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</si>
  <si>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</si>
  <si>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</si>
  <si>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</si>
  <si>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</si>
  <si>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</si>
  <si>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</si>
  <si>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</si>
  <si>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</si>
  <si>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</si>
  <si>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</si>
  <si>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</si>
  <si>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</si>
  <si>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</si>
  <si>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</si>
  <si>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</si>
  <si>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</si>
  <si>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</si>
  <si>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</si>
  <si>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</si>
  <si>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</si>
  <si>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</si>
  <si>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</si>
  <si>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</si>
  <si>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</si>
  <si>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</si>
  <si>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</si>
  <si>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</si>
  <si>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</si>
  <si>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</si>
  <si>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</si>
  <si>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</si>
  <si>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</si>
  <si>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</si>
  <si>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</si>
  <si>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</si>
  <si>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</si>
  <si>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</si>
  <si>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</si>
  <si>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</si>
  <si>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</si>
  <si>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</si>
  <si>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</si>
  <si>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</si>
  <si>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</si>
  <si>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</si>
  <si>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</si>
  <si>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</si>
  <si>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</si>
  <si>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</si>
  <si>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</si>
  <si>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</si>
  <si>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</si>
  <si>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</si>
  <si>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</si>
  <si>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</si>
  <si>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</si>
  <si>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</si>
  <si>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</si>
  <si>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</si>
  <si>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</si>
  <si>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</si>
  <si>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</si>
  <si>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</si>
  <si>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</si>
  <si>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</si>
  <si>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</si>
  <si>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</si>
  <si>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</si>
  <si>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</si>
  <si>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</si>
  <si>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</si>
  <si>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</si>
  <si>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</si>
  <si>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</si>
  <si>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</si>
  <si>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</si>
  <si>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</si>
  <si>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</si>
  <si>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</si>
  <si>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</si>
  <si>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</si>
  <si>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</si>
  <si>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</si>
  <si>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</si>
  <si>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</si>
  <si>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</si>
  <si>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</si>
  <si>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</si>
  <si>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</si>
  <si>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</si>
  <si>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</si>
  <si>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</si>
  <si>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</si>
  <si>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</si>
  <si>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</si>
  <si>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</si>
  <si>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</si>
  <si>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</si>
  <si>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</si>
  <si>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</si>
  <si>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</si>
  <si>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</si>
  <si>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</si>
  <si>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</si>
  <si>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</si>
  <si>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</si>
  <si>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</si>
  <si>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</si>
  <si>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</si>
  <si>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</si>
  <si>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</si>
  <si>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</si>
  <si>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</si>
  <si>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</si>
  <si>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</si>
  <si>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</si>
  <si>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</si>
  <si>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</si>
  <si>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</si>
  <si>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</si>
  <si>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</si>
  <si>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</si>
  <si>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</si>
  <si>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</si>
  <si>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</si>
  <si>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</si>
  <si>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</si>
  <si>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11022</t>
  </si>
  <si>
    <t>KALMTHOUT</t>
  </si>
  <si>
    <t>Paarden&amp;pony's 200 - 600 kg</t>
  </si>
  <si>
    <t>Paarden&amp;pony's &lt; 200 kg</t>
  </si>
  <si>
    <t>Fluvius</t>
  </si>
  <si>
    <t>referentietaak LNE (2017); Jaarverslag De Lijn</t>
  </si>
  <si>
    <t>interne verbrandingsmotor</t>
  </si>
  <si>
    <t>WKK interne verbrandinsgmotor (gas)</t>
  </si>
  <si>
    <t>IVEKA</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</si>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</sst>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6D472AE-E0EF-438F-A07D-C51A43166522}"/>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11022</v>
      </c>
      <c r="B6" s="384"/>
      <c r="C6" s="385"/>
    </row>
    <row r="7" spans="1:7" s="382" customFormat="1" ht="15.75" customHeight="1">
      <c r="A7" s="386" t="str">
        <f>txtMunicipality</f>
        <v>KALMTHOUT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20326.592443003832</v>
      </c>
      <c r="D10" s="674">
        <f ca="1">tertiair!C16</f>
        <v>0</v>
      </c>
      <c r="E10" s="674">
        <f ca="1">tertiair!D16</f>
        <v>27832.571358194531</v>
      </c>
      <c r="F10" s="674">
        <f>tertiair!E16</f>
        <v>182.4469101734681</v>
      </c>
      <c r="G10" s="674">
        <f ca="1">tertiair!F16</f>
        <v>3921.279672375284</v>
      </c>
      <c r="H10" s="674">
        <f>tertiair!G16</f>
        <v>0</v>
      </c>
      <c r="I10" s="674">
        <f>tertiair!H16</f>
        <v>0</v>
      </c>
      <c r="J10" s="674">
        <f>tertiair!I16</f>
        <v>0</v>
      </c>
      <c r="K10" s="674">
        <f>tertiair!J16</f>
        <v>0</v>
      </c>
      <c r="L10" s="674">
        <f>tertiair!K16</f>
        <v>0</v>
      </c>
      <c r="M10" s="674">
        <f ca="1">tertiair!L16</f>
        <v>0</v>
      </c>
      <c r="N10" s="674">
        <f>tertiair!M16</f>
        <v>0</v>
      </c>
      <c r="O10" s="674">
        <f ca="1">tertiair!N16</f>
        <v>1697.055335481552</v>
      </c>
      <c r="P10" s="674">
        <f>tertiair!O16</f>
        <v>0</v>
      </c>
      <c r="Q10" s="675">
        <f>tertiair!P16</f>
        <v>57.2</v>
      </c>
      <c r="R10" s="677">
        <f ca="1">SUM(C10:Q10)</f>
        <v>54017.145719228654</v>
      </c>
      <c r="S10" s="68"/>
    </row>
    <row r="11" spans="1:19" s="443" customFormat="1">
      <c r="A11" s="789" t="s">
        <v>214</v>
      </c>
      <c r="B11" s="794"/>
      <c r="C11" s="674">
        <f>huishoudens!B8</f>
        <v>36940.886132780128</v>
      </c>
      <c r="D11" s="674">
        <f>huishoudens!C8</f>
        <v>0</v>
      </c>
      <c r="E11" s="674">
        <f>huishoudens!D8</f>
        <v>111018.96012999167</v>
      </c>
      <c r="F11" s="674">
        <f>huishoudens!E8</f>
        <v>1088.5358617629056</v>
      </c>
      <c r="G11" s="674">
        <f>huishoudens!F8</f>
        <v>33186.298083488284</v>
      </c>
      <c r="H11" s="674">
        <f>huishoudens!G8</f>
        <v>0</v>
      </c>
      <c r="I11" s="674">
        <f>huishoudens!H8</f>
        <v>0</v>
      </c>
      <c r="J11" s="674">
        <f>huishoudens!I8</f>
        <v>0</v>
      </c>
      <c r="K11" s="674">
        <f>huishoudens!J8</f>
        <v>602.15381509758333</v>
      </c>
      <c r="L11" s="674">
        <f>huishoudens!K8</f>
        <v>0</v>
      </c>
      <c r="M11" s="674">
        <f>huishoudens!L8</f>
        <v>0</v>
      </c>
      <c r="N11" s="674">
        <f>huishoudens!M8</f>
        <v>0</v>
      </c>
      <c r="O11" s="674">
        <f>huishoudens!N8</f>
        <v>9835.9321732109311</v>
      </c>
      <c r="P11" s="674">
        <f>huishoudens!O8</f>
        <v>126.63</v>
      </c>
      <c r="Q11" s="675">
        <f>huishoudens!P8</f>
        <v>419.4666666666667</v>
      </c>
      <c r="R11" s="677">
        <f>SUM(C11:Q11)</f>
        <v>193218.86286299818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15620.15800954845</v>
      </c>
      <c r="D13" s="674">
        <f>industrie!C18</f>
        <v>0</v>
      </c>
      <c r="E13" s="674">
        <f>industrie!D18</f>
        <v>15228.968458482843</v>
      </c>
      <c r="F13" s="674">
        <f>industrie!E18</f>
        <v>145.3511424716967</v>
      </c>
      <c r="G13" s="674">
        <f>industrie!F18</f>
        <v>3293.4841830401683</v>
      </c>
      <c r="H13" s="674">
        <f>industrie!G18</f>
        <v>0</v>
      </c>
      <c r="I13" s="674">
        <f>industrie!H18</f>
        <v>0</v>
      </c>
      <c r="J13" s="674">
        <f>industrie!I18</f>
        <v>0</v>
      </c>
      <c r="K13" s="674">
        <f>industrie!J18</f>
        <v>40.409339110999781</v>
      </c>
      <c r="L13" s="674">
        <f>industrie!K18</f>
        <v>0</v>
      </c>
      <c r="M13" s="674">
        <f>industrie!L18</f>
        <v>0</v>
      </c>
      <c r="N13" s="674">
        <f>industrie!M18</f>
        <v>0</v>
      </c>
      <c r="O13" s="674">
        <f>industrie!N18</f>
        <v>446.72996390860101</v>
      </c>
      <c r="P13" s="674">
        <f>industrie!O18</f>
        <v>0</v>
      </c>
      <c r="Q13" s="675">
        <f>industrie!P18</f>
        <v>0</v>
      </c>
      <c r="R13" s="677">
        <f>SUM(C13:Q13)</f>
        <v>34775.101096562757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72887.63658533241</v>
      </c>
      <c r="D16" s="707">
        <f t="shared" ref="D16:R16" ca="1" si="0">SUM(D9:D15)</f>
        <v>0</v>
      </c>
      <c r="E16" s="707">
        <f t="shared" ca="1" si="0"/>
        <v>154080.49994666906</v>
      </c>
      <c r="F16" s="707">
        <f t="shared" si="0"/>
        <v>1416.3339144080703</v>
      </c>
      <c r="G16" s="707">
        <f t="shared" ca="1" si="0"/>
        <v>40401.061938903738</v>
      </c>
      <c r="H16" s="707">
        <f t="shared" si="0"/>
        <v>0</v>
      </c>
      <c r="I16" s="707">
        <f t="shared" si="0"/>
        <v>0</v>
      </c>
      <c r="J16" s="707">
        <f t="shared" si="0"/>
        <v>0</v>
      </c>
      <c r="K16" s="707">
        <f t="shared" si="0"/>
        <v>642.56315420858311</v>
      </c>
      <c r="L16" s="707">
        <f t="shared" si="0"/>
        <v>0</v>
      </c>
      <c r="M16" s="707">
        <f t="shared" ca="1" si="0"/>
        <v>0</v>
      </c>
      <c r="N16" s="707">
        <f t="shared" si="0"/>
        <v>0</v>
      </c>
      <c r="O16" s="707">
        <f t="shared" ca="1" si="0"/>
        <v>11979.717472601085</v>
      </c>
      <c r="P16" s="707">
        <f t="shared" si="0"/>
        <v>126.63</v>
      </c>
      <c r="Q16" s="707">
        <f t="shared" si="0"/>
        <v>476.66666666666669</v>
      </c>
      <c r="R16" s="707">
        <f t="shared" ca="1" si="0"/>
        <v>282011.10967878962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5.0147728625494787</v>
      </c>
      <c r="D19" s="674">
        <f>transport!C54</f>
        <v>0</v>
      </c>
      <c r="E19" s="674">
        <f>transport!D54</f>
        <v>0</v>
      </c>
      <c r="F19" s="674">
        <f>transport!E54</f>
        <v>0</v>
      </c>
      <c r="G19" s="674">
        <f>transport!F54</f>
        <v>0</v>
      </c>
      <c r="H19" s="674">
        <f>transport!G54</f>
        <v>1000.2063343878971</v>
      </c>
      <c r="I19" s="674">
        <f>transport!H54</f>
        <v>0</v>
      </c>
      <c r="J19" s="674">
        <f>transport!I54</f>
        <v>0</v>
      </c>
      <c r="K19" s="674">
        <f>transport!J54</f>
        <v>0</v>
      </c>
      <c r="L19" s="674">
        <f>transport!K54</f>
        <v>0</v>
      </c>
      <c r="M19" s="674">
        <f>transport!L54</f>
        <v>0</v>
      </c>
      <c r="N19" s="674">
        <f>transport!M54</f>
        <v>44.208054700400957</v>
      </c>
      <c r="O19" s="674">
        <f>transport!N54</f>
        <v>0</v>
      </c>
      <c r="P19" s="674">
        <f>transport!O54</f>
        <v>0</v>
      </c>
      <c r="Q19" s="675">
        <f>transport!P54</f>
        <v>0</v>
      </c>
      <c r="R19" s="677">
        <f>SUM(C19:Q19)</f>
        <v>1049.4291619508476</v>
      </c>
      <c r="S19" s="68"/>
    </row>
    <row r="20" spans="1:19" s="443" customFormat="1">
      <c r="A20" s="789" t="s">
        <v>296</v>
      </c>
      <c r="B20" s="794"/>
      <c r="C20" s="674">
        <f>transport!B14</f>
        <v>3.6668190712667901</v>
      </c>
      <c r="D20" s="674">
        <f>transport!C14</f>
        <v>0</v>
      </c>
      <c r="E20" s="674">
        <f>transport!D14</f>
        <v>4.663954733181817</v>
      </c>
      <c r="F20" s="674">
        <f>transport!E14</f>
        <v>298.21757592866209</v>
      </c>
      <c r="G20" s="674">
        <f>transport!F14</f>
        <v>0</v>
      </c>
      <c r="H20" s="674">
        <f>transport!G14</f>
        <v>60986.839784085198</v>
      </c>
      <c r="I20" s="674">
        <f>transport!H14</f>
        <v>11231.596911643728</v>
      </c>
      <c r="J20" s="674">
        <f>transport!I14</f>
        <v>0</v>
      </c>
      <c r="K20" s="674">
        <f>transport!J14</f>
        <v>0</v>
      </c>
      <c r="L20" s="674">
        <f>transport!K14</f>
        <v>0</v>
      </c>
      <c r="M20" s="674">
        <f>transport!L14</f>
        <v>0</v>
      </c>
      <c r="N20" s="674">
        <f>transport!M14</f>
        <v>3228.1185431730105</v>
      </c>
      <c r="O20" s="674">
        <f>transport!N14</f>
        <v>0</v>
      </c>
      <c r="P20" s="674">
        <f>transport!O14</f>
        <v>0</v>
      </c>
      <c r="Q20" s="675">
        <f>transport!P14</f>
        <v>0</v>
      </c>
      <c r="R20" s="677">
        <f>SUM(C20:Q20)</f>
        <v>75753.103588635044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8.6815919338162679</v>
      </c>
      <c r="D22" s="792">
        <f t="shared" ref="D22:R22" si="1">SUM(D18:D21)</f>
        <v>0</v>
      </c>
      <c r="E22" s="792">
        <f t="shared" si="1"/>
        <v>4.663954733181817</v>
      </c>
      <c r="F22" s="792">
        <f t="shared" si="1"/>
        <v>298.21757592866209</v>
      </c>
      <c r="G22" s="792">
        <f t="shared" si="1"/>
        <v>0</v>
      </c>
      <c r="H22" s="792">
        <f t="shared" si="1"/>
        <v>61987.046118473096</v>
      </c>
      <c r="I22" s="792">
        <f t="shared" si="1"/>
        <v>11231.596911643728</v>
      </c>
      <c r="J22" s="792">
        <f t="shared" si="1"/>
        <v>0</v>
      </c>
      <c r="K22" s="792">
        <f t="shared" si="1"/>
        <v>0</v>
      </c>
      <c r="L22" s="792">
        <f t="shared" si="1"/>
        <v>0</v>
      </c>
      <c r="M22" s="792">
        <f t="shared" si="1"/>
        <v>0</v>
      </c>
      <c r="N22" s="792">
        <f t="shared" si="1"/>
        <v>3272.3265978734116</v>
      </c>
      <c r="O22" s="792">
        <f t="shared" si="1"/>
        <v>0</v>
      </c>
      <c r="P22" s="792">
        <f t="shared" si="1"/>
        <v>0</v>
      </c>
      <c r="Q22" s="792">
        <f t="shared" si="1"/>
        <v>0</v>
      </c>
      <c r="R22" s="792">
        <f t="shared" si="1"/>
        <v>76802.532750585888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3260.7778503013601</v>
      </c>
      <c r="D24" s="674">
        <f>+landbouw!C8</f>
        <v>13011.749999999998</v>
      </c>
      <c r="E24" s="674">
        <f>+landbouw!D8</f>
        <v>9598.2559129252913</v>
      </c>
      <c r="F24" s="674">
        <f>+landbouw!E8</f>
        <v>30.718712142666487</v>
      </c>
      <c r="G24" s="674">
        <f>+landbouw!F8</f>
        <v>10641.000282663284</v>
      </c>
      <c r="H24" s="674">
        <f>+landbouw!G8</f>
        <v>0</v>
      </c>
      <c r="I24" s="674">
        <f>+landbouw!H8</f>
        <v>0</v>
      </c>
      <c r="J24" s="674">
        <f>+landbouw!I8</f>
        <v>0</v>
      </c>
      <c r="K24" s="674">
        <f>+landbouw!J8</f>
        <v>403.37408050269551</v>
      </c>
      <c r="L24" s="674">
        <f>+landbouw!K8</f>
        <v>0</v>
      </c>
      <c r="M24" s="674">
        <f>+landbouw!L8</f>
        <v>0</v>
      </c>
      <c r="N24" s="674">
        <f>+landbouw!M8</f>
        <v>0</v>
      </c>
      <c r="O24" s="674">
        <f>+landbouw!N8</f>
        <v>0</v>
      </c>
      <c r="P24" s="674">
        <f>+landbouw!O8</f>
        <v>0</v>
      </c>
      <c r="Q24" s="675">
        <f>+landbouw!P8</f>
        <v>0</v>
      </c>
      <c r="R24" s="677">
        <f>SUM(C24:Q24)</f>
        <v>36945.876838535296</v>
      </c>
      <c r="S24" s="68"/>
    </row>
    <row r="25" spans="1:19" s="443" customFormat="1" ht="15" thickBot="1">
      <c r="A25" s="811" t="s">
        <v>873</v>
      </c>
      <c r="B25" s="977"/>
      <c r="C25" s="978">
        <f>IF(Onbekend_ele_kWh="---",0,Onbekend_ele_kWh)/1000+IF(REST_rest_ele_kWh="---",0,REST_rest_ele_kWh)/1000</f>
        <v>1034.9465990139101</v>
      </c>
      <c r="D25" s="978"/>
      <c r="E25" s="978">
        <f>IF(onbekend_gas_kWh="---",0,onbekend_gas_kWh)/1000+IF(REST_rest_gas_kWh="---",0,REST_rest_gas_kWh)/1000</f>
        <v>3832.2928619807799</v>
      </c>
      <c r="F25" s="978"/>
      <c r="G25" s="978"/>
      <c r="H25" s="978"/>
      <c r="I25" s="978"/>
      <c r="J25" s="978"/>
      <c r="K25" s="978"/>
      <c r="L25" s="978"/>
      <c r="M25" s="978"/>
      <c r="N25" s="978"/>
      <c r="O25" s="978"/>
      <c r="P25" s="978"/>
      <c r="Q25" s="979"/>
      <c r="R25" s="677">
        <f>SUM(C25:Q25)</f>
        <v>4867.2394609946896</v>
      </c>
      <c r="S25" s="68"/>
    </row>
    <row r="26" spans="1:19" s="443" customFormat="1" ht="15.75" thickBot="1">
      <c r="A26" s="680" t="s">
        <v>874</v>
      </c>
      <c r="B26" s="797"/>
      <c r="C26" s="792">
        <f>SUM(C24:C25)</f>
        <v>4295.7244493152702</v>
      </c>
      <c r="D26" s="792">
        <f t="shared" ref="D26:R26" si="2">SUM(D24:D25)</f>
        <v>13011.749999999998</v>
      </c>
      <c r="E26" s="792">
        <f t="shared" si="2"/>
        <v>13430.54877490607</v>
      </c>
      <c r="F26" s="792">
        <f t="shared" si="2"/>
        <v>30.718712142666487</v>
      </c>
      <c r="G26" s="792">
        <f t="shared" si="2"/>
        <v>10641.000282663284</v>
      </c>
      <c r="H26" s="792">
        <f t="shared" si="2"/>
        <v>0</v>
      </c>
      <c r="I26" s="792">
        <f t="shared" si="2"/>
        <v>0</v>
      </c>
      <c r="J26" s="792">
        <f t="shared" si="2"/>
        <v>0</v>
      </c>
      <c r="K26" s="792">
        <f t="shared" si="2"/>
        <v>403.37408050269551</v>
      </c>
      <c r="L26" s="792">
        <f t="shared" si="2"/>
        <v>0</v>
      </c>
      <c r="M26" s="792">
        <f t="shared" si="2"/>
        <v>0</v>
      </c>
      <c r="N26" s="792">
        <f t="shared" si="2"/>
        <v>0</v>
      </c>
      <c r="O26" s="792">
        <f t="shared" si="2"/>
        <v>0</v>
      </c>
      <c r="P26" s="792">
        <f t="shared" si="2"/>
        <v>0</v>
      </c>
      <c r="Q26" s="792">
        <f t="shared" si="2"/>
        <v>0</v>
      </c>
      <c r="R26" s="792">
        <f t="shared" si="2"/>
        <v>41813.116299529982</v>
      </c>
      <c r="S26" s="68"/>
    </row>
    <row r="27" spans="1:19" s="443" customFormat="1" ht="17.25" thickTop="1" thickBot="1">
      <c r="A27" s="681" t="s">
        <v>109</v>
      </c>
      <c r="B27" s="784"/>
      <c r="C27" s="682">
        <f ca="1">C22+C16+C26</f>
        <v>77192.042626581489</v>
      </c>
      <c r="D27" s="682">
        <f t="shared" ref="D27:R27" ca="1" si="3">D22+D16+D26</f>
        <v>13011.749999999998</v>
      </c>
      <c r="E27" s="682">
        <f t="shared" ca="1" si="3"/>
        <v>167515.71267630829</v>
      </c>
      <c r="F27" s="682">
        <f t="shared" si="3"/>
        <v>1745.2702024793989</v>
      </c>
      <c r="G27" s="682">
        <f t="shared" ca="1" si="3"/>
        <v>51042.062221567023</v>
      </c>
      <c r="H27" s="682">
        <f t="shared" si="3"/>
        <v>61987.046118473096</v>
      </c>
      <c r="I27" s="682">
        <f t="shared" si="3"/>
        <v>11231.596911643728</v>
      </c>
      <c r="J27" s="682">
        <f t="shared" si="3"/>
        <v>0</v>
      </c>
      <c r="K27" s="682">
        <f t="shared" si="3"/>
        <v>1045.9372347112785</v>
      </c>
      <c r="L27" s="682">
        <f t="shared" si="3"/>
        <v>0</v>
      </c>
      <c r="M27" s="682">
        <f t="shared" ca="1" si="3"/>
        <v>0</v>
      </c>
      <c r="N27" s="682">
        <f t="shared" si="3"/>
        <v>3272.3265978734116</v>
      </c>
      <c r="O27" s="682">
        <f t="shared" ca="1" si="3"/>
        <v>11979.717472601085</v>
      </c>
      <c r="P27" s="682">
        <f t="shared" si="3"/>
        <v>126.63</v>
      </c>
      <c r="Q27" s="682">
        <f t="shared" si="3"/>
        <v>476.66666666666669</v>
      </c>
      <c r="R27" s="682">
        <f t="shared" ca="1" si="3"/>
        <v>400626.75872890546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3709.7446865624961</v>
      </c>
      <c r="D40" s="674">
        <f ca="1">tertiair!C20</f>
        <v>0</v>
      </c>
      <c r="E40" s="674">
        <f ca="1">tertiair!D20</f>
        <v>5622.1794143552952</v>
      </c>
      <c r="F40" s="674">
        <f>tertiair!E20</f>
        <v>41.415448609377258</v>
      </c>
      <c r="G40" s="674">
        <f ca="1">tertiair!F20</f>
        <v>1046.9816725242008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10420.321222051371</v>
      </c>
    </row>
    <row r="41" spans="1:18">
      <c r="A41" s="802" t="s">
        <v>214</v>
      </c>
      <c r="B41" s="809"/>
      <c r="C41" s="674">
        <f ca="1">huishoudens!B12</f>
        <v>6741.9689961442227</v>
      </c>
      <c r="D41" s="674">
        <f ca="1">huishoudens!C12</f>
        <v>0</v>
      </c>
      <c r="E41" s="674">
        <f>huishoudens!D12</f>
        <v>22425.82994625832</v>
      </c>
      <c r="F41" s="674">
        <f>huishoudens!E12</f>
        <v>247.09764062017959</v>
      </c>
      <c r="G41" s="674">
        <f>huishoudens!F12</f>
        <v>8860.741588291372</v>
      </c>
      <c r="H41" s="674">
        <f>huishoudens!G12</f>
        <v>0</v>
      </c>
      <c r="I41" s="674">
        <f>huishoudens!H12</f>
        <v>0</v>
      </c>
      <c r="J41" s="674">
        <f>huishoudens!I12</f>
        <v>0</v>
      </c>
      <c r="K41" s="674">
        <f>huishoudens!J12</f>
        <v>213.1624505445445</v>
      </c>
      <c r="L41" s="674">
        <f>huishoudens!K12</f>
        <v>0</v>
      </c>
      <c r="M41" s="674">
        <f>huishoudens!L12</f>
        <v>0</v>
      </c>
      <c r="N41" s="674">
        <f>huishoudens!M12</f>
        <v>0</v>
      </c>
      <c r="O41" s="674">
        <f>huishoudens!N12</f>
        <v>0</v>
      </c>
      <c r="P41" s="674">
        <f>huishoudens!O12</f>
        <v>0</v>
      </c>
      <c r="Q41" s="749">
        <f>huishoudens!P12</f>
        <v>0</v>
      </c>
      <c r="R41" s="830">
        <f t="shared" ca="1" si="4"/>
        <v>38488.800621858638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2850.787624225406</v>
      </c>
      <c r="D43" s="674">
        <f ca="1">industrie!C22</f>
        <v>0</v>
      </c>
      <c r="E43" s="674">
        <f>industrie!D22</f>
        <v>3076.2516286135346</v>
      </c>
      <c r="F43" s="674">
        <f>industrie!E22</f>
        <v>32.994709341075151</v>
      </c>
      <c r="G43" s="674">
        <f>industrie!F22</f>
        <v>879.36027687172498</v>
      </c>
      <c r="H43" s="674">
        <f>industrie!G22</f>
        <v>0</v>
      </c>
      <c r="I43" s="674">
        <f>industrie!H22</f>
        <v>0</v>
      </c>
      <c r="J43" s="674">
        <f>industrie!I22</f>
        <v>0</v>
      </c>
      <c r="K43" s="674">
        <f>industrie!J22</f>
        <v>14.304906045293922</v>
      </c>
      <c r="L43" s="674">
        <f>industrie!K22</f>
        <v>0</v>
      </c>
      <c r="M43" s="674">
        <f>industrie!L22</f>
        <v>0</v>
      </c>
      <c r="N43" s="674">
        <f>industrie!M22</f>
        <v>0</v>
      </c>
      <c r="O43" s="674">
        <f>industrie!N22</f>
        <v>0</v>
      </c>
      <c r="P43" s="674">
        <f>industrie!O22</f>
        <v>0</v>
      </c>
      <c r="Q43" s="749">
        <f>industrie!P22</f>
        <v>0</v>
      </c>
      <c r="R43" s="829">
        <f t="shared" ca="1" si="4"/>
        <v>6853.6991450970345</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13302.501306932125</v>
      </c>
      <c r="D46" s="707">
        <f t="shared" ref="D46:Q46" ca="1" si="5">SUM(D39:D45)</f>
        <v>0</v>
      </c>
      <c r="E46" s="707">
        <f t="shared" ca="1" si="5"/>
        <v>31124.26098922715</v>
      </c>
      <c r="F46" s="707">
        <f t="shared" si="5"/>
        <v>321.50779857063196</v>
      </c>
      <c r="G46" s="707">
        <f t="shared" ca="1" si="5"/>
        <v>10787.083537687296</v>
      </c>
      <c r="H46" s="707">
        <f t="shared" si="5"/>
        <v>0</v>
      </c>
      <c r="I46" s="707">
        <f t="shared" si="5"/>
        <v>0</v>
      </c>
      <c r="J46" s="707">
        <f t="shared" si="5"/>
        <v>0</v>
      </c>
      <c r="K46" s="707">
        <f t="shared" si="5"/>
        <v>227.46735658983843</v>
      </c>
      <c r="L46" s="707">
        <f t="shared" si="5"/>
        <v>0</v>
      </c>
      <c r="M46" s="707">
        <f t="shared" ca="1" si="5"/>
        <v>0</v>
      </c>
      <c r="N46" s="707">
        <f t="shared" si="5"/>
        <v>0</v>
      </c>
      <c r="O46" s="707">
        <f t="shared" ca="1" si="5"/>
        <v>0</v>
      </c>
      <c r="P46" s="707">
        <f t="shared" si="5"/>
        <v>0</v>
      </c>
      <c r="Q46" s="707">
        <f t="shared" si="5"/>
        <v>0</v>
      </c>
      <c r="R46" s="707">
        <f ca="1">SUM(R39:R45)</f>
        <v>55762.820989007043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0.91523097308736756</v>
      </c>
      <c r="D49" s="674">
        <f ca="1">transport!C58</f>
        <v>0</v>
      </c>
      <c r="E49" s="674">
        <f>transport!D58</f>
        <v>0</v>
      </c>
      <c r="F49" s="674">
        <f>transport!E58</f>
        <v>0</v>
      </c>
      <c r="G49" s="674">
        <f>transport!F58</f>
        <v>0</v>
      </c>
      <c r="H49" s="674">
        <f>transport!G58</f>
        <v>267.05509128156854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267.97032225465591</v>
      </c>
    </row>
    <row r="50" spans="1:18">
      <c r="A50" s="805" t="s">
        <v>296</v>
      </c>
      <c r="B50" s="815"/>
      <c r="C50" s="984">
        <f ca="1">transport!B18</f>
        <v>0.66922001827709088</v>
      </c>
      <c r="D50" s="984">
        <f>transport!C18</f>
        <v>0</v>
      </c>
      <c r="E50" s="984">
        <f>transport!D18</f>
        <v>0.94211885610272705</v>
      </c>
      <c r="F50" s="984">
        <f>transport!E18</f>
        <v>67.695389735806302</v>
      </c>
      <c r="G50" s="984">
        <f>transport!F18</f>
        <v>0</v>
      </c>
      <c r="H50" s="984">
        <f>transport!G18</f>
        <v>16283.486222350748</v>
      </c>
      <c r="I50" s="984">
        <f>transport!H18</f>
        <v>2796.6676309992881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19149.460581960222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1.5844509913644584</v>
      </c>
      <c r="D52" s="707">
        <f t="shared" ref="D52:Q52" ca="1" si="6">SUM(D48:D51)</f>
        <v>0</v>
      </c>
      <c r="E52" s="707">
        <f t="shared" si="6"/>
        <v>0.94211885610272705</v>
      </c>
      <c r="F52" s="707">
        <f t="shared" si="6"/>
        <v>67.695389735806302</v>
      </c>
      <c r="G52" s="707">
        <f t="shared" si="6"/>
        <v>0</v>
      </c>
      <c r="H52" s="707">
        <f t="shared" si="6"/>
        <v>16550.541313632315</v>
      </c>
      <c r="I52" s="707">
        <f t="shared" si="6"/>
        <v>2796.6676309992881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19417.430904214878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595.11466755362005</v>
      </c>
      <c r="D54" s="984">
        <f ca="1">+landbouw!C12</f>
        <v>3077.363402408223</v>
      </c>
      <c r="E54" s="984">
        <f>+landbouw!D12</f>
        <v>1938.8476944109091</v>
      </c>
      <c r="F54" s="984">
        <f>+landbouw!E12</f>
        <v>6.9731476563852928</v>
      </c>
      <c r="G54" s="984">
        <f>+landbouw!F12</f>
        <v>2841.1470754710972</v>
      </c>
      <c r="H54" s="984">
        <f>+landbouw!G12</f>
        <v>0</v>
      </c>
      <c r="I54" s="984">
        <f>+landbouw!H12</f>
        <v>0</v>
      </c>
      <c r="J54" s="984">
        <f>+landbouw!I12</f>
        <v>0</v>
      </c>
      <c r="K54" s="984">
        <f>+landbouw!J12</f>
        <v>142.7944244979542</v>
      </c>
      <c r="L54" s="984">
        <f>+landbouw!K12</f>
        <v>0</v>
      </c>
      <c r="M54" s="984">
        <f>+landbouw!L12</f>
        <v>0</v>
      </c>
      <c r="N54" s="984">
        <f>+landbouw!M12</f>
        <v>0</v>
      </c>
      <c r="O54" s="984">
        <f>+landbouw!N12</f>
        <v>0</v>
      </c>
      <c r="P54" s="984">
        <f>+landbouw!O12</f>
        <v>0</v>
      </c>
      <c r="Q54" s="985">
        <f>+landbouw!P12</f>
        <v>0</v>
      </c>
      <c r="R54" s="706">
        <f ca="1">SUM(C54:Q54)</f>
        <v>8602.2404119981893</v>
      </c>
    </row>
    <row r="55" spans="1:18" ht="15" thickBot="1">
      <c r="A55" s="805" t="s">
        <v>873</v>
      </c>
      <c r="B55" s="815"/>
      <c r="C55" s="984">
        <f ca="1">C25*'EF ele_warmte'!B12</f>
        <v>188.88496226475237</v>
      </c>
      <c r="D55" s="984"/>
      <c r="E55" s="984">
        <f>E25*EF_CO2_aardgas</f>
        <v>774.12315812011764</v>
      </c>
      <c r="F55" s="984"/>
      <c r="G55" s="984"/>
      <c r="H55" s="984"/>
      <c r="I55" s="984"/>
      <c r="J55" s="984"/>
      <c r="K55" s="984"/>
      <c r="L55" s="984"/>
      <c r="M55" s="984"/>
      <c r="N55" s="984"/>
      <c r="O55" s="984"/>
      <c r="P55" s="984"/>
      <c r="Q55" s="985"/>
      <c r="R55" s="706">
        <f ca="1">SUM(C55:Q55)</f>
        <v>963.00812038487004</v>
      </c>
    </row>
    <row r="56" spans="1:18" ht="15.75" thickBot="1">
      <c r="A56" s="803" t="s">
        <v>874</v>
      </c>
      <c r="B56" s="816"/>
      <c r="C56" s="707">
        <f ca="1">SUM(C54:C55)</f>
        <v>783.99962981837245</v>
      </c>
      <c r="D56" s="707">
        <f t="shared" ref="D56:Q56" ca="1" si="7">SUM(D54:D55)</f>
        <v>3077.363402408223</v>
      </c>
      <c r="E56" s="707">
        <f t="shared" si="7"/>
        <v>2712.9708525310266</v>
      </c>
      <c r="F56" s="707">
        <f t="shared" si="7"/>
        <v>6.9731476563852928</v>
      </c>
      <c r="G56" s="707">
        <f t="shared" si="7"/>
        <v>2841.1470754710972</v>
      </c>
      <c r="H56" s="707">
        <f t="shared" si="7"/>
        <v>0</v>
      </c>
      <c r="I56" s="707">
        <f t="shared" si="7"/>
        <v>0</v>
      </c>
      <c r="J56" s="707">
        <f t="shared" si="7"/>
        <v>0</v>
      </c>
      <c r="K56" s="707">
        <f t="shared" si="7"/>
        <v>142.7944244979542</v>
      </c>
      <c r="L56" s="707">
        <f t="shared" si="7"/>
        <v>0</v>
      </c>
      <c r="M56" s="707">
        <f t="shared" si="7"/>
        <v>0</v>
      </c>
      <c r="N56" s="707">
        <f t="shared" si="7"/>
        <v>0</v>
      </c>
      <c r="O56" s="707">
        <f t="shared" si="7"/>
        <v>0</v>
      </c>
      <c r="P56" s="707">
        <f t="shared" si="7"/>
        <v>0</v>
      </c>
      <c r="Q56" s="708">
        <f t="shared" si="7"/>
        <v>0</v>
      </c>
      <c r="R56" s="709">
        <f ca="1">SUM(R54:R55)</f>
        <v>9565.2485323830588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14088.085387741861</v>
      </c>
      <c r="D61" s="715">
        <f t="shared" ref="D61:Q61" ca="1" si="8">D46+D52+D56</f>
        <v>3077.363402408223</v>
      </c>
      <c r="E61" s="715">
        <f t="shared" ca="1" si="8"/>
        <v>33838.17396061428</v>
      </c>
      <c r="F61" s="715">
        <f t="shared" si="8"/>
        <v>396.17633596282354</v>
      </c>
      <c r="G61" s="715">
        <f t="shared" ca="1" si="8"/>
        <v>13628.230613158394</v>
      </c>
      <c r="H61" s="715">
        <f t="shared" si="8"/>
        <v>16550.541313632315</v>
      </c>
      <c r="I61" s="715">
        <f t="shared" si="8"/>
        <v>2796.6676309992881</v>
      </c>
      <c r="J61" s="715">
        <f t="shared" si="8"/>
        <v>0</v>
      </c>
      <c r="K61" s="715">
        <f t="shared" si="8"/>
        <v>370.26178108779266</v>
      </c>
      <c r="L61" s="715">
        <f t="shared" si="8"/>
        <v>0</v>
      </c>
      <c r="M61" s="715">
        <f t="shared" ca="1" si="8"/>
        <v>0</v>
      </c>
      <c r="N61" s="715">
        <f t="shared" si="8"/>
        <v>0</v>
      </c>
      <c r="O61" s="715">
        <f t="shared" ca="1" si="8"/>
        <v>0</v>
      </c>
      <c r="P61" s="715">
        <f t="shared" si="8"/>
        <v>0</v>
      </c>
      <c r="Q61" s="715">
        <f t="shared" si="8"/>
        <v>0</v>
      </c>
      <c r="R61" s="715">
        <f ca="1">R46+R52+R56</f>
        <v>84745.500425604987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0.1825069645571285</v>
      </c>
      <c r="D63" s="759">
        <f t="shared" ca="1" si="9"/>
        <v>0.23650649623672629</v>
      </c>
      <c r="E63" s="986">
        <f t="shared" ca="1" si="9"/>
        <v>0.20200000000000004</v>
      </c>
      <c r="F63" s="759">
        <f t="shared" si="9"/>
        <v>0.22700000000000001</v>
      </c>
      <c r="G63" s="759">
        <f t="shared" ca="1" si="9"/>
        <v>0.26699999999999996</v>
      </c>
      <c r="H63" s="759">
        <f t="shared" si="9"/>
        <v>0.26699999999999996</v>
      </c>
      <c r="I63" s="759">
        <f t="shared" si="9"/>
        <v>0.24899999999999997</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10181.125773829213</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3902.9251067596492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43.647124411212488</v>
      </c>
      <c r="C76" s="725">
        <f>'lokale energieproductie'!B8*IFERROR(SUM(D76:H76)/SUM(D76:O76),0)</f>
        <v>9063.4528755887859</v>
      </c>
      <c r="D76" s="996">
        <f>'lokale energieproductie'!C8</f>
        <v>10662.813425136088</v>
      </c>
      <c r="E76" s="997">
        <f>'lokale energieproductie'!D8</f>
        <v>0</v>
      </c>
      <c r="F76" s="997">
        <f>'lokale energieproductie'!E8</f>
        <v>0</v>
      </c>
      <c r="G76" s="997">
        <f>'lokale energieproductie'!F8</f>
        <v>0</v>
      </c>
      <c r="H76" s="997">
        <f>'lokale energieproductie'!G8</f>
        <v>0</v>
      </c>
      <c r="I76" s="997">
        <f>'lokale energieproductie'!I8</f>
        <v>0</v>
      </c>
      <c r="J76" s="997">
        <f>'lokale energieproductie'!J8</f>
        <v>51.349209901444752</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2153.8883118774897</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14127.698005000075</v>
      </c>
      <c r="C78" s="730">
        <f>SUM(C72:C77)</f>
        <v>9063.4528755887859</v>
      </c>
      <c r="D78" s="731">
        <f t="shared" ref="D78:H78" si="10">SUM(D76:D77)</f>
        <v>10662.813425136088</v>
      </c>
      <c r="E78" s="731">
        <f t="shared" si="10"/>
        <v>0</v>
      </c>
      <c r="F78" s="731">
        <f t="shared" si="10"/>
        <v>0</v>
      </c>
      <c r="G78" s="731">
        <f t="shared" si="10"/>
        <v>0</v>
      </c>
      <c r="H78" s="731">
        <f t="shared" si="10"/>
        <v>0</v>
      </c>
      <c r="I78" s="731">
        <f>SUM(I76:I77)</f>
        <v>0</v>
      </c>
      <c r="J78" s="731">
        <f>SUM(J76:J77)</f>
        <v>51.349209901444752</v>
      </c>
      <c r="K78" s="731">
        <f t="shared" ref="K78:L78" si="11">SUM(K76:K77)</f>
        <v>0</v>
      </c>
      <c r="L78" s="731">
        <f t="shared" si="11"/>
        <v>0</v>
      </c>
      <c r="M78" s="731">
        <f>SUM(M76:M77)</f>
        <v>0</v>
      </c>
      <c r="N78" s="731">
        <f>SUM(N76:N77)</f>
        <v>0</v>
      </c>
      <c r="O78" s="840">
        <f>SUM(O76:O77)</f>
        <v>0</v>
      </c>
      <c r="P78" s="732">
        <v>0</v>
      </c>
      <c r="Q78" s="732">
        <f>SUM(Q76:Q77)</f>
        <v>2153.8883118774897</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62.360737343127234</v>
      </c>
      <c r="C87" s="741">
        <f>'lokale energieproductie'!B17*IFERROR(SUM(D87:H87)/SUM(D87:O87),0)</f>
        <v>12949.38926265687</v>
      </c>
      <c r="D87" s="752">
        <f>'lokale energieproductie'!C17</f>
        <v>15234.472289149619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73.365075812840928</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3077.363402408223</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62.360737343127234</v>
      </c>
      <c r="C90" s="730">
        <f>SUM(C87:C89)</f>
        <v>12949.38926265687</v>
      </c>
      <c r="D90" s="730">
        <f t="shared" ref="D90:H90" si="12">SUM(D87:D89)</f>
        <v>15234.472289149619</v>
      </c>
      <c r="E90" s="730">
        <f t="shared" si="12"/>
        <v>0</v>
      </c>
      <c r="F90" s="730">
        <f t="shared" si="12"/>
        <v>0</v>
      </c>
      <c r="G90" s="730">
        <f t="shared" si="12"/>
        <v>0</v>
      </c>
      <c r="H90" s="730">
        <f t="shared" si="12"/>
        <v>0</v>
      </c>
      <c r="I90" s="730">
        <f>SUM(I87:I89)</f>
        <v>0</v>
      </c>
      <c r="J90" s="730">
        <f>SUM(J87:J89)</f>
        <v>73.365075812840928</v>
      </c>
      <c r="K90" s="730">
        <f t="shared" ref="K90:L90" si="13">SUM(K87:K89)</f>
        <v>0</v>
      </c>
      <c r="L90" s="730">
        <f t="shared" si="13"/>
        <v>0</v>
      </c>
      <c r="M90" s="730">
        <f>SUM(M87:M89)</f>
        <v>0</v>
      </c>
      <c r="N90" s="730">
        <f>SUM(N87:N89)</f>
        <v>0</v>
      </c>
      <c r="O90" s="730">
        <f>SUM(O87:O89)</f>
        <v>0</v>
      </c>
      <c r="P90" s="730">
        <v>0</v>
      </c>
      <c r="Q90" s="730">
        <f>SUM(Q87:Q89)</f>
        <v>3077.363402408223</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36940.886132780128</v>
      </c>
      <c r="C4" s="447">
        <f>huishoudens!C8</f>
        <v>0</v>
      </c>
      <c r="D4" s="447">
        <f>huishoudens!D8</f>
        <v>111018.96012999167</v>
      </c>
      <c r="E4" s="447">
        <f>huishoudens!E8</f>
        <v>1088.5358617629056</v>
      </c>
      <c r="F4" s="447">
        <f>huishoudens!F8</f>
        <v>33186.298083488284</v>
      </c>
      <c r="G4" s="447">
        <f>huishoudens!G8</f>
        <v>0</v>
      </c>
      <c r="H4" s="447">
        <f>huishoudens!H8</f>
        <v>0</v>
      </c>
      <c r="I4" s="447">
        <f>huishoudens!I8</f>
        <v>0</v>
      </c>
      <c r="J4" s="447">
        <f>huishoudens!J8</f>
        <v>602.15381509758333</v>
      </c>
      <c r="K4" s="447">
        <f>huishoudens!K8</f>
        <v>0</v>
      </c>
      <c r="L4" s="447">
        <f>huishoudens!L8</f>
        <v>0</v>
      </c>
      <c r="M4" s="447">
        <f>huishoudens!M8</f>
        <v>0</v>
      </c>
      <c r="N4" s="447">
        <f>huishoudens!N8</f>
        <v>9835.9321732109311</v>
      </c>
      <c r="O4" s="447">
        <f>huishoudens!O8</f>
        <v>126.63</v>
      </c>
      <c r="P4" s="448">
        <f>huishoudens!P8</f>
        <v>419.4666666666667</v>
      </c>
      <c r="Q4" s="449">
        <f>SUM(B4:P4)</f>
        <v>193218.86286299818</v>
      </c>
    </row>
    <row r="5" spans="1:17">
      <c r="A5" s="446" t="s">
        <v>149</v>
      </c>
      <c r="B5" s="447">
        <f ca="1">tertiair!B16</f>
        <v>19239.514443003831</v>
      </c>
      <c r="C5" s="447">
        <f ca="1">tertiair!C16</f>
        <v>0</v>
      </c>
      <c r="D5" s="447">
        <f ca="1">tertiair!D16</f>
        <v>27832.571358194531</v>
      </c>
      <c r="E5" s="447">
        <f>tertiair!E16</f>
        <v>182.4469101734681</v>
      </c>
      <c r="F5" s="447">
        <f ca="1">tertiair!F16</f>
        <v>3921.279672375284</v>
      </c>
      <c r="G5" s="447">
        <f>tertiair!G16</f>
        <v>0</v>
      </c>
      <c r="H5" s="447">
        <f>tertiair!H16</f>
        <v>0</v>
      </c>
      <c r="I5" s="447">
        <f>tertiair!I16</f>
        <v>0</v>
      </c>
      <c r="J5" s="447">
        <f>tertiair!J16</f>
        <v>0</v>
      </c>
      <c r="K5" s="447">
        <f>tertiair!K16</f>
        <v>0</v>
      </c>
      <c r="L5" s="447">
        <f ca="1">tertiair!L16</f>
        <v>0</v>
      </c>
      <c r="M5" s="447">
        <f>tertiair!M16</f>
        <v>0</v>
      </c>
      <c r="N5" s="447">
        <f ca="1">tertiair!N16</f>
        <v>1697.055335481552</v>
      </c>
      <c r="O5" s="447">
        <f>tertiair!O16</f>
        <v>0</v>
      </c>
      <c r="P5" s="448">
        <f>tertiair!P16</f>
        <v>57.2</v>
      </c>
      <c r="Q5" s="446">
        <f t="shared" ref="Q5:Q14" ca="1" si="0">SUM(B5:P5)</f>
        <v>52930.06771922866</v>
      </c>
    </row>
    <row r="6" spans="1:17">
      <c r="A6" s="446" t="s">
        <v>187</v>
      </c>
      <c r="B6" s="447">
        <f>'openbare verlichting'!B8</f>
        <v>1087.078</v>
      </c>
      <c r="C6" s="447"/>
      <c r="D6" s="447"/>
      <c r="E6" s="447"/>
      <c r="F6" s="447"/>
      <c r="G6" s="447"/>
      <c r="H6" s="447"/>
      <c r="I6" s="447"/>
      <c r="J6" s="447"/>
      <c r="K6" s="447"/>
      <c r="L6" s="447"/>
      <c r="M6" s="447"/>
      <c r="N6" s="447"/>
      <c r="O6" s="447"/>
      <c r="P6" s="448"/>
      <c r="Q6" s="446">
        <f t="shared" si="0"/>
        <v>1087.078</v>
      </c>
    </row>
    <row r="7" spans="1:17">
      <c r="A7" s="446" t="s">
        <v>105</v>
      </c>
      <c r="B7" s="447">
        <f>landbouw!B8</f>
        <v>3260.7778503013601</v>
      </c>
      <c r="C7" s="447">
        <f>landbouw!C8</f>
        <v>13011.749999999998</v>
      </c>
      <c r="D7" s="447">
        <f>landbouw!D8</f>
        <v>9598.2559129252913</v>
      </c>
      <c r="E7" s="447">
        <f>landbouw!E8</f>
        <v>30.718712142666487</v>
      </c>
      <c r="F7" s="447">
        <f>landbouw!F8</f>
        <v>10641.000282663284</v>
      </c>
      <c r="G7" s="447">
        <f>landbouw!G8</f>
        <v>0</v>
      </c>
      <c r="H7" s="447">
        <f>landbouw!H8</f>
        <v>0</v>
      </c>
      <c r="I7" s="447">
        <f>landbouw!I8</f>
        <v>0</v>
      </c>
      <c r="J7" s="447">
        <f>landbouw!J8</f>
        <v>403.37408050269551</v>
      </c>
      <c r="K7" s="447">
        <f>landbouw!K8</f>
        <v>0</v>
      </c>
      <c r="L7" s="447">
        <f>landbouw!L8</f>
        <v>0</v>
      </c>
      <c r="M7" s="447">
        <f>landbouw!M8</f>
        <v>0</v>
      </c>
      <c r="N7" s="447">
        <f>landbouw!N8</f>
        <v>0</v>
      </c>
      <c r="O7" s="447">
        <f>landbouw!O8</f>
        <v>0</v>
      </c>
      <c r="P7" s="448">
        <f>landbouw!P8</f>
        <v>0</v>
      </c>
      <c r="Q7" s="446">
        <f t="shared" si="0"/>
        <v>36945.876838535296</v>
      </c>
    </row>
    <row r="8" spans="1:17">
      <c r="A8" s="446" t="s">
        <v>665</v>
      </c>
      <c r="B8" s="447">
        <f>industrie!B18</f>
        <v>15620.15800954845</v>
      </c>
      <c r="C8" s="447">
        <f>industrie!C18</f>
        <v>0</v>
      </c>
      <c r="D8" s="447">
        <f>industrie!D18</f>
        <v>15228.968458482843</v>
      </c>
      <c r="E8" s="447">
        <f>industrie!E18</f>
        <v>145.3511424716967</v>
      </c>
      <c r="F8" s="447">
        <f>industrie!F18</f>
        <v>3293.4841830401683</v>
      </c>
      <c r="G8" s="447">
        <f>industrie!G18</f>
        <v>0</v>
      </c>
      <c r="H8" s="447">
        <f>industrie!H18</f>
        <v>0</v>
      </c>
      <c r="I8" s="447">
        <f>industrie!I18</f>
        <v>0</v>
      </c>
      <c r="J8" s="447">
        <f>industrie!J18</f>
        <v>40.409339110999781</v>
      </c>
      <c r="K8" s="447">
        <f>industrie!K18</f>
        <v>0</v>
      </c>
      <c r="L8" s="447">
        <f>industrie!L18</f>
        <v>0</v>
      </c>
      <c r="M8" s="447">
        <f>industrie!M18</f>
        <v>0</v>
      </c>
      <c r="N8" s="447">
        <f>industrie!N18</f>
        <v>446.72996390860101</v>
      </c>
      <c r="O8" s="447">
        <f>industrie!O18</f>
        <v>0</v>
      </c>
      <c r="P8" s="448">
        <f>industrie!P18</f>
        <v>0</v>
      </c>
      <c r="Q8" s="446">
        <f t="shared" si="0"/>
        <v>34775.101096562757</v>
      </c>
    </row>
    <row r="9" spans="1:17" s="452" customFormat="1">
      <c r="A9" s="450" t="s">
        <v>562</v>
      </c>
      <c r="B9" s="451">
        <f>transport!B14</f>
        <v>3.6668190712667901</v>
      </c>
      <c r="C9" s="451">
        <f>transport!C14</f>
        <v>0</v>
      </c>
      <c r="D9" s="451">
        <f>transport!D14</f>
        <v>4.663954733181817</v>
      </c>
      <c r="E9" s="451">
        <f>transport!E14</f>
        <v>298.21757592866209</v>
      </c>
      <c r="F9" s="451">
        <f>transport!F14</f>
        <v>0</v>
      </c>
      <c r="G9" s="451">
        <f>transport!G14</f>
        <v>60986.839784085198</v>
      </c>
      <c r="H9" s="451">
        <f>transport!H14</f>
        <v>11231.596911643728</v>
      </c>
      <c r="I9" s="451">
        <f>transport!I14</f>
        <v>0</v>
      </c>
      <c r="J9" s="451">
        <f>transport!J14</f>
        <v>0</v>
      </c>
      <c r="K9" s="451">
        <f>transport!K14</f>
        <v>0</v>
      </c>
      <c r="L9" s="451">
        <f>transport!L14</f>
        <v>0</v>
      </c>
      <c r="M9" s="451">
        <f>transport!M14</f>
        <v>3228.1185431730105</v>
      </c>
      <c r="N9" s="451">
        <f>transport!N14</f>
        <v>0</v>
      </c>
      <c r="O9" s="451">
        <f>transport!O14</f>
        <v>0</v>
      </c>
      <c r="P9" s="451">
        <f>transport!P14</f>
        <v>0</v>
      </c>
      <c r="Q9" s="450">
        <f>SUM(B9:P9)</f>
        <v>75753.103588635044</v>
      </c>
    </row>
    <row r="10" spans="1:17">
      <c r="A10" s="446" t="s">
        <v>552</v>
      </c>
      <c r="B10" s="447">
        <f>transport!B54</f>
        <v>5.0147728625494787</v>
      </c>
      <c r="C10" s="447">
        <f>transport!C54</f>
        <v>0</v>
      </c>
      <c r="D10" s="447">
        <f>transport!D54</f>
        <v>0</v>
      </c>
      <c r="E10" s="447">
        <f>transport!E54</f>
        <v>0</v>
      </c>
      <c r="F10" s="447">
        <f>transport!F54</f>
        <v>0</v>
      </c>
      <c r="G10" s="447">
        <f>transport!G54</f>
        <v>1000.2063343878971</v>
      </c>
      <c r="H10" s="447">
        <f>transport!H54</f>
        <v>0</v>
      </c>
      <c r="I10" s="447">
        <f>transport!I54</f>
        <v>0</v>
      </c>
      <c r="J10" s="447">
        <f>transport!J54</f>
        <v>0</v>
      </c>
      <c r="K10" s="447">
        <f>transport!K54</f>
        <v>0</v>
      </c>
      <c r="L10" s="447">
        <f>transport!L54</f>
        <v>0</v>
      </c>
      <c r="M10" s="447">
        <f>transport!M54</f>
        <v>44.208054700400957</v>
      </c>
      <c r="N10" s="447">
        <f>transport!N54</f>
        <v>0</v>
      </c>
      <c r="O10" s="447">
        <f>transport!O54</f>
        <v>0</v>
      </c>
      <c r="P10" s="448">
        <f>transport!P54</f>
        <v>0</v>
      </c>
      <c r="Q10" s="446">
        <f t="shared" si="0"/>
        <v>1049.4291619508476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1034.9465990139101</v>
      </c>
      <c r="C14" s="454"/>
      <c r="D14" s="454">
        <f>'SEAP template'!E25</f>
        <v>3832.2928619807799</v>
      </c>
      <c r="E14" s="454"/>
      <c r="F14" s="454"/>
      <c r="G14" s="454"/>
      <c r="H14" s="454"/>
      <c r="I14" s="454"/>
      <c r="J14" s="454"/>
      <c r="K14" s="454"/>
      <c r="L14" s="454"/>
      <c r="M14" s="454"/>
      <c r="N14" s="454"/>
      <c r="O14" s="454"/>
      <c r="P14" s="455"/>
      <c r="Q14" s="446">
        <f t="shared" si="0"/>
        <v>4867.2394609946896</v>
      </c>
    </row>
    <row r="15" spans="1:17" s="459" customFormat="1">
      <c r="A15" s="456" t="s">
        <v>556</v>
      </c>
      <c r="B15" s="457">
        <f ca="1">SUM(B4:B14)</f>
        <v>77192.042626581504</v>
      </c>
      <c r="C15" s="457">
        <f t="shared" ref="C15:Q15" ca="1" si="1">SUM(C4:C14)</f>
        <v>13011.749999999998</v>
      </c>
      <c r="D15" s="457">
        <f t="shared" ca="1" si="1"/>
        <v>167515.71267630832</v>
      </c>
      <c r="E15" s="457">
        <f t="shared" si="1"/>
        <v>1745.2702024793989</v>
      </c>
      <c r="F15" s="457">
        <f t="shared" ca="1" si="1"/>
        <v>51042.062221567023</v>
      </c>
      <c r="G15" s="457">
        <f t="shared" si="1"/>
        <v>61987.046118473096</v>
      </c>
      <c r="H15" s="457">
        <f t="shared" si="1"/>
        <v>11231.596911643728</v>
      </c>
      <c r="I15" s="457">
        <f t="shared" si="1"/>
        <v>0</v>
      </c>
      <c r="J15" s="457">
        <f t="shared" si="1"/>
        <v>1045.9372347112785</v>
      </c>
      <c r="K15" s="457">
        <f t="shared" si="1"/>
        <v>0</v>
      </c>
      <c r="L15" s="457">
        <f t="shared" ca="1" si="1"/>
        <v>0</v>
      </c>
      <c r="M15" s="457">
        <f t="shared" si="1"/>
        <v>3272.3265978734116</v>
      </c>
      <c r="N15" s="457">
        <f t="shared" ca="1" si="1"/>
        <v>11979.717472601085</v>
      </c>
      <c r="O15" s="457">
        <f t="shared" si="1"/>
        <v>126.63</v>
      </c>
      <c r="P15" s="457">
        <f t="shared" si="1"/>
        <v>476.66666666666669</v>
      </c>
      <c r="Q15" s="457">
        <f t="shared" ca="1" si="1"/>
        <v>400626.75872890541</v>
      </c>
    </row>
    <row r="17" spans="1:17">
      <c r="A17" s="460" t="s">
        <v>557</v>
      </c>
      <c r="B17" s="764">
        <f ca="1">huishoudens!B10</f>
        <v>0.1825069645571285</v>
      </c>
      <c r="C17" s="764">
        <f ca="1">huishoudens!C10</f>
        <v>0.23650649623672629</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6741.9689961442227</v>
      </c>
      <c r="C22" s="447">
        <f t="shared" ref="C22:C32" ca="1" si="3">C4*$C$17</f>
        <v>0</v>
      </c>
      <c r="D22" s="447">
        <f t="shared" ref="D22:D32" si="4">D4*$D$17</f>
        <v>22425.82994625832</v>
      </c>
      <c r="E22" s="447">
        <f t="shared" ref="E22:E32" si="5">E4*$E$17</f>
        <v>247.09764062017959</v>
      </c>
      <c r="F22" s="447">
        <f t="shared" ref="F22:F32" si="6">F4*$F$17</f>
        <v>8860.741588291372</v>
      </c>
      <c r="G22" s="447">
        <f t="shared" ref="G22:G32" si="7">G4*$G$17</f>
        <v>0</v>
      </c>
      <c r="H22" s="447">
        <f t="shared" ref="H22:H32" si="8">H4*$H$17</f>
        <v>0</v>
      </c>
      <c r="I22" s="447">
        <f t="shared" ref="I22:I32" si="9">I4*$I$17</f>
        <v>0</v>
      </c>
      <c r="J22" s="447">
        <f t="shared" ref="J22:J32" si="10">J4*$J$17</f>
        <v>213.1624505445445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38488.800621858638</v>
      </c>
    </row>
    <row r="23" spans="1:17">
      <c r="A23" s="446" t="s">
        <v>149</v>
      </c>
      <c r="B23" s="447">
        <f t="shared" ca="1" si="2"/>
        <v>3511.345380545662</v>
      </c>
      <c r="C23" s="447">
        <f t="shared" ca="1" si="3"/>
        <v>0</v>
      </c>
      <c r="D23" s="447">
        <f t="shared" ca="1" si="4"/>
        <v>5622.1794143552952</v>
      </c>
      <c r="E23" s="447">
        <f t="shared" si="5"/>
        <v>41.415448609377258</v>
      </c>
      <c r="F23" s="447">
        <f t="shared" ca="1" si="6"/>
        <v>1046.9816725242008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10221.921916034535</v>
      </c>
    </row>
    <row r="24" spans="1:17">
      <c r="A24" s="446" t="s">
        <v>187</v>
      </c>
      <c r="B24" s="447">
        <f t="shared" ca="1" si="2"/>
        <v>198.39930601683415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198.39930601683415</v>
      </c>
    </row>
    <row r="25" spans="1:17">
      <c r="A25" s="446" t="s">
        <v>105</v>
      </c>
      <c r="B25" s="447">
        <f t="shared" ca="1" si="2"/>
        <v>595.11466755362005</v>
      </c>
      <c r="C25" s="447">
        <f t="shared" ca="1" si="3"/>
        <v>3077.363402408223</v>
      </c>
      <c r="D25" s="447">
        <f t="shared" si="4"/>
        <v>1938.8476944109091</v>
      </c>
      <c r="E25" s="447">
        <f t="shared" si="5"/>
        <v>6.9731476563852928</v>
      </c>
      <c r="F25" s="447">
        <f t="shared" si="6"/>
        <v>2841.1470754710972</v>
      </c>
      <c r="G25" s="447">
        <f t="shared" si="7"/>
        <v>0</v>
      </c>
      <c r="H25" s="447">
        <f t="shared" si="8"/>
        <v>0</v>
      </c>
      <c r="I25" s="447">
        <f t="shared" si="9"/>
        <v>0</v>
      </c>
      <c r="J25" s="447">
        <f t="shared" si="10"/>
        <v>142.7944244979542</v>
      </c>
      <c r="K25" s="447">
        <f t="shared" si="11"/>
        <v>0</v>
      </c>
      <c r="L25" s="447">
        <f t="shared" si="12"/>
        <v>0</v>
      </c>
      <c r="M25" s="447">
        <f t="shared" si="13"/>
        <v>0</v>
      </c>
      <c r="N25" s="447">
        <f t="shared" si="14"/>
        <v>0</v>
      </c>
      <c r="O25" s="447">
        <f t="shared" si="15"/>
        <v>0</v>
      </c>
      <c r="P25" s="448">
        <f t="shared" si="16"/>
        <v>0</v>
      </c>
      <c r="Q25" s="446">
        <f t="shared" ca="1" si="17"/>
        <v>8602.2404119981893</v>
      </c>
    </row>
    <row r="26" spans="1:17">
      <c r="A26" s="446" t="s">
        <v>665</v>
      </c>
      <c r="B26" s="447">
        <f t="shared" ca="1" si="2"/>
        <v>2850.787624225406</v>
      </c>
      <c r="C26" s="447">
        <f t="shared" ca="1" si="3"/>
        <v>0</v>
      </c>
      <c r="D26" s="447">
        <f t="shared" si="4"/>
        <v>3076.2516286135346</v>
      </c>
      <c r="E26" s="447">
        <f t="shared" si="5"/>
        <v>32.994709341075151</v>
      </c>
      <c r="F26" s="447">
        <f t="shared" si="6"/>
        <v>879.36027687172498</v>
      </c>
      <c r="G26" s="447">
        <f t="shared" si="7"/>
        <v>0</v>
      </c>
      <c r="H26" s="447">
        <f t="shared" si="8"/>
        <v>0</v>
      </c>
      <c r="I26" s="447">
        <f t="shared" si="9"/>
        <v>0</v>
      </c>
      <c r="J26" s="447">
        <f t="shared" si="10"/>
        <v>14.304906045293922</v>
      </c>
      <c r="K26" s="447">
        <f t="shared" si="11"/>
        <v>0</v>
      </c>
      <c r="L26" s="447">
        <f t="shared" si="12"/>
        <v>0</v>
      </c>
      <c r="M26" s="447">
        <f t="shared" si="13"/>
        <v>0</v>
      </c>
      <c r="N26" s="447">
        <f t="shared" si="14"/>
        <v>0</v>
      </c>
      <c r="O26" s="447">
        <f t="shared" si="15"/>
        <v>0</v>
      </c>
      <c r="P26" s="448">
        <f t="shared" si="16"/>
        <v>0</v>
      </c>
      <c r="Q26" s="446">
        <f t="shared" ca="1" si="17"/>
        <v>6853.6991450970345</v>
      </c>
    </row>
    <row r="27" spans="1:17" s="452" customFormat="1">
      <c r="A27" s="450" t="s">
        <v>562</v>
      </c>
      <c r="B27" s="758">
        <f t="shared" ca="1" si="2"/>
        <v>0.66922001827709088</v>
      </c>
      <c r="C27" s="451">
        <f t="shared" ca="1" si="3"/>
        <v>0</v>
      </c>
      <c r="D27" s="451">
        <f t="shared" si="4"/>
        <v>0.94211885610272705</v>
      </c>
      <c r="E27" s="451">
        <f t="shared" si="5"/>
        <v>67.695389735806302</v>
      </c>
      <c r="F27" s="451">
        <f t="shared" si="6"/>
        <v>0</v>
      </c>
      <c r="G27" s="451">
        <f t="shared" si="7"/>
        <v>16283.486222350748</v>
      </c>
      <c r="H27" s="451">
        <f t="shared" si="8"/>
        <v>2796.6676309992881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19149.460581960222</v>
      </c>
    </row>
    <row r="28" spans="1:17">
      <c r="A28" s="446" t="s">
        <v>552</v>
      </c>
      <c r="B28" s="447">
        <f t="shared" ca="1" si="2"/>
        <v>0.91523097308736756</v>
      </c>
      <c r="C28" s="447">
        <f t="shared" ca="1" si="3"/>
        <v>0</v>
      </c>
      <c r="D28" s="447">
        <f t="shared" si="4"/>
        <v>0</v>
      </c>
      <c r="E28" s="447">
        <f t="shared" si="5"/>
        <v>0</v>
      </c>
      <c r="F28" s="447">
        <f t="shared" si="6"/>
        <v>0</v>
      </c>
      <c r="G28" s="447">
        <f t="shared" si="7"/>
        <v>267.05509128156854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267.97032225465591</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188.88496226475237</v>
      </c>
      <c r="C32" s="447">
        <f t="shared" ca="1" si="3"/>
        <v>0</v>
      </c>
      <c r="D32" s="447">
        <f t="shared" si="4"/>
        <v>774.12315812011764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963.00812038487004</v>
      </c>
    </row>
    <row r="33" spans="1:17" s="459" customFormat="1">
      <c r="A33" s="456" t="s">
        <v>556</v>
      </c>
      <c r="B33" s="457">
        <f ca="1">SUM(B22:B32)</f>
        <v>14088.085387741861</v>
      </c>
      <c r="C33" s="457">
        <f t="shared" ref="C33:Q33" ca="1" si="18">SUM(C22:C32)</f>
        <v>3077.363402408223</v>
      </c>
      <c r="D33" s="457">
        <f t="shared" ca="1" si="18"/>
        <v>33838.17396061428</v>
      </c>
      <c r="E33" s="457">
        <f t="shared" si="18"/>
        <v>396.1763359628236</v>
      </c>
      <c r="F33" s="457">
        <f t="shared" ca="1" si="18"/>
        <v>13628.230613158394</v>
      </c>
      <c r="G33" s="457">
        <f t="shared" si="18"/>
        <v>16550.541313632315</v>
      </c>
      <c r="H33" s="457">
        <f t="shared" si="18"/>
        <v>2796.6676309992881</v>
      </c>
      <c r="I33" s="457">
        <f t="shared" si="18"/>
        <v>0</v>
      </c>
      <c r="J33" s="457">
        <f t="shared" si="18"/>
        <v>370.26178108779266</v>
      </c>
      <c r="K33" s="457">
        <f t="shared" si="18"/>
        <v>0</v>
      </c>
      <c r="L33" s="457">
        <f t="shared" ca="1" si="18"/>
        <v>0</v>
      </c>
      <c r="M33" s="457">
        <f t="shared" si="18"/>
        <v>0</v>
      </c>
      <c r="N33" s="457">
        <f t="shared" ca="1" si="18"/>
        <v>0</v>
      </c>
      <c r="O33" s="457">
        <f t="shared" si="18"/>
        <v>0</v>
      </c>
      <c r="P33" s="457">
        <f t="shared" si="18"/>
        <v>0</v>
      </c>
      <c r="Q33" s="457">
        <f t="shared" ca="1" si="18"/>
        <v>84745.500425604987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10181.125773829213</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3902.9251067596492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43.647124411212488</v>
      </c>
      <c r="C8" s="1013">
        <f>'SEAP template'!C76</f>
        <v>9063.4528755887859</v>
      </c>
      <c r="D8" s="1013">
        <f>'SEAP template'!D76</f>
        <v>10662.813425136088</v>
      </c>
      <c r="E8" s="1013">
        <f>'SEAP template'!E76</f>
        <v>0</v>
      </c>
      <c r="F8" s="1013">
        <f>'SEAP template'!F76</f>
        <v>0</v>
      </c>
      <c r="G8" s="1013">
        <f>'SEAP template'!G76</f>
        <v>0</v>
      </c>
      <c r="H8" s="1013">
        <f>'SEAP template'!H76</f>
        <v>0</v>
      </c>
      <c r="I8" s="1013">
        <f>'SEAP template'!I76</f>
        <v>0</v>
      </c>
      <c r="J8" s="1013">
        <f>'SEAP template'!J76</f>
        <v>51.349209901444752</v>
      </c>
      <c r="K8" s="1013">
        <f>'SEAP template'!K76</f>
        <v>0</v>
      </c>
      <c r="L8" s="1013">
        <f>'SEAP template'!L76</f>
        <v>0</v>
      </c>
      <c r="M8" s="1013">
        <f>'SEAP template'!M76</f>
        <v>0</v>
      </c>
      <c r="N8" s="1013">
        <f>'SEAP template'!N76</f>
        <v>0</v>
      </c>
      <c r="O8" s="1013">
        <f>'SEAP template'!O76</f>
        <v>0</v>
      </c>
      <c r="P8" s="1014">
        <f>'SEAP template'!Q76</f>
        <v>2153.8883118774897</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14127.698005000075</v>
      </c>
      <c r="C10" s="1017">
        <f>SUM(C4:C9)</f>
        <v>9063.4528755887859</v>
      </c>
      <c r="D10" s="1017">
        <f t="shared" ref="D10:H10" si="0">SUM(D8:D9)</f>
        <v>10662.813425136088</v>
      </c>
      <c r="E10" s="1017">
        <f t="shared" si="0"/>
        <v>0</v>
      </c>
      <c r="F10" s="1017">
        <f t="shared" si="0"/>
        <v>0</v>
      </c>
      <c r="G10" s="1017">
        <f t="shared" si="0"/>
        <v>0</v>
      </c>
      <c r="H10" s="1017">
        <f t="shared" si="0"/>
        <v>0</v>
      </c>
      <c r="I10" s="1017">
        <f>SUM(I8:I9)</f>
        <v>0</v>
      </c>
      <c r="J10" s="1017">
        <f>SUM(J8:J9)</f>
        <v>51.349209901444752</v>
      </c>
      <c r="K10" s="1017">
        <f t="shared" ref="K10:L10" si="1">SUM(K8:K9)</f>
        <v>0</v>
      </c>
      <c r="L10" s="1017">
        <f t="shared" si="1"/>
        <v>0</v>
      </c>
      <c r="M10" s="1017">
        <f>SUM(M8:M9)</f>
        <v>0</v>
      </c>
      <c r="N10" s="1017">
        <f>SUM(N8:N9)</f>
        <v>0</v>
      </c>
      <c r="O10" s="1017">
        <f>SUM(O8:O9)</f>
        <v>0</v>
      </c>
      <c r="P10" s="1017">
        <f>SUM(P8:P9)</f>
        <v>2153.8883118774897</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0.1825069645571285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62.360737343127234</v>
      </c>
      <c r="C17" s="1020">
        <f>'SEAP template'!C87</f>
        <v>12949.38926265687</v>
      </c>
      <c r="D17" s="1014">
        <f>'SEAP template'!D87</f>
        <v>15234.472289149619</v>
      </c>
      <c r="E17" s="1014">
        <f>'SEAP template'!E87</f>
        <v>0</v>
      </c>
      <c r="F17" s="1014">
        <f>'SEAP template'!F87</f>
        <v>0</v>
      </c>
      <c r="G17" s="1014">
        <f>'SEAP template'!G87</f>
        <v>0</v>
      </c>
      <c r="H17" s="1014">
        <f>'SEAP template'!H87</f>
        <v>0</v>
      </c>
      <c r="I17" s="1014">
        <f>'SEAP template'!I87</f>
        <v>0</v>
      </c>
      <c r="J17" s="1014">
        <f>'SEAP template'!J87</f>
        <v>73.365075812840928</v>
      </c>
      <c r="K17" s="1014">
        <f>'SEAP template'!K87</f>
        <v>0</v>
      </c>
      <c r="L17" s="1014">
        <f>'SEAP template'!L87</f>
        <v>0</v>
      </c>
      <c r="M17" s="1014">
        <f>'SEAP template'!M87</f>
        <v>0</v>
      </c>
      <c r="N17" s="1014">
        <f>'SEAP template'!N87</f>
        <v>0</v>
      </c>
      <c r="O17" s="1014">
        <f>'SEAP template'!O87</f>
        <v>0</v>
      </c>
      <c r="P17" s="1014">
        <f>'SEAP template'!Q87</f>
        <v>3077.363402408223</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62.360737343127234</v>
      </c>
      <c r="C20" s="1017">
        <f>SUM(C17:C19)</f>
        <v>12949.38926265687</v>
      </c>
      <c r="D20" s="1017">
        <f t="shared" ref="D20:H20" si="2">SUM(D17:D19)</f>
        <v>15234.472289149619</v>
      </c>
      <c r="E20" s="1017">
        <f t="shared" si="2"/>
        <v>0</v>
      </c>
      <c r="F20" s="1017">
        <f t="shared" si="2"/>
        <v>0</v>
      </c>
      <c r="G20" s="1017">
        <f t="shared" si="2"/>
        <v>0</v>
      </c>
      <c r="H20" s="1017">
        <f t="shared" si="2"/>
        <v>0</v>
      </c>
      <c r="I20" s="1017">
        <f>SUM(I17:I19)</f>
        <v>0</v>
      </c>
      <c r="J20" s="1017">
        <f>SUM(J17:J19)</f>
        <v>73.365075812840928</v>
      </c>
      <c r="K20" s="1017">
        <f t="shared" ref="K20:L20" si="3">SUM(K17:K19)</f>
        <v>0</v>
      </c>
      <c r="L20" s="1017">
        <f t="shared" si="3"/>
        <v>0</v>
      </c>
      <c r="M20" s="1017">
        <f>SUM(M17:M19)</f>
        <v>0</v>
      </c>
      <c r="N20" s="1017">
        <f>SUM(N17:N19)</f>
        <v>0</v>
      </c>
      <c r="O20" s="1017">
        <f>SUM(O17:O19)</f>
        <v>0</v>
      </c>
      <c r="P20" s="1017">
        <f>SUM(P17:P19)</f>
        <v>3077.363402408223</v>
      </c>
    </row>
    <row r="22" spans="1:16">
      <c r="A22" s="460" t="s">
        <v>893</v>
      </c>
      <c r="B22" s="764" t="s">
        <v>887</v>
      </c>
      <c r="C22" s="764">
        <f ca="1">'EF ele_warmte'!B22</f>
        <v>0.23650649623672629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0.1825069645571285</v>
      </c>
      <c r="C17" s="496">
        <f ca="1">'EF ele_warmte'!B22</f>
        <v>0.23650649623672629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0.1825069645571285</v>
      </c>
      <c r="C17" s="496">
        <f ca="1">'EF ele_warmte'!B22</f>
        <v>0.23650649623672629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0.1825069645571285</v>
      </c>
      <c r="C29" s="497">
        <f ca="1">'EF ele_warmte'!B22</f>
        <v>0.23650649623672629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7090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2955</v>
      </c>
      <c r="C14" s="327"/>
      <c r="D14" s="327"/>
      <c r="E14" s="327"/>
      <c r="F14" s="327"/>
    </row>
    <row r="15" spans="1:6">
      <c r="A15" s="1293" t="s">
        <v>177</v>
      </c>
      <c r="B15" s="1294">
        <v>599</v>
      </c>
      <c r="C15" s="327"/>
      <c r="D15" s="327"/>
      <c r="E15" s="327"/>
      <c r="F15" s="327"/>
    </row>
    <row r="16" spans="1:6">
      <c r="A16" s="1293" t="s">
        <v>6</v>
      </c>
      <c r="B16" s="1294">
        <v>3254</v>
      </c>
      <c r="C16" s="327"/>
      <c r="D16" s="327"/>
      <c r="E16" s="327"/>
      <c r="F16" s="327"/>
    </row>
    <row r="17" spans="1:6">
      <c r="A17" s="1293" t="s">
        <v>7</v>
      </c>
      <c r="B17" s="1294">
        <v>178</v>
      </c>
      <c r="C17" s="327"/>
      <c r="D17" s="327"/>
      <c r="E17" s="327"/>
      <c r="F17" s="327"/>
    </row>
    <row r="18" spans="1:6">
      <c r="A18" s="1293" t="s">
        <v>8</v>
      </c>
      <c r="B18" s="1294">
        <v>1653</v>
      </c>
      <c r="C18" s="327"/>
      <c r="D18" s="327"/>
      <c r="E18" s="327"/>
      <c r="F18" s="327"/>
    </row>
    <row r="19" spans="1:6">
      <c r="A19" s="1293" t="s">
        <v>9</v>
      </c>
      <c r="B19" s="1294">
        <v>1430</v>
      </c>
      <c r="C19" s="327"/>
      <c r="D19" s="327"/>
      <c r="E19" s="327"/>
      <c r="F19" s="327"/>
    </row>
    <row r="20" spans="1:6">
      <c r="A20" s="1293" t="s">
        <v>10</v>
      </c>
      <c r="B20" s="1294">
        <v>826</v>
      </c>
      <c r="C20" s="327"/>
      <c r="D20" s="327"/>
      <c r="E20" s="327"/>
      <c r="F20" s="327"/>
    </row>
    <row r="21" spans="1:6">
      <c r="A21" s="1293" t="s">
        <v>11</v>
      </c>
      <c r="B21" s="1294">
        <v>9249</v>
      </c>
      <c r="C21" s="327"/>
      <c r="D21" s="327"/>
      <c r="E21" s="327"/>
      <c r="F21" s="327"/>
    </row>
    <row r="22" spans="1:6">
      <c r="A22" s="1293" t="s">
        <v>12</v>
      </c>
      <c r="B22" s="1294">
        <v>20651</v>
      </c>
      <c r="C22" s="327"/>
      <c r="D22" s="327"/>
      <c r="E22" s="327"/>
      <c r="F22" s="327"/>
    </row>
    <row r="23" spans="1:6">
      <c r="A23" s="1293" t="s">
        <v>13</v>
      </c>
      <c r="B23" s="1294">
        <v>377</v>
      </c>
      <c r="C23" s="327"/>
      <c r="D23" s="327"/>
      <c r="E23" s="327"/>
      <c r="F23" s="327"/>
    </row>
    <row r="24" spans="1:6">
      <c r="A24" s="1293" t="s">
        <v>14</v>
      </c>
      <c r="B24" s="1294">
        <v>17</v>
      </c>
      <c r="C24" s="327"/>
      <c r="D24" s="327"/>
      <c r="E24" s="327"/>
      <c r="F24" s="327"/>
    </row>
    <row r="25" spans="1:6">
      <c r="A25" s="1293" t="s">
        <v>15</v>
      </c>
      <c r="B25" s="1294">
        <v>1732</v>
      </c>
      <c r="C25" s="327"/>
      <c r="D25" s="327"/>
      <c r="E25" s="327"/>
      <c r="F25" s="327"/>
    </row>
    <row r="26" spans="1:6">
      <c r="A26" s="1293" t="s">
        <v>16</v>
      </c>
      <c r="B26" s="1294">
        <v>50</v>
      </c>
      <c r="C26" s="327"/>
      <c r="D26" s="327"/>
      <c r="E26" s="327"/>
      <c r="F26" s="327"/>
    </row>
    <row r="27" spans="1:6">
      <c r="A27" s="1293" t="s">
        <v>17</v>
      </c>
      <c r="B27" s="1294">
        <v>506</v>
      </c>
      <c r="C27" s="327"/>
      <c r="D27" s="327"/>
      <c r="E27" s="327"/>
      <c r="F27" s="327"/>
    </row>
    <row r="28" spans="1:6">
      <c r="A28" s="1293" t="s">
        <v>18</v>
      </c>
      <c r="B28" s="1295">
        <v>184235</v>
      </c>
      <c r="C28" s="327"/>
      <c r="D28" s="327"/>
      <c r="E28" s="327"/>
      <c r="F28" s="327"/>
    </row>
    <row r="29" spans="1:6">
      <c r="A29" s="1293" t="s">
        <v>955</v>
      </c>
      <c r="B29" s="1295">
        <v>224</v>
      </c>
      <c r="C29" s="327"/>
      <c r="D29" s="327"/>
      <c r="E29" s="327"/>
      <c r="F29" s="327"/>
    </row>
    <row r="30" spans="1:6">
      <c r="A30" s="1288" t="s">
        <v>956</v>
      </c>
      <c r="B30" s="1296">
        <v>60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215397.587251333</v>
      </c>
      <c r="E38" s="1294">
        <v>7</v>
      </c>
      <c r="F38" s="1294">
        <v>87682.294375839701</v>
      </c>
    </row>
    <row r="39" spans="1:6">
      <c r="A39" s="1293" t="s">
        <v>29</v>
      </c>
      <c r="B39" s="1293" t="s">
        <v>30</v>
      </c>
      <c r="C39" s="1294">
        <v>5237</v>
      </c>
      <c r="D39" s="1294">
        <v>123080887.062075</v>
      </c>
      <c r="E39" s="1294">
        <v>6940</v>
      </c>
      <c r="F39" s="1294">
        <v>34266267.331189997</v>
      </c>
    </row>
    <row r="40" spans="1:6">
      <c r="A40" s="1293" t="s">
        <v>29</v>
      </c>
      <c r="B40" s="1293" t="s">
        <v>28</v>
      </c>
      <c r="C40" s="1294">
        <v>0</v>
      </c>
      <c r="D40" s="1294">
        <v>0</v>
      </c>
      <c r="E40" s="1294">
        <v>0</v>
      </c>
      <c r="F40" s="1294">
        <v>0</v>
      </c>
    </row>
    <row r="41" spans="1:6">
      <c r="A41" s="1293" t="s">
        <v>31</v>
      </c>
      <c r="B41" s="1293" t="s">
        <v>32</v>
      </c>
      <c r="C41" s="1294">
        <v>69</v>
      </c>
      <c r="D41" s="1294">
        <v>1992981.25528942</v>
      </c>
      <c r="E41" s="1294">
        <v>147</v>
      </c>
      <c r="F41" s="1294">
        <v>1598610.4340484201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8</v>
      </c>
      <c r="D44" s="1294">
        <v>275328.21199913102</v>
      </c>
      <c r="E44" s="1294">
        <v>16</v>
      </c>
      <c r="F44" s="1294">
        <v>885778.65037067397</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114115.18733397</v>
      </c>
      <c r="E47" s="1294">
        <v>5</v>
      </c>
      <c r="F47" s="1294">
        <v>132647.087855864</v>
      </c>
    </row>
    <row r="48" spans="1:6">
      <c r="A48" s="1293" t="s">
        <v>31</v>
      </c>
      <c r="B48" s="1293" t="s">
        <v>28</v>
      </c>
      <c r="C48" s="1294">
        <v>30</v>
      </c>
      <c r="D48" s="1294">
        <v>12318900.0303209</v>
      </c>
      <c r="E48" s="1294">
        <v>32</v>
      </c>
      <c r="F48" s="1294">
        <v>5110899.0201973496</v>
      </c>
    </row>
    <row r="49" spans="1:6">
      <c r="A49" s="1293" t="s">
        <v>31</v>
      </c>
      <c r="B49" s="1293" t="s">
        <v>39</v>
      </c>
      <c r="C49" s="1294">
        <v>0</v>
      </c>
      <c r="D49" s="1294">
        <v>0</v>
      </c>
      <c r="E49" s="1294">
        <v>0</v>
      </c>
      <c r="F49" s="1294">
        <v>0</v>
      </c>
    </row>
    <row r="50" spans="1:6">
      <c r="A50" s="1293" t="s">
        <v>31</v>
      </c>
      <c r="B50" s="1293" t="s">
        <v>40</v>
      </c>
      <c r="C50" s="1294">
        <v>11</v>
      </c>
      <c r="D50" s="1294">
        <v>2182232.3643723698</v>
      </c>
      <c r="E50" s="1294">
        <v>17</v>
      </c>
      <c r="F50" s="1294">
        <v>7892222.8170761401</v>
      </c>
    </row>
    <row r="51" spans="1:6">
      <c r="A51" s="1293" t="s">
        <v>41</v>
      </c>
      <c r="B51" s="1293" t="s">
        <v>42</v>
      </c>
      <c r="C51" s="1294">
        <v>20</v>
      </c>
      <c r="D51" s="1294">
        <v>623485.37312612904</v>
      </c>
      <c r="E51" s="1294">
        <v>113</v>
      </c>
      <c r="F51" s="1294">
        <v>3211116.9597969302</v>
      </c>
    </row>
    <row r="52" spans="1:6">
      <c r="A52" s="1293" t="s">
        <v>41</v>
      </c>
      <c r="B52" s="1293" t="s">
        <v>28</v>
      </c>
      <c r="C52" s="1294">
        <v>8</v>
      </c>
      <c r="D52" s="1294">
        <v>38728556.3421854</v>
      </c>
      <c r="E52" s="1294">
        <v>5</v>
      </c>
      <c r="F52" s="1294">
        <v>49660.890504429903</v>
      </c>
    </row>
    <row r="53" spans="1:6">
      <c r="A53" s="1293" t="s">
        <v>43</v>
      </c>
      <c r="B53" s="1293" t="s">
        <v>44</v>
      </c>
      <c r="C53" s="1294">
        <v>91</v>
      </c>
      <c r="D53" s="1294">
        <v>3832292.86198078</v>
      </c>
      <c r="E53" s="1294">
        <v>164</v>
      </c>
      <c r="F53" s="1294">
        <v>1034946.59901391</v>
      </c>
    </row>
    <row r="54" spans="1:6">
      <c r="A54" s="1293" t="s">
        <v>45</v>
      </c>
      <c r="B54" s="1293" t="s">
        <v>46</v>
      </c>
      <c r="C54" s="1294">
        <v>0</v>
      </c>
      <c r="D54" s="1294">
        <v>0</v>
      </c>
      <c r="E54" s="1294">
        <v>1</v>
      </c>
      <c r="F54" s="1294">
        <v>1087078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26</v>
      </c>
      <c r="D57" s="1294">
        <v>847690.37762573105</v>
      </c>
      <c r="E57" s="1294">
        <v>51</v>
      </c>
      <c r="F57" s="1294">
        <v>2605974.0679317499</v>
      </c>
    </row>
    <row r="58" spans="1:6">
      <c r="A58" s="1293" t="s">
        <v>48</v>
      </c>
      <c r="B58" s="1293" t="s">
        <v>50</v>
      </c>
      <c r="C58" s="1294">
        <v>23</v>
      </c>
      <c r="D58" s="1294">
        <v>907285.24233053904</v>
      </c>
      <c r="E58" s="1294">
        <v>27</v>
      </c>
      <c r="F58" s="1294">
        <v>208432.03554147499</v>
      </c>
    </row>
    <row r="59" spans="1:6">
      <c r="A59" s="1293" t="s">
        <v>48</v>
      </c>
      <c r="B59" s="1293" t="s">
        <v>51</v>
      </c>
      <c r="C59" s="1294">
        <v>103</v>
      </c>
      <c r="D59" s="1294">
        <v>4192170.0395595799</v>
      </c>
      <c r="E59" s="1294">
        <v>198</v>
      </c>
      <c r="F59" s="1294">
        <v>6492435.9136202997</v>
      </c>
    </row>
    <row r="60" spans="1:6">
      <c r="A60" s="1293" t="s">
        <v>48</v>
      </c>
      <c r="B60" s="1293" t="s">
        <v>52</v>
      </c>
      <c r="C60" s="1294">
        <v>64</v>
      </c>
      <c r="D60" s="1294">
        <v>3673097.5135171399</v>
      </c>
      <c r="E60" s="1294">
        <v>76</v>
      </c>
      <c r="F60" s="1294">
        <v>1866208.88537592</v>
      </c>
    </row>
    <row r="61" spans="1:6">
      <c r="A61" s="1293" t="s">
        <v>48</v>
      </c>
      <c r="B61" s="1293" t="s">
        <v>53</v>
      </c>
      <c r="C61" s="1294">
        <v>199</v>
      </c>
      <c r="D61" s="1294">
        <v>12954714.646256899</v>
      </c>
      <c r="E61" s="1294">
        <v>373</v>
      </c>
      <c r="F61" s="1294">
        <v>4973241.7883838797</v>
      </c>
    </row>
    <row r="62" spans="1:6">
      <c r="A62" s="1293" t="s">
        <v>48</v>
      </c>
      <c r="B62" s="1293" t="s">
        <v>54</v>
      </c>
      <c r="C62" s="1294">
        <v>13</v>
      </c>
      <c r="D62" s="1294">
        <v>2568723.9751963802</v>
      </c>
      <c r="E62" s="1294">
        <v>20</v>
      </c>
      <c r="F62" s="1294">
        <v>719469.43000485701</v>
      </c>
    </row>
    <row r="63" spans="1:6">
      <c r="A63" s="1293" t="s">
        <v>48</v>
      </c>
      <c r="B63" s="1293" t="s">
        <v>28</v>
      </c>
      <c r="C63" s="1294">
        <v>104</v>
      </c>
      <c r="D63" s="1294">
        <v>5712827.47180478</v>
      </c>
      <c r="E63" s="1294">
        <v>107</v>
      </c>
      <c r="F63" s="1294">
        <v>2373752.3221456502</v>
      </c>
    </row>
    <row r="64" spans="1:6">
      <c r="A64" s="1293" t="s">
        <v>55</v>
      </c>
      <c r="B64" s="1293" t="s">
        <v>56</v>
      </c>
      <c r="C64" s="1294">
        <v>0</v>
      </c>
      <c r="D64" s="1294">
        <v>0</v>
      </c>
      <c r="E64" s="1294">
        <v>0</v>
      </c>
      <c r="F64" s="1294">
        <v>0</v>
      </c>
    </row>
    <row r="65" spans="1:6">
      <c r="A65" s="1293" t="s">
        <v>55</v>
      </c>
      <c r="B65" s="1293" t="s">
        <v>28</v>
      </c>
      <c r="C65" s="1294">
        <v>1</v>
      </c>
      <c r="D65" s="1294">
        <v>14082.897343893599</v>
      </c>
      <c r="E65" s="1294">
        <v>1</v>
      </c>
      <c r="F65" s="1294">
        <v>9448.4374064282001</v>
      </c>
    </row>
    <row r="66" spans="1:6">
      <c r="A66" s="1293" t="s">
        <v>55</v>
      </c>
      <c r="B66" s="1293" t="s">
        <v>57</v>
      </c>
      <c r="C66" s="1294">
        <v>0</v>
      </c>
      <c r="D66" s="1294">
        <v>0</v>
      </c>
      <c r="E66" s="1294">
        <v>0</v>
      </c>
      <c r="F66" s="1294">
        <v>0</v>
      </c>
    </row>
    <row r="67" spans="1:6">
      <c r="A67" s="1293" t="s">
        <v>55</v>
      </c>
      <c r="B67" s="1293" t="s">
        <v>58</v>
      </c>
      <c r="C67" s="1294">
        <v>0</v>
      </c>
      <c r="D67" s="1294">
        <v>0</v>
      </c>
      <c r="E67" s="1294">
        <v>3</v>
      </c>
      <c r="F67" s="1294">
        <v>36489.897009901601</v>
      </c>
    </row>
    <row r="68" spans="1:6">
      <c r="A68" s="1288" t="s">
        <v>55</v>
      </c>
      <c r="B68" s="1288" t="s">
        <v>59</v>
      </c>
      <c r="C68" s="1296">
        <v>5</v>
      </c>
      <c r="D68" s="1296">
        <v>150108.70362626499</v>
      </c>
      <c r="E68" s="1296">
        <v>10</v>
      </c>
      <c r="F68" s="1296">
        <v>204456.05454281301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74465467</v>
      </c>
      <c r="E73" s="445"/>
      <c r="F73" s="327"/>
    </row>
    <row r="74" spans="1:6">
      <c r="A74" s="1293" t="s">
        <v>63</v>
      </c>
      <c r="B74" s="1293" t="s">
        <v>749</v>
      </c>
      <c r="C74" s="1306" t="s">
        <v>743</v>
      </c>
      <c r="D74" s="1294">
        <v>4848201.5406588325</v>
      </c>
      <c r="E74" s="445"/>
      <c r="F74" s="327"/>
    </row>
    <row r="75" spans="1:6">
      <c r="A75" s="1293" t="s">
        <v>64</v>
      </c>
      <c r="B75" s="1293" t="s">
        <v>748</v>
      </c>
      <c r="C75" s="1306" t="s">
        <v>744</v>
      </c>
      <c r="D75" s="1294">
        <v>16544008</v>
      </c>
      <c r="E75" s="445"/>
      <c r="F75" s="327"/>
    </row>
    <row r="76" spans="1:6">
      <c r="A76" s="1293" t="s">
        <v>64</v>
      </c>
      <c r="B76" s="1293" t="s">
        <v>749</v>
      </c>
      <c r="C76" s="1306" t="s">
        <v>745</v>
      </c>
      <c r="D76" s="1294">
        <v>620186.54065883229</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276278.91868233547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10181.125773829213</v>
      </c>
      <c r="C90" s="327"/>
      <c r="D90" s="327"/>
      <c r="E90" s="327"/>
      <c r="F90" s="327"/>
    </row>
    <row r="91" spans="1:6">
      <c r="A91" s="1293" t="s">
        <v>67</v>
      </c>
      <c r="B91" s="1294">
        <v>2674.6188015901248</v>
      </c>
      <c r="C91" s="327"/>
      <c r="D91" s="327"/>
      <c r="E91" s="327"/>
      <c r="F91" s="327"/>
    </row>
    <row r="92" spans="1:6">
      <c r="A92" s="1288" t="s">
        <v>68</v>
      </c>
      <c r="B92" s="1289">
        <v>1228.3063051695244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3771</v>
      </c>
      <c r="C97" s="327"/>
      <c r="D97" s="327"/>
      <c r="E97" s="327"/>
      <c r="F97" s="327"/>
    </row>
    <row r="98" spans="1:6">
      <c r="A98" s="1293" t="s">
        <v>71</v>
      </c>
      <c r="B98" s="1294">
        <v>6</v>
      </c>
      <c r="C98" s="327"/>
      <c r="D98" s="327"/>
      <c r="E98" s="327"/>
      <c r="F98" s="327"/>
    </row>
    <row r="99" spans="1:6">
      <c r="A99" s="1293" t="s">
        <v>72</v>
      </c>
      <c r="B99" s="1294">
        <v>60</v>
      </c>
      <c r="C99" s="327"/>
      <c r="D99" s="327"/>
      <c r="E99" s="327"/>
      <c r="F99" s="327"/>
    </row>
    <row r="100" spans="1:6">
      <c r="A100" s="1293" t="s">
        <v>73</v>
      </c>
      <c r="B100" s="1294">
        <v>624</v>
      </c>
      <c r="C100" s="327"/>
      <c r="D100" s="327"/>
      <c r="E100" s="327"/>
      <c r="F100" s="327"/>
    </row>
    <row r="101" spans="1:6">
      <c r="A101" s="1293" t="s">
        <v>74</v>
      </c>
      <c r="B101" s="1294">
        <v>113</v>
      </c>
      <c r="C101" s="327"/>
      <c r="D101" s="327"/>
      <c r="E101" s="327"/>
      <c r="F101" s="327"/>
    </row>
    <row r="102" spans="1:6">
      <c r="A102" s="1293" t="s">
        <v>75</v>
      </c>
      <c r="B102" s="1294">
        <v>88</v>
      </c>
      <c r="C102" s="327"/>
      <c r="D102" s="327"/>
      <c r="E102" s="327"/>
      <c r="F102" s="327"/>
    </row>
    <row r="103" spans="1:6">
      <c r="A103" s="1293" t="s">
        <v>76</v>
      </c>
      <c r="B103" s="1294">
        <v>105</v>
      </c>
      <c r="C103" s="327"/>
      <c r="D103" s="327"/>
      <c r="E103" s="327"/>
      <c r="F103" s="327"/>
    </row>
    <row r="104" spans="1:6">
      <c r="A104" s="1293" t="s">
        <v>77</v>
      </c>
      <c r="B104" s="1294">
        <v>1450</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10</v>
      </c>
      <c r="C123" s="1294">
        <v>10</v>
      </c>
      <c r="D123" s="327"/>
      <c r="E123" s="327"/>
      <c r="F123" s="327"/>
    </row>
    <row r="124" spans="1:6">
      <c r="A124" s="1293" t="s">
        <v>88</v>
      </c>
      <c r="B124" s="1294">
        <v>1</v>
      </c>
      <c r="C124" s="1294">
        <v>2</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69</v>
      </c>
      <c r="C129" s="327"/>
      <c r="D129" s="327"/>
      <c r="E129" s="327"/>
      <c r="F129" s="327"/>
    </row>
    <row r="130" spans="1:6">
      <c r="A130" s="1293" t="s">
        <v>284</v>
      </c>
      <c r="B130" s="1294">
        <v>0</v>
      </c>
      <c r="C130" s="327"/>
      <c r="D130" s="327"/>
      <c r="E130" s="327"/>
      <c r="F130" s="327"/>
    </row>
    <row r="131" spans="1:6">
      <c r="A131" s="1293" t="s">
        <v>285</v>
      </c>
      <c r="B131" s="1294">
        <v>3</v>
      </c>
      <c r="C131" s="327"/>
      <c r="D131" s="327"/>
      <c r="E131" s="327"/>
      <c r="F131" s="327"/>
    </row>
    <row r="132" spans="1:6">
      <c r="A132" s="1288" t="s">
        <v>286</v>
      </c>
      <c r="B132" s="1289">
        <v>11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77192.042626581489</v>
      </c>
      <c r="C3" s="44" t="s">
        <v>163</v>
      </c>
      <c r="D3" s="44"/>
      <c r="E3" s="157"/>
      <c r="F3" s="44"/>
      <c r="G3" s="44"/>
      <c r="H3" s="44"/>
      <c r="I3" s="44"/>
      <c r="J3" s="44"/>
      <c r="K3" s="97"/>
    </row>
    <row r="4" spans="1:11">
      <c r="A4" s="352" t="s">
        <v>164</v>
      </c>
      <c r="B4" s="50">
        <f>IF(ISERROR('SEAP template'!B78+'SEAP template'!C78),0,'SEAP template'!B78+'SEAP template'!C78)</f>
        <v>23191.150880588859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2153.8883118774897</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0.1825069645571285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3077.363402408223</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13011.749999999998</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0.23650649623672629</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1087.078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1087.078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0.1825069645571285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198.39930601683415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34266.26733119</v>
      </c>
      <c r="C5" s="18">
        <f>IF(ISERROR('Eigen informatie GS &amp; warmtenet'!B57),0,'Eigen informatie GS &amp; warmtenet'!B57)</f>
        <v>0</v>
      </c>
      <c r="D5" s="31">
        <f>(SUM(HH_hh_gas_kWh,HH_rest_gas_kWh)/1000)*0.902</f>
        <v>111018.96012999167</v>
      </c>
      <c r="E5" s="18">
        <f>B32*B41</f>
        <v>1088.5358617629056</v>
      </c>
      <c r="F5" s="18">
        <f>B36*B45</f>
        <v>33186.298083488284</v>
      </c>
      <c r="G5" s="19"/>
      <c r="H5" s="18"/>
      <c r="I5" s="18"/>
      <c r="J5" s="18">
        <f>B35*B44+C35*C44</f>
        <v>602.15381509758333</v>
      </c>
      <c r="K5" s="18"/>
      <c r="L5" s="18"/>
      <c r="M5" s="18"/>
      <c r="N5" s="18">
        <f>B34*B43+C34*C43</f>
        <v>9835.9321732109311</v>
      </c>
      <c r="O5" s="18">
        <f>B52*B53*B54</f>
        <v>126.63</v>
      </c>
      <c r="P5" s="18">
        <f>B60*B61*B62/1000-B60*B61*B62/1000/B63</f>
        <v>419.4666666666667</v>
      </c>
    </row>
    <row r="6" spans="1:16">
      <c r="A6" s="17" t="s">
        <v>622</v>
      </c>
      <c r="B6" s="766">
        <f>kWh_PV_kleiner_dan_10kW</f>
        <v>2674.6188015901248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36940.886132780128</v>
      </c>
      <c r="C8" s="22">
        <f>C5</f>
        <v>0</v>
      </c>
      <c r="D8" s="22">
        <f>D5</f>
        <v>111018.96012999167</v>
      </c>
      <c r="E8" s="22">
        <f>E5</f>
        <v>1088.5358617629056</v>
      </c>
      <c r="F8" s="22">
        <f>F5</f>
        <v>33186.298083488284</v>
      </c>
      <c r="G8" s="22"/>
      <c r="H8" s="22"/>
      <c r="I8" s="22"/>
      <c r="J8" s="22">
        <f>J5</f>
        <v>602.15381509758333</v>
      </c>
      <c r="K8" s="22"/>
      <c r="L8" s="22">
        <f>L5</f>
        <v>0</v>
      </c>
      <c r="M8" s="22">
        <f>M5</f>
        <v>0</v>
      </c>
      <c r="N8" s="22">
        <f>N5</f>
        <v>9835.9321732109311</v>
      </c>
      <c r="O8" s="22">
        <f>O5</f>
        <v>126.63</v>
      </c>
      <c r="P8" s="22">
        <f>P5</f>
        <v>419.4666666666667</v>
      </c>
    </row>
    <row r="9" spans="1:16">
      <c r="B9" s="20"/>
      <c r="C9" s="20"/>
      <c r="D9" s="258"/>
      <c r="E9" s="20"/>
      <c r="F9" s="20"/>
      <c r="G9" s="20"/>
      <c r="H9" s="20"/>
      <c r="I9" s="20"/>
      <c r="J9" s="20"/>
      <c r="K9" s="20"/>
      <c r="L9" s="20"/>
      <c r="M9" s="20"/>
      <c r="N9" s="20"/>
      <c r="O9" s="20"/>
      <c r="P9" s="20"/>
    </row>
    <row r="10" spans="1:16">
      <c r="A10" s="25" t="s">
        <v>207</v>
      </c>
      <c r="B10" s="26">
        <f ca="1">'EF ele_warmte'!B12</f>
        <v>0.1825069645571285</v>
      </c>
      <c r="C10" s="26">
        <f ca="1">'EF ele_warmte'!B22</f>
        <v>0.23650649623672629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6741.9689961442227</v>
      </c>
      <c r="C12" s="24">
        <f ca="1">C10*C8</f>
        <v>0</v>
      </c>
      <c r="D12" s="24">
        <f>D8*D10</f>
        <v>22425.82994625832</v>
      </c>
      <c r="E12" s="24">
        <f>E10*E8</f>
        <v>247.09764062017959</v>
      </c>
      <c r="F12" s="24">
        <f>F10*F8</f>
        <v>8860.741588291372</v>
      </c>
      <c r="G12" s="24"/>
      <c r="H12" s="24"/>
      <c r="I12" s="24"/>
      <c r="J12" s="24">
        <f>J10*J8</f>
        <v>213.1624505445445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7090</v>
      </c>
      <c r="C26" s="37"/>
      <c r="D26" s="228"/>
    </row>
    <row r="27" spans="1:5" s="16" customFormat="1">
      <c r="A27" s="230" t="s">
        <v>648</v>
      </c>
      <c r="B27" s="38">
        <f>SUM(HH_hh_gas_aantal,HH_rest_gas_aantal)</f>
        <v>5237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4975.1499999999996</v>
      </c>
      <c r="C31" s="35" t="s">
        <v>104</v>
      </c>
      <c r="D31" s="174"/>
    </row>
    <row r="32" spans="1:5">
      <c r="A32" s="171" t="s">
        <v>72</v>
      </c>
      <c r="B32" s="34">
        <f>IF((B21*($B$26-($B$27-0.05*$B$27)-$B$60))&lt;0,0,B21*($B$26-($B$27-0.05*$B$27)-$B$60))</f>
        <v>51.432480580010548</v>
      </c>
      <c r="C32" s="35" t="s">
        <v>104</v>
      </c>
      <c r="D32" s="174"/>
    </row>
    <row r="33" spans="1:6">
      <c r="A33" s="171" t="s">
        <v>73</v>
      </c>
      <c r="B33" s="34">
        <f>IF((B22*($B$26-($B$27-0.05*$B$27)-$B$60))&lt;0,0,B22*($B$26-($B$27-0.05*$B$27)-$B$60))</f>
        <v>346.20091634859574</v>
      </c>
      <c r="C33" s="35" t="s">
        <v>104</v>
      </c>
      <c r="D33" s="174"/>
    </row>
    <row r="34" spans="1:6">
      <c r="A34" s="171" t="s">
        <v>74</v>
      </c>
      <c r="B34" s="34">
        <f>IF((B24*($B$26-($B$27-0.05*$B$27)-$B$60))&lt;0,0,B24*($B$26-($B$27-0.05*$B$27)-$B$60))</f>
        <v>87.803849640113469</v>
      </c>
      <c r="C34" s="34">
        <f>B26*C24</f>
        <v>1449.9215031737224</v>
      </c>
      <c r="D34" s="233"/>
    </row>
    <row r="35" spans="1:6">
      <c r="A35" s="171" t="s">
        <v>76</v>
      </c>
      <c r="B35" s="34">
        <f>IF((B19*($B$26-($B$27-0.05*$B$27)-$B$60))&lt;0,0,B19*($B$26-($B$27-0.05*$B$27)-$B$60))</f>
        <v>32.642692664412053</v>
      </c>
      <c r="C35" s="34">
        <f>B35/2</f>
        <v>16.321346332206026</v>
      </c>
      <c r="D35" s="233"/>
    </row>
    <row r="36" spans="1:6">
      <c r="A36" s="171" t="s">
        <v>77</v>
      </c>
      <c r="B36" s="34">
        <f>IF((B18*($B$26-($B$27-0.05*$B$27)-$B$60))&lt;0,0,B18*($B$26-($B$27-0.05*$B$27)-$B$60))</f>
        <v>1574.770060766868</v>
      </c>
      <c r="C36" s="35" t="s">
        <v>104</v>
      </c>
      <c r="D36" s="174"/>
    </row>
    <row r="37" spans="1:6">
      <c r="A37" s="171" t="s">
        <v>78</v>
      </c>
      <c r="B37" s="34">
        <f>B60</f>
        <v>22</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81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19239.514443003831</v>
      </c>
      <c r="C5" s="18">
        <f>IF(ISERROR('Eigen informatie GS &amp; warmtenet'!B58),0,'Eigen informatie GS &amp; warmtenet'!B58)</f>
        <v>0</v>
      </c>
      <c r="D5" s="31">
        <f>SUM(D6:D12)</f>
        <v>27832.571358194531</v>
      </c>
      <c r="E5" s="18">
        <f>SUM(E6:E12)</f>
        <v>182.4469101734681</v>
      </c>
      <c r="F5" s="18">
        <f>SUM(F6:F12)</f>
        <v>3921.279672375284</v>
      </c>
      <c r="G5" s="19"/>
      <c r="H5" s="18"/>
      <c r="I5" s="18"/>
      <c r="J5" s="18">
        <f>SUM(J6:J12)</f>
        <v>0</v>
      </c>
      <c r="K5" s="18"/>
      <c r="L5" s="18"/>
      <c r="M5" s="18"/>
      <c r="N5" s="18">
        <f>SUM(N6:N12)</f>
        <v>1697.055335481552</v>
      </c>
      <c r="O5" s="18">
        <f>B38*B39*B40</f>
        <v>0</v>
      </c>
      <c r="P5" s="18">
        <f>B46*B47*B48/1000-B46*B47*B48/1000/B49</f>
        <v>57.2</v>
      </c>
      <c r="R5" s="33"/>
    </row>
    <row r="6" spans="1:18">
      <c r="A6" s="33" t="s">
        <v>53</v>
      </c>
      <c r="B6" s="38">
        <f>B26</f>
        <v>4973.2417883838798</v>
      </c>
      <c r="C6" s="34"/>
      <c r="D6" s="38">
        <f>IF(ISERROR(TER_kantoor_gas_kWh/1000),0,TER_kantoor_gas_kWh/1000)*0.902</f>
        <v>11685.152610923724</v>
      </c>
      <c r="E6" s="34">
        <f>$C$26*'E Balans VL '!I12/100/3.6*1000000</f>
        <v>8.162097730739589</v>
      </c>
      <c r="F6" s="34">
        <f>$C$26*('E Balans VL '!L12+'E Balans VL '!N12)/100/3.6*1000000</f>
        <v>586.22819282557214</v>
      </c>
      <c r="G6" s="35"/>
      <c r="H6" s="34"/>
      <c r="I6" s="34"/>
      <c r="J6" s="34">
        <f>$C$26*('E Balans VL '!D12+'E Balans VL '!E12)/100/3.6*1000000</f>
        <v>0</v>
      </c>
      <c r="K6" s="34"/>
      <c r="L6" s="34"/>
      <c r="M6" s="34"/>
      <c r="N6" s="34">
        <f>$C$26*'E Balans VL '!Y12/100/3.6*1000000</f>
        <v>1.0048199531150992</v>
      </c>
      <c r="O6" s="34"/>
      <c r="P6" s="34"/>
      <c r="R6" s="33"/>
    </row>
    <row r="7" spans="1:18">
      <c r="A7" s="33" t="s">
        <v>52</v>
      </c>
      <c r="B7" s="38">
        <f t="shared" ref="B7:B12" si="0">B27</f>
        <v>1866.2088853759201</v>
      </c>
      <c r="C7" s="34"/>
      <c r="D7" s="38">
        <f>IF(ISERROR(TER_horeca_gas_kWh/1000),0,TER_horeca_gas_kWh/1000)*0.902</f>
        <v>3313.13395719246</v>
      </c>
      <c r="E7" s="34">
        <f>$C$27*'E Balans VL '!I9/100/3.6*1000000</f>
        <v>96.842736974537061</v>
      </c>
      <c r="F7" s="34">
        <f>$C$27*('E Balans VL '!L9+'E Balans VL '!N9)/100/3.6*1000000</f>
        <v>425.87022177066353</v>
      </c>
      <c r="G7" s="35"/>
      <c r="H7" s="34"/>
      <c r="I7" s="34"/>
      <c r="J7" s="34">
        <f>$C$27*('E Balans VL '!D9+'E Balans VL '!E9)/100/3.6*1000000</f>
        <v>0</v>
      </c>
      <c r="K7" s="34"/>
      <c r="L7" s="34"/>
      <c r="M7" s="34"/>
      <c r="N7" s="34">
        <f>$C$27*'E Balans VL '!Y9/100/3.6*1000000</f>
        <v>0.1970708030681641</v>
      </c>
      <c r="O7" s="34"/>
      <c r="P7" s="34"/>
      <c r="R7" s="33"/>
    </row>
    <row r="8" spans="1:18">
      <c r="A8" s="6" t="s">
        <v>51</v>
      </c>
      <c r="B8" s="38">
        <f t="shared" si="0"/>
        <v>6492.4359136202993</v>
      </c>
      <c r="C8" s="34"/>
      <c r="D8" s="38">
        <f>IF(ISERROR(TER_handel_gas_kWh/1000),0,TER_handel_gas_kWh/1000)*0.902</f>
        <v>3781.3373756827414</v>
      </c>
      <c r="E8" s="34">
        <f>$C$28*'E Balans VL '!I13/100/3.6*1000000</f>
        <v>34.962565209181001</v>
      </c>
      <c r="F8" s="34">
        <f>$C$28*('E Balans VL '!L13+'E Balans VL '!N13)/100/3.6*1000000</f>
        <v>1324.0006206052469</v>
      </c>
      <c r="G8" s="35"/>
      <c r="H8" s="34"/>
      <c r="I8" s="34"/>
      <c r="J8" s="34">
        <f>$C$28*('E Balans VL '!D13+'E Balans VL '!E13)/100/3.6*1000000</f>
        <v>0</v>
      </c>
      <c r="K8" s="34"/>
      <c r="L8" s="34"/>
      <c r="M8" s="34"/>
      <c r="N8" s="34">
        <f>$C$28*'E Balans VL '!Y13/100/3.6*1000000</f>
        <v>32.283455241257919</v>
      </c>
      <c r="O8" s="34"/>
      <c r="P8" s="34"/>
      <c r="R8" s="33"/>
    </row>
    <row r="9" spans="1:18">
      <c r="A9" s="33" t="s">
        <v>50</v>
      </c>
      <c r="B9" s="38">
        <f t="shared" si="0"/>
        <v>208.43203554147499</v>
      </c>
      <c r="C9" s="34"/>
      <c r="D9" s="38">
        <f>IF(ISERROR(TER_gezond_gas_kWh/1000),0,TER_gezond_gas_kWh/1000)*0.902</f>
        <v>818.37128858214624</v>
      </c>
      <c r="E9" s="34">
        <f>$C$29*'E Balans VL '!I10/100/3.6*1000000</f>
        <v>0.20655851750090021</v>
      </c>
      <c r="F9" s="34">
        <f>$C$29*('E Balans VL '!L10+'E Balans VL '!N10)/100/3.6*1000000</f>
        <v>72.319908509953578</v>
      </c>
      <c r="G9" s="35"/>
      <c r="H9" s="34"/>
      <c r="I9" s="34"/>
      <c r="J9" s="34">
        <f>$C$29*('E Balans VL '!D10+'E Balans VL '!E10)/100/3.6*1000000</f>
        <v>0</v>
      </c>
      <c r="K9" s="34"/>
      <c r="L9" s="34"/>
      <c r="M9" s="34"/>
      <c r="N9" s="34">
        <f>$C$29*'E Balans VL '!Y10/100/3.6*1000000</f>
        <v>1.7960407938802185</v>
      </c>
      <c r="O9" s="34"/>
      <c r="P9" s="34"/>
      <c r="R9" s="33"/>
    </row>
    <row r="10" spans="1:18">
      <c r="A10" s="33" t="s">
        <v>49</v>
      </c>
      <c r="B10" s="38">
        <f t="shared" si="0"/>
        <v>2605.9740679317497</v>
      </c>
      <c r="C10" s="34"/>
      <c r="D10" s="38">
        <f>IF(ISERROR(TER_ander_gas_kWh/1000),0,TER_ander_gas_kWh/1000)*0.902</f>
        <v>764.61672061840943</v>
      </c>
      <c r="E10" s="34">
        <f>$C$30*'E Balans VL '!I14/100/3.6*1000000</f>
        <v>21.31947236127678</v>
      </c>
      <c r="F10" s="34">
        <f>$C$30*('E Balans VL '!L14+'E Balans VL '!N14)/100/3.6*1000000</f>
        <v>761.88072386491274</v>
      </c>
      <c r="G10" s="35"/>
      <c r="H10" s="34"/>
      <c r="I10" s="34"/>
      <c r="J10" s="34">
        <f>$C$30*('E Balans VL '!D14+'E Balans VL '!E14)/100/3.6*1000000</f>
        <v>0</v>
      </c>
      <c r="K10" s="34"/>
      <c r="L10" s="34"/>
      <c r="M10" s="34"/>
      <c r="N10" s="34">
        <f>$C$30*'E Balans VL '!Y14/100/3.6*1000000</f>
        <v>1503.3051045074999</v>
      </c>
      <c r="O10" s="34"/>
      <c r="P10" s="34"/>
      <c r="R10" s="33"/>
    </row>
    <row r="11" spans="1:18">
      <c r="A11" s="33" t="s">
        <v>54</v>
      </c>
      <c r="B11" s="38">
        <f t="shared" si="0"/>
        <v>719.46943000485703</v>
      </c>
      <c r="C11" s="34"/>
      <c r="D11" s="38">
        <f>IF(ISERROR(TER_onderwijs_gas_kWh/1000),0,TER_onderwijs_gas_kWh/1000)*0.902</f>
        <v>2316.9890256271351</v>
      </c>
      <c r="E11" s="34">
        <f>$C$31*'E Balans VL '!I11/100/3.6*1000000</f>
        <v>0.44345059922580116</v>
      </c>
      <c r="F11" s="34">
        <f>$C$31*('E Balans VL '!L11+'E Balans VL '!N11)/100/3.6*1000000</f>
        <v>278.15853320937873</v>
      </c>
      <c r="G11" s="35"/>
      <c r="H11" s="34"/>
      <c r="I11" s="34"/>
      <c r="J11" s="34">
        <f>$C$31*('E Balans VL '!D11+'E Balans VL '!E11)/100/3.6*1000000</f>
        <v>0</v>
      </c>
      <c r="K11" s="34"/>
      <c r="L11" s="34"/>
      <c r="M11" s="34"/>
      <c r="N11" s="34">
        <f>$C$31*'E Balans VL '!Y11/100/3.6*1000000</f>
        <v>2.3402798767988942</v>
      </c>
      <c r="O11" s="34"/>
      <c r="P11" s="34"/>
      <c r="R11" s="33"/>
    </row>
    <row r="12" spans="1:18">
      <c r="A12" s="33" t="s">
        <v>249</v>
      </c>
      <c r="B12" s="38">
        <f t="shared" si="0"/>
        <v>2373.7523221456499</v>
      </c>
      <c r="C12" s="34"/>
      <c r="D12" s="38">
        <f>IF(ISERROR(TER_rest_gas_kWh/1000),0,TER_rest_gas_kWh/1000)*0.902</f>
        <v>5152.9703795679116</v>
      </c>
      <c r="E12" s="34">
        <f>$C$32*'E Balans VL '!I8/100/3.6*1000000</f>
        <v>20.510028781006984</v>
      </c>
      <c r="F12" s="34">
        <f>$C$32*('E Balans VL '!L8+'E Balans VL '!N8)/100/3.6*1000000</f>
        <v>472.82147158955661</v>
      </c>
      <c r="G12" s="35"/>
      <c r="H12" s="34"/>
      <c r="I12" s="34"/>
      <c r="J12" s="34">
        <f>$C$32*('E Balans VL '!D8+'E Balans VL '!E8)/100/3.6*1000000</f>
        <v>0</v>
      </c>
      <c r="K12" s="34"/>
      <c r="L12" s="34"/>
      <c r="M12" s="34"/>
      <c r="N12" s="34">
        <f>$C$32*'E Balans VL '!Y8/100/3.6*1000000</f>
        <v>156.12856430593183</v>
      </c>
      <c r="O12" s="34"/>
      <c r="P12" s="34"/>
      <c r="R12" s="33"/>
    </row>
    <row r="13" spans="1:18">
      <c r="A13" s="17" t="s">
        <v>489</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19239.514443003831</v>
      </c>
      <c r="C16" s="22">
        <f t="shared" ca="1" si="1"/>
        <v>0</v>
      </c>
      <c r="D16" s="22">
        <f t="shared" ca="1" si="1"/>
        <v>27832.571358194531</v>
      </c>
      <c r="E16" s="22">
        <f t="shared" si="1"/>
        <v>182.4469101734681</v>
      </c>
      <c r="F16" s="22">
        <f t="shared" ca="1" si="1"/>
        <v>3921.279672375284</v>
      </c>
      <c r="G16" s="22">
        <f t="shared" si="1"/>
        <v>0</v>
      </c>
      <c r="H16" s="22">
        <f t="shared" si="1"/>
        <v>0</v>
      </c>
      <c r="I16" s="22">
        <f t="shared" si="1"/>
        <v>0</v>
      </c>
      <c r="J16" s="22">
        <f t="shared" si="1"/>
        <v>0</v>
      </c>
      <c r="K16" s="22">
        <f t="shared" si="1"/>
        <v>0</v>
      </c>
      <c r="L16" s="22">
        <f t="shared" ca="1" si="1"/>
        <v>0</v>
      </c>
      <c r="M16" s="22">
        <f t="shared" si="1"/>
        <v>0</v>
      </c>
      <c r="N16" s="22">
        <f t="shared" ca="1" si="1"/>
        <v>1697.055335481552</v>
      </c>
      <c r="O16" s="22">
        <f>O5</f>
        <v>0</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0.1825069645571285</v>
      </c>
      <c r="C18" s="26">
        <f ca="1">'EF ele_warmte'!B22</f>
        <v>0.23650649623672629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3511.345380545662</v>
      </c>
      <c r="C20" s="24">
        <f t="shared" ref="C20:P20" ca="1" si="2">C16*C18</f>
        <v>0</v>
      </c>
      <c r="D20" s="24">
        <f t="shared" ca="1" si="2"/>
        <v>5622.1794143552952</v>
      </c>
      <c r="E20" s="24">
        <f t="shared" si="2"/>
        <v>41.415448609377258</v>
      </c>
      <c r="F20" s="24">
        <f t="shared" ca="1" si="2"/>
        <v>1046.9816725242008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4973.2417883838798</v>
      </c>
      <c r="C26" s="40">
        <f>IF(ISERROR(B26*3.6/1000000/'E Balans VL '!Z12*100),0,B26*3.6/1000000/'E Balans VL '!Z12*100)</f>
        <v>0.10567782153708319</v>
      </c>
      <c r="D26" s="236" t="s">
        <v>685</v>
      </c>
      <c r="F26" s="6"/>
    </row>
    <row r="27" spans="1:18">
      <c r="A27" s="231" t="s">
        <v>52</v>
      </c>
      <c r="B27" s="34">
        <f>IF(ISERROR(TER_horeca_ele_kWh/1000),0,TER_horeca_ele_kWh/1000)</f>
        <v>1866.2088853759201</v>
      </c>
      <c r="C27" s="40">
        <f>IF(ISERROR(B27*3.6/1000000/'E Balans VL '!Z9*100),0,B27*3.6/1000000/'E Balans VL '!Z9*100)</f>
        <v>0.14688507060981176</v>
      </c>
      <c r="D27" s="236" t="s">
        <v>685</v>
      </c>
      <c r="F27" s="6"/>
    </row>
    <row r="28" spans="1:18">
      <c r="A28" s="171" t="s">
        <v>51</v>
      </c>
      <c r="B28" s="34">
        <f>IF(ISERROR(TER_handel_ele_kWh/1000),0,TER_handel_ele_kWh/1000)</f>
        <v>6492.4359136202993</v>
      </c>
      <c r="C28" s="40">
        <f>IF(ISERROR(B28*3.6/1000000/'E Balans VL '!Z13*100),0,B28*3.6/1000000/'E Balans VL '!Z13*100)</f>
        <v>0.18185660455502878</v>
      </c>
      <c r="D28" s="236" t="s">
        <v>685</v>
      </c>
      <c r="F28" s="6"/>
    </row>
    <row r="29" spans="1:18">
      <c r="A29" s="231" t="s">
        <v>50</v>
      </c>
      <c r="B29" s="34">
        <f>IF(ISERROR(TER_gezond_ele_kWh/1000),0,TER_gezond_ele_kWh/1000)</f>
        <v>208.43203554147499</v>
      </c>
      <c r="C29" s="40">
        <f>IF(ISERROR(B29*3.6/1000000/'E Balans VL '!Z10*100),0,B29*3.6/1000000/'E Balans VL '!Z10*100)</f>
        <v>2.666476007667077E-2</v>
      </c>
      <c r="D29" s="236" t="s">
        <v>685</v>
      </c>
      <c r="F29" s="6"/>
    </row>
    <row r="30" spans="1:18">
      <c r="A30" s="231" t="s">
        <v>49</v>
      </c>
      <c r="B30" s="34">
        <f>IF(ISERROR(TER_ander_ele_kWh/1000),0,TER_ander_ele_kWh/1000)</f>
        <v>2605.9740679317497</v>
      </c>
      <c r="C30" s="40">
        <f>IF(ISERROR(B30*3.6/1000000/'E Balans VL '!Z14*100),0,B30*3.6/1000000/'E Balans VL '!Z14*100)</f>
        <v>0.19490490196021076</v>
      </c>
      <c r="D30" s="236" t="s">
        <v>685</v>
      </c>
      <c r="F30" s="6"/>
    </row>
    <row r="31" spans="1:18">
      <c r="A31" s="231" t="s">
        <v>54</v>
      </c>
      <c r="B31" s="34">
        <f>IF(ISERROR(TER_onderwijs_ele_kWh/1000),0,TER_onderwijs_ele_kWh/1000)</f>
        <v>719.46943000485703</v>
      </c>
      <c r="C31" s="40">
        <f>IF(ISERROR(B31*3.6/1000000/'E Balans VL '!Z11*100),0,B31*3.6/1000000/'E Balans VL '!Z11*100)</f>
        <v>0.15191690209665004</v>
      </c>
      <c r="D31" s="236" t="s">
        <v>685</v>
      </c>
    </row>
    <row r="32" spans="1:18">
      <c r="A32" s="231" t="s">
        <v>249</v>
      </c>
      <c r="B32" s="34">
        <f>IF(ISERROR(TER_rest_ele_kWh/1000),0,TER_rest_ele_kWh/1000)</f>
        <v>2373.7523221456499</v>
      </c>
      <c r="C32" s="40">
        <f>IF(ISERROR(B32*3.6/1000000/'E Balans VL '!Z8*100),0,B32*3.6/1000000/'E Balans VL '!Z8*100)</f>
        <v>1.9554810370015514E-2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3</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15620.15800954845</v>
      </c>
      <c r="C5" s="18">
        <f>IF(ISERROR('Eigen informatie GS &amp; warmtenet'!B59),0,'Eigen informatie GS &amp; warmtenet'!B59)</f>
        <v>0</v>
      </c>
      <c r="D5" s="31">
        <f>SUM(D6:D15)</f>
        <v>15228.968458482843</v>
      </c>
      <c r="E5" s="18">
        <f>SUM(E6:E15)</f>
        <v>145.3511424716967</v>
      </c>
      <c r="F5" s="18">
        <f>SUM(F6:F15)</f>
        <v>3293.4841830401683</v>
      </c>
      <c r="G5" s="19"/>
      <c r="H5" s="18"/>
      <c r="I5" s="18"/>
      <c r="J5" s="18">
        <f>SUM(J6:J15)</f>
        <v>40.409339110999781</v>
      </c>
      <c r="K5" s="18"/>
      <c r="L5" s="18"/>
      <c r="M5" s="18"/>
      <c r="N5" s="18">
        <f>SUM(N6:N15)</f>
        <v>446.72996390860101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885.77865037067397</v>
      </c>
      <c r="C8" s="34"/>
      <c r="D8" s="38">
        <f>IF( ISERROR(IND_metaal_Gas_kWH/1000),0,IND_metaal_Gas_kWH/1000)*0.902</f>
        <v>248.3460472232162</v>
      </c>
      <c r="E8" s="34">
        <f>C30*'E Balans VL '!I18/100/3.6*1000000</f>
        <v>8.0666265406696365</v>
      </c>
      <c r="F8" s="34">
        <f>C30*'E Balans VL '!L18/100/3.6*1000000+C30*'E Balans VL '!N18/100/3.6*1000000</f>
        <v>116.82747726528595</v>
      </c>
      <c r="G8" s="35"/>
      <c r="H8" s="34"/>
      <c r="I8" s="34"/>
      <c r="J8" s="41">
        <f>C30*'E Balans VL '!D18/100/3.6*1000000+C30*'E Balans VL '!E18/100/3.6*1000000</f>
        <v>14.525483761789944</v>
      </c>
      <c r="K8" s="34"/>
      <c r="L8" s="34"/>
      <c r="M8" s="34"/>
      <c r="N8" s="34">
        <f>C30*'E Balans VL '!Y18/100/3.6*1000000</f>
        <v>3.0440693466577735</v>
      </c>
      <c r="O8" s="34"/>
      <c r="P8" s="34"/>
      <c r="R8" s="33"/>
    </row>
    <row r="9" spans="1:18">
      <c r="A9" s="6" t="s">
        <v>32</v>
      </c>
      <c r="B9" s="38">
        <f t="shared" si="0"/>
        <v>1598.6104340484201</v>
      </c>
      <c r="C9" s="34"/>
      <c r="D9" s="38">
        <f>IF( ISERROR(IND_andere_gas_kWh/1000),0,IND_andere_gas_kWh/1000)*0.902</f>
        <v>1797.6690922710568</v>
      </c>
      <c r="E9" s="34">
        <f>C31*'E Balans VL '!I19/100/3.6*1000000</f>
        <v>9.2402072013697207</v>
      </c>
      <c r="F9" s="34">
        <f>C31*'E Balans VL '!L19/100/3.6*1000000+C31*'E Balans VL '!N19/100/3.6*1000000</f>
        <v>1271.7715223756857</v>
      </c>
      <c r="G9" s="35"/>
      <c r="H9" s="34"/>
      <c r="I9" s="34"/>
      <c r="J9" s="41">
        <f>C31*'E Balans VL '!D19/100/3.6*1000000+C31*'E Balans VL '!E19/100/3.6*1000000</f>
        <v>0.15121079019922093</v>
      </c>
      <c r="K9" s="34"/>
      <c r="L9" s="34"/>
      <c r="M9" s="34"/>
      <c r="N9" s="34">
        <f>C31*'E Balans VL '!Y19/100/3.6*1000000</f>
        <v>121.11893264204012</v>
      </c>
      <c r="O9" s="34"/>
      <c r="P9" s="34"/>
      <c r="R9" s="33"/>
    </row>
    <row r="10" spans="1:18">
      <c r="A10" s="6" t="s">
        <v>40</v>
      </c>
      <c r="B10" s="38">
        <f t="shared" si="0"/>
        <v>7892.22281707614</v>
      </c>
      <c r="C10" s="34"/>
      <c r="D10" s="38">
        <f>IF( ISERROR(IND_voed_gas_kWh/1000),0,IND_voed_gas_kWh/1000)*0.902</f>
        <v>1968.3735926638776</v>
      </c>
      <c r="E10" s="34">
        <f>C32*'E Balans VL '!I20/100/3.6*1000000</f>
        <v>77.60119754095733</v>
      </c>
      <c r="F10" s="34">
        <f>C32*'E Balans VL '!L20/100/3.6*1000000+C32*'E Balans VL '!N20/100/3.6*1000000</f>
        <v>876.53435821419589</v>
      </c>
      <c r="G10" s="35"/>
      <c r="H10" s="34"/>
      <c r="I10" s="34"/>
      <c r="J10" s="41">
        <f>C32*'E Balans VL '!D20/100/3.6*1000000+C32*'E Balans VL '!E20/100/3.6*1000000</f>
        <v>3.1106832975667468E-2</v>
      </c>
      <c r="K10" s="34"/>
      <c r="L10" s="34"/>
      <c r="M10" s="34"/>
      <c r="N10" s="34">
        <f>C32*'E Balans VL '!Y20/100/3.6*1000000</f>
        <v>116.86525545599385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132.64708785586399</v>
      </c>
      <c r="C13" s="34"/>
      <c r="D13" s="38">
        <f>IF( ISERROR(IND_papier_gas_kWh/1000),0,IND_papier_gas_kWh/1000)*0.902</f>
        <v>102.93189897524094</v>
      </c>
      <c r="E13" s="34">
        <f>C35*'E Balans VL '!I23/100/3.6*1000000</f>
        <v>4.5181521382137717</v>
      </c>
      <c r="F13" s="34">
        <f>C35*'E Balans VL '!L23/100/3.6*1000000+C35*'E Balans VL '!N23/100/3.6*1000000</f>
        <v>21.910185753649298</v>
      </c>
      <c r="G13" s="35"/>
      <c r="H13" s="34"/>
      <c r="I13" s="34"/>
      <c r="J13" s="41">
        <f>C35*'E Balans VL '!D23/100/3.6*1000000+C35*'E Balans VL '!E23/100/3.6*1000000</f>
        <v>0</v>
      </c>
      <c r="K13" s="34"/>
      <c r="L13" s="34"/>
      <c r="M13" s="34"/>
      <c r="N13" s="34">
        <f>C35*'E Balans VL '!Y23/100/3.6*1000000</f>
        <v>48.810571011825225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5110.8990201973493</v>
      </c>
      <c r="C15" s="34"/>
      <c r="D15" s="38">
        <f>IF( ISERROR(IND_rest_gas_kWh/1000),0,IND_rest_gas_kWh/1000)*0.902</f>
        <v>11111.647827349452</v>
      </c>
      <c r="E15" s="34">
        <f>C37*'E Balans VL '!I15/100/3.6*1000000</f>
        <v>45.924959050486251</v>
      </c>
      <c r="F15" s="34">
        <f>C37*'E Balans VL '!L15/100/3.6*1000000+C37*'E Balans VL '!N15/100/3.6*1000000</f>
        <v>1006.4406394313517</v>
      </c>
      <c r="G15" s="35"/>
      <c r="H15" s="34"/>
      <c r="I15" s="34"/>
      <c r="J15" s="41">
        <f>C37*'E Balans VL '!D15/100/3.6*1000000+C37*'E Balans VL '!E15/100/3.6*1000000</f>
        <v>25.70153772603495</v>
      </c>
      <c r="K15" s="34"/>
      <c r="L15" s="34"/>
      <c r="M15" s="34"/>
      <c r="N15" s="34">
        <f>C37*'E Balans VL '!Y15/100/3.6*1000000</f>
        <v>156.89113545208406</v>
      </c>
      <c r="O15" s="34"/>
      <c r="P15" s="34"/>
      <c r="R15" s="33"/>
    </row>
    <row r="16" spans="1:18">
      <c r="A16" s="17" t="s">
        <v>489</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15620.15800954845</v>
      </c>
      <c r="C18" s="22">
        <f>C5+C16</f>
        <v>0</v>
      </c>
      <c r="D18" s="22">
        <f>MAX((D5+D16),0)</f>
        <v>15228.968458482843</v>
      </c>
      <c r="E18" s="22">
        <f>MAX((E5+E16),0)</f>
        <v>145.3511424716967</v>
      </c>
      <c r="F18" s="22">
        <f>MAX((F5+F16),0)</f>
        <v>3293.4841830401683</v>
      </c>
      <c r="G18" s="22"/>
      <c r="H18" s="22"/>
      <c r="I18" s="22"/>
      <c r="J18" s="22">
        <f>MAX((J5+J16),0)</f>
        <v>40.409339110999781</v>
      </c>
      <c r="K18" s="22"/>
      <c r="L18" s="22">
        <f>MAX((L5+L16),0)</f>
        <v>0</v>
      </c>
      <c r="M18" s="22"/>
      <c r="N18" s="22">
        <f>MAX((N5+N16),0)</f>
        <v>446.72996390860101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0.1825069645571285</v>
      </c>
      <c r="C20" s="26">
        <f ca="1">'EF ele_warmte'!B22</f>
        <v>0.23650649623672629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2850.787624225406</v>
      </c>
      <c r="C22" s="24">
        <f ca="1">C18*C20</f>
        <v>0</v>
      </c>
      <c r="D22" s="24">
        <f>D18*D20</f>
        <v>3076.2516286135346</v>
      </c>
      <c r="E22" s="24">
        <f>E18*E20</f>
        <v>32.994709341075151</v>
      </c>
      <c r="F22" s="24">
        <f>F18*F20</f>
        <v>879.36027687172498</v>
      </c>
      <c r="G22" s="24"/>
      <c r="H22" s="24"/>
      <c r="I22" s="24"/>
      <c r="J22" s="24">
        <f>J18*J20</f>
        <v>14.304906045293922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885.77865037067397</v>
      </c>
      <c r="C30" s="40">
        <f>IF(ISERROR(B30*3.6/1000000/'E Balans VL '!Z18*100),0,B30*3.6/1000000/'E Balans VL '!Z18*100)</f>
        <v>4.9287658742112071E-2</v>
      </c>
      <c r="D30" s="236" t="s">
        <v>685</v>
      </c>
    </row>
    <row r="31" spans="1:18">
      <c r="A31" s="6" t="s">
        <v>32</v>
      </c>
      <c r="B31" s="38">
        <f>IF( ISERROR(IND_ander_ele_kWh/1000),0,IND_ander_ele_kWh/1000)</f>
        <v>1598.6104340484201</v>
      </c>
      <c r="C31" s="40">
        <f>IF(ISERROR(B31*3.6/1000000/'E Balans VL '!Z19*100),0,B31*3.6/1000000/'E Balans VL '!Z19*100)</f>
        <v>7.431520064398571E-2</v>
      </c>
      <c r="D31" s="236" t="s">
        <v>685</v>
      </c>
    </row>
    <row r="32" spans="1:18">
      <c r="A32" s="171" t="s">
        <v>40</v>
      </c>
      <c r="B32" s="38">
        <f>IF( ISERROR(IND_voed_ele_kWh/1000),0,IND_voed_ele_kWh/1000)</f>
        <v>7892.22281707614</v>
      </c>
      <c r="C32" s="40">
        <f>IF(ISERROR(B32*3.6/1000000/'E Balans VL '!Z20*100),0,B32*3.6/1000000/'E Balans VL '!Z20*100)</f>
        <v>0.27897413756463807</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132.64708785586399</v>
      </c>
      <c r="C35" s="40">
        <f>IF(ISERROR(B35*3.6/1000000/'E Balans VL '!Z22*100),0,B35*3.6/1000000/'E Balans VL '!Z22*100)</f>
        <v>2.6658324137521283E-2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5110.8990201973493</v>
      </c>
      <c r="C37" s="40">
        <f>IF(ISERROR(B37*3.6/1000000/'E Balans VL '!Z15*100),0,B37*3.6/1000000/'E Balans VL '!Z15*100)</f>
        <v>3.8594837542006676E-2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3260.7778503013601</v>
      </c>
      <c r="C5" s="18">
        <f>'Eigen informatie GS &amp; warmtenet'!B60</f>
        <v>0</v>
      </c>
      <c r="D5" s="31">
        <f>IF(ISERROR(SUM(LB_lb_gas_kWh,LB_rest_gas_kWh)/1000),0,SUM(LB_lb_gas_kWh,LB_rest_gas_kWh)/1000)*0.902</f>
        <v>35495.541627211001</v>
      </c>
      <c r="E5" s="18">
        <f>B17*'E Balans VL '!I25/3.6*1000000/100</f>
        <v>30.718712142666487</v>
      </c>
      <c r="F5" s="18">
        <f>B17*('E Balans VL '!L25/3.6*1000000+'E Balans VL '!N25/3.6*1000000)/100</f>
        <v>10641.000282663284</v>
      </c>
      <c r="G5" s="19"/>
      <c r="H5" s="18"/>
      <c r="I5" s="18"/>
      <c r="J5" s="18">
        <f>('E Balans VL '!D25+'E Balans VL '!E25)/3.6*1000000*landbouw!B17/100</f>
        <v>403.37408050269551</v>
      </c>
      <c r="K5" s="18"/>
      <c r="L5" s="18">
        <f>L6*(-1)</f>
        <v>0</v>
      </c>
      <c r="M5" s="18"/>
      <c r="N5" s="18">
        <f>N6*(-1)</f>
        <v>124.71428571428569</v>
      </c>
      <c r="O5" s="18"/>
      <c r="P5" s="18"/>
      <c r="R5" s="33"/>
    </row>
    <row r="6" spans="1:18">
      <c r="A6" s="17" t="s">
        <v>489</v>
      </c>
      <c r="B6" s="18" t="s">
        <v>204</v>
      </c>
      <c r="C6" s="18">
        <f>'lokale energieproductie'!O41+'lokale energieproductie'!O34</f>
        <v>13011.749999999998</v>
      </c>
      <c r="D6" s="305">
        <f>('lokale energieproductie'!P34+'lokale energieproductie'!P41)*(-1)</f>
        <v>-25897.28571428571</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3260.7778503013601</v>
      </c>
      <c r="C8" s="22">
        <f>C5+C6</f>
        <v>13011.749999999998</v>
      </c>
      <c r="D8" s="22">
        <f>MAX((D5+D6),0)</f>
        <v>9598.2559129252913</v>
      </c>
      <c r="E8" s="22">
        <f>MAX((E5+E6),0)</f>
        <v>30.718712142666487</v>
      </c>
      <c r="F8" s="22">
        <f>MAX((F5+F6),0)</f>
        <v>10641.000282663284</v>
      </c>
      <c r="G8" s="22"/>
      <c r="H8" s="22"/>
      <c r="I8" s="22"/>
      <c r="J8" s="22">
        <f>MAX((J5+J6),0)</f>
        <v>403.37408050269551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0.1825069645571285</v>
      </c>
      <c r="C10" s="32">
        <f ca="1">'EF ele_warmte'!B22</f>
        <v>0.23650649623672629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595.11466755362005</v>
      </c>
      <c r="C12" s="24">
        <f ca="1">C8*C10</f>
        <v>3077.363402408223</v>
      </c>
      <c r="D12" s="24">
        <f>D8*D10</f>
        <v>1938.8476944109091</v>
      </c>
      <c r="E12" s="24">
        <f>E8*E10</f>
        <v>6.9731476563852928</v>
      </c>
      <c r="F12" s="24">
        <f>F8*F10</f>
        <v>2841.1470754710972</v>
      </c>
      <c r="G12" s="24"/>
      <c r="H12" s="24"/>
      <c r="I12" s="24"/>
      <c r="J12" s="24">
        <f>J8*J10</f>
        <v>142.7944244979542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0.44145721536641336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625.20511331087619</v>
      </c>
      <c r="C26" s="246">
        <f>B26*'GWP N2O_CH4'!B5</f>
        <v>13129.3073795284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256.86417092040114</v>
      </c>
      <c r="C27" s="246">
        <f>B27*'GWP N2O_CH4'!B5</f>
        <v>5394.1475893284241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8.6058249161639377</v>
      </c>
      <c r="C28" s="246">
        <f>B28*'GWP N2O_CH4'!B4</f>
        <v>2667.8057240108205</v>
      </c>
      <c r="D28" s="51"/>
    </row>
    <row r="29" spans="1:4">
      <c r="A29" s="42" t="s">
        <v>266</v>
      </c>
      <c r="B29" s="246">
        <f>B34*'ha_N2O bodem landbouw'!B4</f>
        <v>16.297903143985078</v>
      </c>
      <c r="C29" s="246">
        <f>B29*'GWP N2O_CH4'!B4</f>
        <v>5052.3499746353746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4.3999207865360931E-3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1.3200548656560445E-5</v>
      </c>
      <c r="C5" s="433" t="s">
        <v>204</v>
      </c>
      <c r="D5" s="418">
        <f>SUM(D6:D11)</f>
        <v>1.6790237039454539E-5</v>
      </c>
      <c r="E5" s="418">
        <f>SUM(E6:E11)</f>
        <v>1.0735832733431835E-3</v>
      </c>
      <c r="F5" s="431" t="s">
        <v>204</v>
      </c>
      <c r="G5" s="418">
        <f>SUM(G6:G11)</f>
        <v>0.21955262322270672</v>
      </c>
      <c r="H5" s="418">
        <f>SUM(H6:H11)</f>
        <v>4.0433748881917426E-2</v>
      </c>
      <c r="I5" s="433" t="s">
        <v>204</v>
      </c>
      <c r="J5" s="433" t="s">
        <v>204</v>
      </c>
      <c r="K5" s="433" t="s">
        <v>204</v>
      </c>
      <c r="L5" s="433" t="s">
        <v>204</v>
      </c>
      <c r="M5" s="418">
        <f>SUM(M6:M11)</f>
        <v>1.1621226755422837E-2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1.045519844221578E-5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1.2176975916222497E-5</v>
      </c>
      <c r="E6" s="421">
        <f>vkm_GW_PW*SUMIFS(TableVerdeelsleutelVkm[LPG],TableVerdeelsleutelVkm[Voertuigtype],"Lichte voertuigen")*SUMIFS(TableECFTransport[EnergieConsumptieFactor (PJ per km)],TableECFTransport[Index],CONCATENATE($A6,"_LPG_LPG"))</f>
        <v>7.9001090619237652E-4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0.12325655433593871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2.9704810093735969E-2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6.8450310197847933E-3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2.8378813480499082E-7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4.6944820374285594E-2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1.2596968155260199E-6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2.0888913640145935E-3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2.4252596321004094E-6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4.6132611232320439E-6</v>
      </c>
      <c r="E8" s="421">
        <f>vkm_NGW_PW*SUMIFS(TableVerdeelsleutelVkm[LPG],TableVerdeelsleutelVkm[Voertuigtype],"Lichte voertuigen")*SUMIFS(TableECFTransport[EnergieConsumptieFactor (PJ per km)],TableECFTransport[Index],CONCATENATE($A8,"_LPG_LPG"))</f>
        <v>2.8357236715080705E-4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4.1650474511121714E-2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1.0727484589331007E-2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2.3446456058636832E-3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3.6302447439264745E-8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7.700774001360689E-3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1.9450203492836658E-7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3.4265876575976742E-4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3.6668190712667901</v>
      </c>
      <c r="C14" s="22"/>
      <c r="D14" s="22">
        <f t="shared" ref="D14:M14" si="0">((D5)*10^9/3600)+D12</f>
        <v>4.663954733181817</v>
      </c>
      <c r="E14" s="22">
        <f t="shared" si="0"/>
        <v>298.21757592866209</v>
      </c>
      <c r="F14" s="22"/>
      <c r="G14" s="22">
        <f t="shared" si="0"/>
        <v>60986.839784085198</v>
      </c>
      <c r="H14" s="22">
        <f t="shared" si="0"/>
        <v>11231.596911643728</v>
      </c>
      <c r="I14" s="22"/>
      <c r="J14" s="22"/>
      <c r="K14" s="22"/>
      <c r="L14" s="22"/>
      <c r="M14" s="22">
        <f t="shared" si="0"/>
        <v>3228.1185431730105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0.1825069645571285</v>
      </c>
      <c r="C16" s="57">
        <f ca="1">'EF ele_warmte'!B22</f>
        <v>0.23650649623672629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0.66922001827709088</v>
      </c>
      <c r="C18" s="24"/>
      <c r="D18" s="24">
        <f t="shared" ref="D18:M18" si="1">D14*D16</f>
        <v>0.94211885610272705</v>
      </c>
      <c r="E18" s="24">
        <f t="shared" si="1"/>
        <v>67.695389735806302</v>
      </c>
      <c r="F18" s="24"/>
      <c r="G18" s="24">
        <f t="shared" si="1"/>
        <v>16283.486222350748</v>
      </c>
      <c r="H18" s="24">
        <f t="shared" si="1"/>
        <v>2796.6676309992881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1.8053182305178123E-5</v>
      </c>
      <c r="C50" s="316">
        <f t="shared" ref="C50:P50" si="2">SUM(C51:C52)</f>
        <v>0</v>
      </c>
      <c r="D50" s="316">
        <f t="shared" si="2"/>
        <v>0</v>
      </c>
      <c r="E50" s="316">
        <f t="shared" si="2"/>
        <v>0</v>
      </c>
      <c r="F50" s="316">
        <f t="shared" si="2"/>
        <v>0</v>
      </c>
      <c r="G50" s="316">
        <f t="shared" si="2"/>
        <v>3.6007428037964297E-3</v>
      </c>
      <c r="H50" s="316">
        <f t="shared" si="2"/>
        <v>0</v>
      </c>
      <c r="I50" s="316">
        <f t="shared" si="2"/>
        <v>0</v>
      </c>
      <c r="J50" s="316">
        <f t="shared" si="2"/>
        <v>0</v>
      </c>
      <c r="K50" s="316">
        <f t="shared" si="2"/>
        <v>0</v>
      </c>
      <c r="L50" s="316">
        <f t="shared" si="2"/>
        <v>0</v>
      </c>
      <c r="M50" s="316">
        <f t="shared" si="2"/>
        <v>1.5914899692144344E-4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1.8053182305178123E-5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3.6007428037964297E-3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1.5914899692144344E-4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5.0147728625494787</v>
      </c>
      <c r="C54" s="22">
        <f t="shared" ref="C54:P54" si="3">(C50)*10^9/3600</f>
        <v>0</v>
      </c>
      <c r="D54" s="22">
        <f t="shared" si="3"/>
        <v>0</v>
      </c>
      <c r="E54" s="22">
        <f t="shared" si="3"/>
        <v>0</v>
      </c>
      <c r="F54" s="22">
        <f t="shared" si="3"/>
        <v>0</v>
      </c>
      <c r="G54" s="22">
        <f t="shared" si="3"/>
        <v>1000.2063343878971</v>
      </c>
      <c r="H54" s="22">
        <f t="shared" si="3"/>
        <v>0</v>
      </c>
      <c r="I54" s="22">
        <f t="shared" si="3"/>
        <v>0</v>
      </c>
      <c r="J54" s="22">
        <f t="shared" si="3"/>
        <v>0</v>
      </c>
      <c r="K54" s="22">
        <f t="shared" si="3"/>
        <v>0</v>
      </c>
      <c r="L54" s="22">
        <f t="shared" si="3"/>
        <v>0</v>
      </c>
      <c r="M54" s="22">
        <f t="shared" si="3"/>
        <v>44.208054700400957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0.1825069645571285</v>
      </c>
      <c r="C56" s="57">
        <f ca="1">'EF ele_warmte'!B22</f>
        <v>0.23650649623672629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0.91523097308736756</v>
      </c>
      <c r="C58" s="24">
        <f t="shared" ref="C58:P58" ca="1" si="4">C54*C56</f>
        <v>0</v>
      </c>
      <c r="D58" s="24">
        <f t="shared" si="4"/>
        <v>0</v>
      </c>
      <c r="E58" s="24">
        <f t="shared" si="4"/>
        <v>0</v>
      </c>
      <c r="F58" s="24">
        <f t="shared" si="4"/>
        <v>0</v>
      </c>
      <c r="G58" s="24">
        <f t="shared" si="4"/>
        <v>267.05509128156854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10181.125773829213</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3902.9251067596492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N31</f>
        <v>9107.0999999999985</v>
      </c>
      <c r="C8" s="544">
        <f>B50</f>
        <v>10662.813425136088</v>
      </c>
      <c r="D8" s="967"/>
      <c r="E8" s="967">
        <f>E50</f>
        <v>0</v>
      </c>
      <c r="F8" s="968"/>
      <c r="G8" s="545"/>
      <c r="H8" s="967">
        <f>I50</f>
        <v>0</v>
      </c>
      <c r="I8" s="967">
        <f>G50+F50</f>
        <v>0</v>
      </c>
      <c r="J8" s="967">
        <f>H50+D50+C50</f>
        <v>51.349209901444752</v>
      </c>
      <c r="K8" s="967"/>
      <c r="L8" s="967"/>
      <c r="M8" s="967"/>
      <c r="N8" s="546"/>
      <c r="O8" s="547">
        <f>C8*$C$12+D8*$D$12+E8*$E$12+F8*$F$12+G8*$G$12+H8*$H$12+I8*$I$12+J8*$J$12</f>
        <v>2153.8883118774897</v>
      </c>
      <c r="P8" s="1241"/>
      <c r="Q8" s="1242"/>
      <c r="S8" s="1004"/>
      <c r="T8" s="1262"/>
      <c r="U8" s="1262"/>
    </row>
    <row r="9" spans="1:21" s="532" customFormat="1" ht="17.45" customHeight="1" thickBot="1">
      <c r="A9" s="548" t="s">
        <v>237</v>
      </c>
      <c r="B9" s="969">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23191.150880588859</v>
      </c>
      <c r="C10" s="556">
        <f t="shared" ref="C10:L10" si="0">SUM(C8:C9)</f>
        <v>10662.813425136088</v>
      </c>
      <c r="D10" s="556">
        <f t="shared" si="0"/>
        <v>0</v>
      </c>
      <c r="E10" s="556">
        <f t="shared" si="0"/>
        <v>0</v>
      </c>
      <c r="F10" s="556">
        <f t="shared" si="0"/>
        <v>0</v>
      </c>
      <c r="G10" s="556">
        <f t="shared" si="0"/>
        <v>0</v>
      </c>
      <c r="H10" s="556">
        <f t="shared" si="0"/>
        <v>0</v>
      </c>
      <c r="I10" s="556">
        <f t="shared" si="0"/>
        <v>0</v>
      </c>
      <c r="J10" s="556">
        <f t="shared" si="0"/>
        <v>51.349209901444752</v>
      </c>
      <c r="K10" s="556">
        <f t="shared" si="0"/>
        <v>0</v>
      </c>
      <c r="L10" s="556">
        <f t="shared" si="0"/>
        <v>0</v>
      </c>
      <c r="M10" s="971"/>
      <c r="N10" s="971"/>
      <c r="O10" s="557">
        <f>SUM(O4:O9)</f>
        <v>2153.8883118774897</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O31</f>
        <v>13011.749999999998</v>
      </c>
      <c r="C17" s="568">
        <f>B51</f>
        <v>15234.472289149619</v>
      </c>
      <c r="D17" s="569"/>
      <c r="E17" s="569">
        <f>E51</f>
        <v>0</v>
      </c>
      <c r="F17" s="570"/>
      <c r="G17" s="571"/>
      <c r="H17" s="568">
        <f>I51</f>
        <v>0</v>
      </c>
      <c r="I17" s="569">
        <f>G51+F51</f>
        <v>0</v>
      </c>
      <c r="J17" s="569">
        <f>H51+D51+C51</f>
        <v>73.365075812840928</v>
      </c>
      <c r="K17" s="569"/>
      <c r="L17" s="569"/>
      <c r="M17" s="569"/>
      <c r="N17" s="974"/>
      <c r="O17" s="572">
        <f>C17*$C$22+E17*$E$22+H17*$H$22+I17*$I$22+J17*$J$22+D17*$D$22+F17*$F$22+G17*$G$22+K17*$K$22+L17*$L$22</f>
        <v>3077.363402408223</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13011.749999999998</v>
      </c>
      <c r="C20" s="555">
        <f>SUM(C17:C19)</f>
        <v>15234.472289149619</v>
      </c>
      <c r="D20" s="555">
        <f t="shared" ref="D20:L20" si="1">SUM(D17:D19)</f>
        <v>0</v>
      </c>
      <c r="E20" s="555">
        <f t="shared" si="1"/>
        <v>0</v>
      </c>
      <c r="F20" s="555">
        <f t="shared" si="1"/>
        <v>0</v>
      </c>
      <c r="G20" s="555">
        <f t="shared" si="1"/>
        <v>0</v>
      </c>
      <c r="H20" s="555">
        <f t="shared" si="1"/>
        <v>0</v>
      </c>
      <c r="I20" s="555">
        <f t="shared" si="1"/>
        <v>0</v>
      </c>
      <c r="J20" s="555">
        <f t="shared" si="1"/>
        <v>73.365075812840928</v>
      </c>
      <c r="K20" s="555">
        <f t="shared" si="1"/>
        <v>0</v>
      </c>
      <c r="L20" s="555">
        <f t="shared" si="1"/>
        <v>0</v>
      </c>
      <c r="M20" s="555"/>
      <c r="N20" s="555"/>
      <c r="O20" s="576">
        <f>SUM(O17:O19)</f>
        <v>3077.363402408223</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11022</v>
      </c>
      <c r="C28" s="775">
        <v>2920</v>
      </c>
      <c r="D28" s="628"/>
      <c r="E28" s="627"/>
      <c r="F28" s="627"/>
      <c r="G28" s="627" t="s">
        <v>959</v>
      </c>
      <c r="H28" s="627" t="s">
        <v>960</v>
      </c>
      <c r="I28" s="627"/>
      <c r="J28" s="774"/>
      <c r="K28" s="774"/>
      <c r="L28" s="627" t="s">
        <v>961</v>
      </c>
      <c r="M28" s="627">
        <v>2014</v>
      </c>
      <c r="N28" s="627">
        <v>9062.9999999999982</v>
      </c>
      <c r="O28" s="627">
        <v>12947.142857142855</v>
      </c>
      <c r="P28" s="627">
        <v>25894.28571428571</v>
      </c>
      <c r="Q28" s="627">
        <v>0</v>
      </c>
      <c r="R28" s="627">
        <v>0</v>
      </c>
      <c r="S28" s="627">
        <v>0</v>
      </c>
      <c r="T28" s="627">
        <v>0</v>
      </c>
      <c r="U28" s="627">
        <v>0</v>
      </c>
      <c r="V28" s="627">
        <v>0</v>
      </c>
      <c r="W28" s="627"/>
      <c r="X28" s="627">
        <v>10</v>
      </c>
      <c r="Y28" s="627" t="s">
        <v>105</v>
      </c>
      <c r="Z28" s="629" t="s">
        <v>105</v>
      </c>
    </row>
    <row r="29" spans="1:26" s="581" customFormat="1" ht="12.75" hidden="1">
      <c r="A29" s="580"/>
      <c r="B29" s="775">
        <v>11022</v>
      </c>
      <c r="C29" s="775">
        <v>2920</v>
      </c>
      <c r="D29" s="628"/>
      <c r="E29" s="627"/>
      <c r="F29" s="627"/>
      <c r="G29" s="627" t="s">
        <v>962</v>
      </c>
      <c r="H29" s="627" t="s">
        <v>962</v>
      </c>
      <c r="I29" s="627"/>
      <c r="J29" s="774"/>
      <c r="K29" s="774"/>
      <c r="L29" s="627" t="s">
        <v>961</v>
      </c>
      <c r="M29" s="627">
        <v>1</v>
      </c>
      <c r="N29" s="627">
        <v>0.45</v>
      </c>
      <c r="O29" s="627">
        <v>2.25</v>
      </c>
      <c r="P29" s="627">
        <v>3</v>
      </c>
      <c r="Q29" s="627">
        <v>0</v>
      </c>
      <c r="R29" s="627">
        <v>0</v>
      </c>
      <c r="S29" s="627">
        <v>0</v>
      </c>
      <c r="T29" s="627">
        <v>0</v>
      </c>
      <c r="U29" s="627">
        <v>0</v>
      </c>
      <c r="V29" s="627">
        <v>0</v>
      </c>
      <c r="W29" s="627"/>
      <c r="X29" s="627">
        <v>10</v>
      </c>
      <c r="Y29" s="627" t="s">
        <v>105</v>
      </c>
      <c r="Z29" s="629" t="s">
        <v>105</v>
      </c>
    </row>
    <row r="30" spans="1:26" s="581" customFormat="1" ht="25.5" hidden="1">
      <c r="A30" s="580"/>
      <c r="B30" s="775">
        <v>11022</v>
      </c>
      <c r="C30" s="775">
        <v>2920</v>
      </c>
      <c r="D30" s="628"/>
      <c r="E30" s="627"/>
      <c r="F30" s="627"/>
      <c r="G30" s="627" t="s">
        <v>959</v>
      </c>
      <c r="H30" s="627" t="s">
        <v>960</v>
      </c>
      <c r="I30" s="627"/>
      <c r="J30" s="774"/>
      <c r="K30" s="774"/>
      <c r="L30" s="627" t="s">
        <v>961</v>
      </c>
      <c r="M30" s="627">
        <v>9.6999999999999993</v>
      </c>
      <c r="N30" s="627">
        <v>43.649999999999991</v>
      </c>
      <c r="O30" s="627">
        <v>62.357142857142847</v>
      </c>
      <c r="P30" s="627">
        <v>0</v>
      </c>
      <c r="Q30" s="627">
        <v>124.71428571428569</v>
      </c>
      <c r="R30" s="627">
        <v>0</v>
      </c>
      <c r="S30" s="627">
        <v>0</v>
      </c>
      <c r="T30" s="627">
        <v>0</v>
      </c>
      <c r="U30" s="627">
        <v>0</v>
      </c>
      <c r="V30" s="627">
        <v>0</v>
      </c>
      <c r="W30" s="627"/>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2024.7</v>
      </c>
      <c r="N31" s="585">
        <f>SUM(N28:N30)</f>
        <v>9107.0999999999985</v>
      </c>
      <c r="O31" s="585">
        <f>SUM(O28:O30)</f>
        <v>13011.749999999998</v>
      </c>
      <c r="P31" s="585">
        <f>SUM(P28:P30)</f>
        <v>25897.28571428571</v>
      </c>
      <c r="Q31" s="585">
        <f>SUM(Q28:Q30)</f>
        <v>124.71428571428569</v>
      </c>
      <c r="R31" s="585">
        <f>SUM(R28:R30)</f>
        <v>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2024.7</v>
      </c>
      <c r="N34" s="590">
        <f>SUMIF($Z$28:$Z$30,"landbouw",N28:N30)</f>
        <v>9107.0999999999985</v>
      </c>
      <c r="O34" s="590">
        <f>SUMIF($Z$28:$Z$30,"landbouw",O28:O30)</f>
        <v>13011.749999999998</v>
      </c>
      <c r="P34" s="590">
        <f>SUMIF($Z$28:$Z$30,"landbouw",P28:P30)</f>
        <v>25897.28571428571</v>
      </c>
      <c r="Q34" s="590">
        <f>SUMIF($Z$28:$Z$30,"landbouw",Q28:Q30)</f>
        <v>124.71428571428569</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535</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0.58826521270319199</v>
      </c>
      <c r="C47" s="610">
        <f>IF(ISERROR(N31/(O31+N31)),0,N31/(N31+O31))</f>
        <v>0.4117347872968079</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535</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10662.813425136088</v>
      </c>
      <c r="C50" s="619">
        <f t="shared" si="2"/>
        <v>51.349209901444752</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15234.472289149619</v>
      </c>
      <c r="C51" s="622">
        <f t="shared" si="3"/>
        <v>73.365075812840928</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2021-11-11T13:29:18Z</dcterms:modified>
</cp:coreProperties>
</file>