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80FCF1F-23D3-4697-80DC-48C7702A523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I9" i="18" s="1"/>
  <c r="S41" i="18"/>
  <c r="E9" i="18" s="1"/>
  <c r="R41" i="18"/>
  <c r="Q41" i="18"/>
  <c r="P41" i="18"/>
  <c r="C9" i="18" s="1"/>
  <c r="O41" i="18"/>
  <c r="N41" i="18"/>
  <c r="B9" i="18" s="1"/>
  <c r="M41"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50" i="18" s="1"/>
  <c r="N32" i="18"/>
  <c r="M32" i="18"/>
  <c r="G22" i="18"/>
  <c r="F22" i="18"/>
  <c r="E22" i="18"/>
  <c r="D22" i="18"/>
  <c r="C22" i="18"/>
  <c r="L20" i="18"/>
  <c r="D20" i="18"/>
  <c r="G12" i="18"/>
  <c r="F12" i="18"/>
  <c r="E12" i="18"/>
  <c r="D12" i="18"/>
  <c r="C12" i="18"/>
  <c r="L10" i="18"/>
  <c r="K10" i="18"/>
  <c r="G10" i="18"/>
  <c r="D10" i="18"/>
  <c r="B8" i="18"/>
  <c r="B6" i="18"/>
  <c r="B5" i="18"/>
  <c r="B4" i="18"/>
  <c r="J9" i="18" l="1"/>
  <c r="F20" i="18"/>
  <c r="B17" i="18"/>
  <c r="C50" i="18"/>
  <c r="B53" i="18" s="1"/>
  <c r="C8" i="18" s="1"/>
  <c r="G20" i="18"/>
  <c r="K20" i="18"/>
  <c r="B10" i="18"/>
  <c r="O9" i="18"/>
  <c r="O19" i="18"/>
  <c r="O18" i="18"/>
  <c r="B20" i="18"/>
  <c r="I54" i="18"/>
  <c r="H17" i="18" s="1"/>
  <c r="H20" i="18" s="1"/>
  <c r="E54" i="18"/>
  <c r="E17" i="18" s="1"/>
  <c r="E20" i="18" s="1"/>
  <c r="G54" i="18"/>
  <c r="C54" i="18"/>
  <c r="H54" i="18"/>
  <c r="D54" i="18"/>
  <c r="F54" i="18"/>
  <c r="B54" i="18"/>
  <c r="C17" i="18" s="1"/>
  <c r="I53" i="18"/>
  <c r="H8" i="18" s="1"/>
  <c r="H10" i="18" s="1"/>
  <c r="C53" i="18"/>
  <c r="H53" i="18"/>
  <c r="D53" i="18"/>
  <c r="N6" i="17"/>
  <c r="L6" i="17"/>
  <c r="F6" i="17"/>
  <c r="D6" i="17"/>
  <c r="C6" i="17"/>
  <c r="N16" i="16"/>
  <c r="L16" i="16"/>
  <c r="F16" i="16"/>
  <c r="D16" i="16"/>
  <c r="C16" i="16"/>
  <c r="B16" i="16"/>
  <c r="B13" i="15"/>
  <c r="F53" i="18" l="1"/>
  <c r="E53" i="18"/>
  <c r="E8" i="18" s="1"/>
  <c r="E10" i="18" s="1"/>
  <c r="G53"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<sst xmlns="http://schemas.openxmlformats.org/spreadsheetml/2006/main" count="2588" uniqueCount="968">
  <si>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</si>
  <si>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</si>
  <si>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</si>
  <si>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</si>
  <si>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</si>
  <si>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</si>
  <si>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</si>
  <si>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</si>
  <si>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</si>
  <si>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</si>
  <si>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</si>
  <si>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</si>
  <si>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</si>
  <si>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</si>
  <si>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</si>
  <si>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</si>
  <si>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</si>
  <si>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</si>
  <si>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</si>
  <si>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</si>
  <si>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</si>
  <si>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</si>
  <si>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</si>
  <si>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</si>
  <si>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</si>
  <si>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</si>
  <si>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</si>
  <si>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</si>
  <si>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</si>
  <si>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</si>
  <si>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</si>
  <si>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</si>
  <si>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</si>
  <si>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</si>
  <si>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</si>
  <si>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</si>
  <si>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</si>
  <si>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</si>
  <si>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</si>
  <si>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</si>
  <si>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</si>
  <si>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</si>
  <si>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</si>
  <si>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</si>
  <si>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</si>
  <si>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</si>
  <si>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</si>
  <si>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</si>
  <si>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</si>
  <si>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</si>
  <si>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</si>
  <si>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</si>
  <si>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</si>
  <si>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</si>
  <si>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</si>
  <si>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</si>
  <si>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</si>
  <si>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</si>
  <si>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</si>
  <si>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</si>
  <si>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</si>
  <si>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</si>
  <si>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</si>
  <si>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</si>
  <si>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</si>
  <si>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</si>
  <si>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</si>
  <si>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</si>
  <si>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</si>
  <si>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</si>
  <si>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</si>
  <si>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</si>
  <si>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</si>
  <si>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</si>
  <si>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</si>
  <si>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</si>
  <si>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</si>
  <si>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</si>
  <si>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</si>
  <si>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</si>
  <si>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</si>
  <si>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</si>
  <si>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</si>
  <si>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</si>
  <si>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</si>
  <si>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</si>
  <si>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</si>
  <si>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</si>
  <si>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</si>
  <si>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</si>
  <si>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</si>
  <si>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</si>
  <si>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</si>
  <si>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</si>
  <si>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</si>
  <si>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</si>
  <si>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</si>
  <si>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</si>
  <si>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</si>
  <si>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</si>
  <si>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</si>
  <si>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</si>
  <si>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</si>
  <si>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</si>
  <si>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</si>
  <si>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</si>
  <si>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</si>
  <si>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</si>
  <si>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</si>
  <si>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</si>
  <si>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</si>
  <si>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</si>
  <si>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</si>
  <si>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</si>
  <si>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</si>
  <si>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</si>
  <si>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</si>
  <si>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</si>
  <si>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</si>
  <si>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</si>
  <si>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</si>
  <si>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</si>
  <si>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</si>
  <si>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</si>
  <si>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</si>
  <si>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</si>
  <si>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</si>
  <si>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</si>
  <si>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</si>
  <si>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</si>
  <si>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</si>
  <si>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</si>
  <si>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</si>
  <si>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</si>
  <si>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</si>
  <si>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</si>
  <si>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</si>
  <si>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</si>
  <si>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</si>
  <si>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</si>
  <si>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</si>
  <si>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</si>
  <si>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</si>
  <si>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</si>
  <si>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</si>
  <si>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</si>
  <si>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</si>
  <si>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</si>
  <si>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</si>
  <si>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</si>
  <si>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</si>
  <si>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</si>
  <si>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</si>
  <si>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</si>
  <si>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</si>
  <si>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</si>
  <si>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</si>
  <si>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</si>
  <si>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</si>
  <si>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</si>
  <si>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</si>
  <si>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</si>
  <si>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</si>
  <si>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</si>
  <si>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</si>
  <si>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</si>
  <si>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</si>
  <si>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</si>
  <si>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</si>
  <si>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</si>
  <si>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</si>
  <si>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</si>
  <si>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</si>
  <si>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</si>
  <si>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</si>
  <si>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</si>
  <si>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</si>
  <si>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</si>
  <si>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</si>
  <si>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</si>
  <si>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</si>
  <si>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</si>
  <si>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</si>
  <si>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</si>
  <si>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</si>
  <si>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</si>
  <si>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</si>
  <si>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</si>
  <si>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</si>
  <si>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</si>
  <si>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</si>
  <si>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</si>
  <si>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</si>
  <si>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</si>
  <si>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</si>
  <si>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</si>
  <si>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</si>
  <si>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</si>
  <si>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</si>
  <si>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</si>
  <si>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</si>
  <si>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</si>
  <si>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</si>
  <si>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</si>
  <si>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</si>
  <si>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</si>
  <si>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</si>
  <si>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</si>
  <si>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</si>
  <si>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</si>
  <si>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</si>
  <si>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</si>
  <si>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</si>
  <si>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</si>
  <si>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</si>
  <si>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</si>
  <si>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</si>
  <si>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</si>
  <si>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</si>
  <si>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</si>
  <si>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</si>
  <si>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</si>
  <si>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</si>
  <si>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</si>
  <si>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</si>
  <si>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</si>
  <si>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</si>
  <si>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</si>
  <si>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</si>
  <si>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</si>
  <si>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</si>
  <si>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</si>
  <si>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</si>
  <si>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</si>
  <si>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</si>
  <si>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</si>
  <si>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</si>
  <si>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</si>
  <si>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</si>
  <si>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</si>
  <si>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</si>
  <si>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</si>
  <si>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</si>
  <si>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</si>
  <si>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</si>
  <si>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</si>
  <si>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</si>
  <si>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</si>
  <si>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</si>
  <si>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</si>
  <si>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</si>
  <si>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</si>
  <si>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</si>
  <si>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</si>
  <si>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</si>
  <si>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</si>
  <si>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</si>
  <si>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</si>
  <si>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</si>
  <si>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</si>
  <si>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</si>
  <si>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</si>
  <si>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</si>
  <si>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</si>
  <si>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</si>
  <si>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</si>
  <si>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</si>
  <si>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</si>
  <si>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</si>
  <si>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</si>
  <si>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</si>
  <si>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</si>
  <si>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</si>
  <si>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</si>
  <si>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</si>
  <si>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</si>
  <si>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</si>
  <si>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</si>
  <si>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</si>
  <si>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</si>
  <si>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</si>
  <si>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</si>
  <si>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</si>
  <si>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</si>
  <si>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</si>
  <si>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</si>
  <si>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</si>
  <si>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</si>
  <si>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</si>
  <si>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</si>
  <si>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</si>
  <si>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</si>
  <si>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</si>
  <si>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</si>
  <si>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</si>
  <si>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</si>
  <si>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</si>
  <si>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</si>
  <si>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</si>
  <si>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</si>
  <si>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</si>
  <si>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</si>
  <si>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</si>
  <si>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</si>
  <si>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</si>
  <si>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</si>
  <si>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</si>
  <si>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</si>
  <si>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</si>
  <si>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</si>
  <si>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</si>
  <si>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</si>
  <si>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</si>
  <si>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</si>
  <si>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</si>
  <si>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</si>
  <si>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</si>
  <si>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</si>
  <si>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</si>
  <si>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</si>
  <si>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</si>
  <si>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</si>
  <si>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</si>
  <si>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</si>
  <si>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</si>
  <si>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</si>
  <si>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</si>
  <si>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</si>
  <si>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</si>
  <si>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</si>
  <si>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</si>
  <si>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</si>
  <si>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</si>
  <si>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</si>
  <si>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</si>
  <si>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</si>
  <si>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</si>
  <si>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</si>
  <si>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</si>
  <si>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</si>
  <si>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</si>
  <si>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</si>
  <si>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</si>
  <si>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</si>
  <si>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</si>
  <si>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</si>
  <si>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</si>
  <si>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</si>
  <si>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</si>
  <si>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</si>
  <si>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</si>
  <si>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</si>
  <si>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</si>
  <si>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</si>
  <si>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</si>
  <si>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</si>
  <si>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</si>
  <si>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</si>
  <si>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</si>
  <si>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</si>
  <si>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</si>
  <si>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</si>
  <si>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</si>
  <si>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</si>
  <si>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</si>
  <si>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</si>
  <si>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</si>
  <si>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</si>
  <si>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</si>
  <si>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</si>
  <si>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</si>
  <si>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</si>
  <si>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</si>
  <si>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</si>
  <si>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</si>
  <si>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</si>
  <si>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</si>
  <si>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</si>
  <si>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</si>
  <si>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</si>
  <si>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</si>
  <si>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</si>
  <si>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</si>
  <si>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</si>
  <si>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</si>
  <si>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</si>
  <si>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</si>
  <si>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</si>
  <si>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</si>
  <si>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</si>
  <si>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</si>
  <si>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</si>
  <si>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</si>
  <si>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</si>
  <si>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</si>
  <si>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</si>
  <si>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</si>
  <si>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</si>
  <si>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</si>
  <si>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</si>
  <si>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</si>
  <si>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</si>
  <si>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</si>
  <si>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</si>
  <si>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</si>
  <si>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</si>
  <si>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</si>
  <si>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</si>
  <si>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</si>
  <si>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</si>
  <si>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</si>
  <si>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</si>
  <si>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</si>
  <si>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</si>
  <si>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</si>
  <si>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</si>
  <si>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</si>
  <si>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</si>
  <si>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</si>
  <si>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</si>
  <si>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</si>
  <si>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</si>
  <si>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</si>
  <si>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</si>
  <si>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</si>
  <si>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</si>
  <si>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</si>
  <si>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</si>
  <si>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</si>
  <si>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</si>
  <si>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</si>
  <si>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</si>
  <si>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</si>
  <si>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</si>
  <si>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</si>
  <si>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</si>
  <si>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</si>
  <si>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</si>
  <si>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</si>
  <si>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</si>
  <si>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</si>
  <si>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</si>
  <si>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</si>
  <si>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</si>
  <si>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</si>
  <si>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</si>
  <si>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</si>
  <si>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</si>
  <si>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</si>
  <si>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</si>
  <si>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</si>
  <si>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</si>
  <si>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</si>
  <si>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</si>
  <si>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</si>
  <si>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</si>
  <si>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</si>
  <si>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</si>
  <si>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</si>
  <si>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</si>
  <si>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</si>
  <si>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</si>
  <si>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</si>
  <si>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</si>
  <si>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</si>
  <si>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</si>
  <si>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</si>
  <si>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</si>
  <si>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</si>
  <si>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</si>
  <si>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</si>
  <si>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</si>
  <si>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</si>
  <si>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</si>
  <si>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</si>
  <si>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</si>
  <si>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</si>
  <si>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</si>
  <si>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</si>
  <si>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</si>
  <si>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</si>
  <si>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</si>
  <si>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</si>
  <si>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</si>
  <si>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</si>
  <si>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</si>
  <si>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</si>
  <si>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</si>
  <si>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</si>
  <si>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</si>
  <si>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</si>
  <si>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</si>
  <si>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</si>
  <si>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</si>
  <si>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</si>
  <si>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</si>
  <si>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</si>
  <si>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</si>
  <si>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</si>
  <si>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</si>
  <si>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</si>
  <si>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</si>
  <si>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</si>
  <si>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</si>
  <si>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</si>
  <si>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</si>
  <si>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</si>
  <si>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</si>
  <si>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</si>
  <si>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</si>
  <si>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</si>
  <si>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</si>
  <si>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</si>
  <si>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</si>
  <si>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</si>
  <si>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</si>
  <si>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</si>
  <si>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</si>
  <si>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</si>
  <si>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</si>
  <si>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</si>
  <si>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</si>
  <si>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</si>
  <si>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</si>
  <si>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</si>
  <si>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</si>
  <si>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</si>
  <si>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</si>
  <si>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</si>
  <si>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</si>
  <si>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</si>
  <si>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</si>
  <si>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</si>
  <si>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</si>
  <si>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</si>
  <si>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</si>
  <si>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</si>
  <si>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</si>
  <si>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</si>
  <si>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</si>
  <si>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</si>
  <si>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</si>
  <si>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</si>
  <si>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</si>
  <si>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</si>
  <si>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</si>
  <si>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</si>
  <si>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</si>
  <si>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</si>
  <si>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</si>
  <si>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</si>
  <si>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</si>
  <si>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</si>
  <si>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</si>
  <si>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</si>
  <si>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</si>
  <si>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</si>
  <si>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</si>
  <si>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</si>
  <si>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</si>
  <si>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</si>
  <si>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</si>
  <si>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</si>
  <si>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</si>
  <si>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</si>
  <si>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</si>
  <si>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</si>
  <si>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</si>
  <si>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</si>
  <si>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</si>
  <si>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</si>
  <si>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</si>
  <si>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</si>
  <si>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</si>
  <si>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</si>
  <si>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</si>
  <si>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</si>
  <si>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</si>
  <si>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</si>
  <si>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</si>
  <si>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</si>
  <si>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</si>
  <si>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</si>
  <si>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</si>
  <si>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</si>
  <si>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</si>
  <si>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</si>
  <si>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</si>
  <si>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</si>
  <si>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</si>
  <si>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</si>
  <si>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</si>
  <si>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</si>
  <si>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</si>
  <si>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</si>
  <si>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</si>
  <si>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</si>
  <si>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</si>
  <si>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</si>
  <si>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</si>
  <si>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</si>
  <si>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</si>
  <si>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</si>
  <si>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</si>
  <si>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</si>
  <si>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</si>
  <si>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</si>
  <si>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</si>
  <si>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</si>
  <si>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</si>
  <si>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</si>
  <si>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</si>
  <si>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</si>
  <si>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</si>
  <si>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</si>
  <si>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</si>
  <si>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</si>
  <si>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</si>
  <si>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</si>
  <si>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</si>
  <si>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</si>
  <si>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</si>
  <si>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</si>
  <si>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</si>
  <si>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</si>
  <si>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</si>
  <si>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</si>
  <si>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</si>
  <si>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</si>
  <si>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</si>
  <si>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</si>
  <si>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</si>
  <si>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</si>
  <si>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</si>
  <si>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</si>
  <si>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</si>
  <si>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</si>
  <si>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</si>
  <si>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</si>
  <si>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</si>
  <si>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</si>
  <si>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</si>
  <si>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</si>
  <si>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</si>
  <si>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</si>
  <si>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</si>
  <si>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</si>
  <si>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</si>
  <si>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</si>
  <si>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</si>
  <si>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</si>
  <si>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</si>
  <si>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</si>
  <si>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</si>
  <si>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</si>
  <si>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</si>
  <si>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</si>
  <si>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</si>
  <si>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</si>
  <si>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</si>
  <si>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</si>
  <si>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</si>
  <si>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</si>
  <si>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</si>
  <si>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</si>
  <si>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</si>
  <si>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</si>
  <si>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</si>
  <si>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</si>
  <si>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</si>
  <si>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</si>
  <si>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</si>
  <si>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</si>
  <si>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</si>
  <si>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</si>
  <si>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</si>
  <si>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</si>
  <si>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</si>
  <si>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</si>
  <si>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</si>
  <si>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</si>
  <si>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</si>
  <si>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</si>
  <si>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</si>
  <si>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</si>
  <si>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</si>
  <si>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</si>
  <si>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</si>
  <si>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</si>
  <si>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</si>
  <si>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</si>
  <si>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</si>
  <si>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</si>
  <si>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</si>
  <si>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</si>
  <si>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</si>
  <si>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</si>
  <si>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</si>
  <si>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</si>
  <si>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</si>
  <si>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</si>
  <si>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</si>
  <si>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</si>
  <si>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</si>
  <si>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</si>
  <si>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</si>
  <si>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</si>
  <si>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</si>
  <si>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</si>
  <si>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</si>
  <si>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</si>
  <si>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</si>
  <si>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</si>
  <si>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</si>
  <si>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</si>
  <si>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</si>
  <si>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</si>
  <si>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</si>
  <si>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</si>
  <si>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</si>
  <si>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</si>
  <si>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</si>
  <si>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</si>
  <si>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</si>
  <si>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</si>
  <si>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</si>
  <si>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</si>
  <si>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</si>
  <si>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</si>
  <si>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</si>
  <si>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</si>
  <si>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</si>
  <si>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</si>
  <si>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</si>
  <si>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</si>
  <si>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</si>
  <si>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</si>
  <si>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</si>
  <si>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</si>
  <si>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</si>
  <si>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</si>
  <si>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</si>
  <si>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</si>
  <si>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</si>
  <si>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</si>
  <si>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</si>
  <si>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</si>
  <si>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</si>
  <si>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</si>
  <si>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</si>
  <si>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</si>
  <si>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</si>
  <si>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</si>
  <si>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</si>
  <si>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</si>
  <si>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</si>
  <si>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</si>
  <si>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</si>
  <si>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</si>
  <si>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</si>
  <si>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</si>
  <si>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</si>
  <si>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</si>
  <si>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</si>
  <si>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</si>
  <si>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</si>
  <si>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</si>
  <si>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</si>
  <si>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</si>
  <si>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</si>
  <si>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</si>
  <si>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</si>
  <si>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</si>
  <si>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</si>
  <si>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</si>
  <si>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</si>
  <si>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</si>
  <si>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</si>
  <si>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</si>
  <si>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</si>
  <si>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</si>
  <si>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</si>
  <si>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</si>
  <si>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</si>
  <si>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</si>
  <si>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</si>
  <si>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</si>
  <si>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</si>
  <si>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</si>
  <si>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</si>
  <si>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</si>
  <si>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</si>
  <si>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</si>
  <si>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</si>
  <si>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</si>
  <si>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</si>
  <si>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</si>
  <si>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</si>
  <si>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</si>
  <si>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</si>
  <si>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</si>
  <si>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</si>
  <si>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</si>
  <si>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</si>
  <si>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</si>
  <si>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</si>
  <si>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</si>
  <si>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</si>
  <si>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</si>
  <si>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</si>
  <si>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</si>
  <si>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</si>
  <si>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</si>
  <si>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</si>
  <si>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</si>
  <si>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</si>
  <si>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</si>
  <si>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</si>
  <si>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</si>
  <si>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</si>
  <si>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</si>
  <si>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</si>
  <si>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</si>
  <si>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</si>
  <si>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</si>
  <si>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</si>
  <si>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</si>
  <si>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</si>
  <si>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</si>
  <si>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</si>
  <si>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</si>
  <si>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</si>
  <si>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</si>
  <si>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</si>
  <si>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</si>
  <si>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</si>
  <si>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</si>
  <si>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</si>
  <si>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</si>
  <si>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</si>
  <si>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</si>
  <si>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</si>
  <si>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</si>
  <si>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</si>
  <si>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</si>
  <si>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</si>
  <si>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</si>
  <si>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</si>
  <si>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</si>
  <si>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</si>
  <si>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</si>
  <si>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</si>
  <si>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</si>
  <si>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</si>
  <si>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</si>
  <si>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</si>
  <si>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</si>
  <si>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</si>
  <si>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</si>
  <si>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</si>
  <si>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</si>
  <si>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</si>
  <si>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</si>
  <si>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</si>
  <si>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</si>
  <si>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</si>
  <si>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</si>
  <si>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</si>
  <si>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</si>
  <si>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</si>
  <si>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</si>
  <si>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</si>
  <si>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</si>
  <si>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</si>
  <si>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</si>
  <si>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</si>
  <si>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</si>
  <si>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</si>
  <si>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</si>
  <si>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</si>
  <si>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</si>
  <si>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</si>
  <si>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</si>
  <si>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</si>
  <si>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</si>
  <si>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</si>
  <si>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</si>
  <si>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</si>
  <si>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</si>
  <si>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</si>
  <si>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</si>
  <si>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</si>
  <si>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</si>
  <si>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</si>
  <si>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</si>
  <si>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</si>
  <si>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</si>
  <si>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</si>
  <si>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</si>
  <si>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</si>
  <si>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</si>
  <si>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</si>
  <si>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</si>
  <si>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</si>
  <si>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</si>
  <si>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</si>
  <si>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</si>
  <si>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</si>
  <si>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</si>
  <si>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</si>
  <si>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</si>
  <si>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</si>
  <si>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</si>
  <si>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</si>
  <si>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</si>
  <si>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</si>
  <si>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</si>
  <si>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</si>
  <si>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</si>
  <si>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</si>
  <si>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</si>
  <si>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</si>
  <si>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</si>
  <si>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</si>
  <si>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</si>
  <si>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</si>
  <si>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</si>
  <si>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</si>
  <si>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</si>
  <si>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</si>
  <si>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</si>
  <si>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</si>
  <si>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</si>
  <si>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</si>
  <si>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</si>
  <si>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</si>
  <si>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</si>
  <si>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</si>
  <si>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</si>
  <si>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</si>
  <si>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</si>
  <si>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</si>
  <si>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</si>
  <si>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</si>
  <si>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</si>
  <si>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</si>
  <si>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</si>
  <si>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</si>
  <si>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</si>
  <si>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</si>
  <si>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</si>
  <si>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</si>
  <si>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</si>
  <si>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11009</t>
  </si>
  <si>
    <t>BRECHT</t>
  </si>
  <si>
    <t>Paarden&amp;pony's 200 - 600 kg</t>
  </si>
  <si>
    <t>Paarden&amp;pony's &lt; 200 kg</t>
  </si>
  <si>
    <t>Fluvius</t>
  </si>
  <si>
    <t>referentietaak LNE (2017); Jaarverslag De Lijn</t>
  </si>
  <si>
    <t>interne verbrandingsmotor</t>
  </si>
  <si>
    <t>WKK interne verbrandinsgmotor (gas)</t>
  </si>
  <si>
    <t>IVEKA</t>
  </si>
  <si>
    <t>stirlingmotor</t>
  </si>
  <si>
    <t>Iveka</t>
  </si>
  <si>
    <t>biogas - stortgas</t>
  </si>
  <si>
    <t>niet WKK interne verbrandingsmotor (gas)</t>
  </si>
  <si>
    <t>biogas - hoofdzakelijk agrarische stromen</t>
  </si>
  <si>
    <t>biogas - GFT met compostering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</si>
</sst>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9D156D3-4D1D-49B0-BA67-C3D37F7A489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11009</v>
      </c>
      <c r="B6" s="384"/>
      <c r="C6" s="385"/>
    </row>
    <row r="7" spans="1:7" s="382" customFormat="1" ht="15.75" customHeight="1">
      <c r="A7" s="386" t="str">
        <f>txtMunicipality</f>
        <v>BRECHT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45433.388437582944</v>
      </c>
      <c r="D10" s="674">
        <f ca="1">tertiair!C16</f>
        <v>22.5</v>
      </c>
      <c r="E10" s="674">
        <f ca="1">tertiair!D16</f>
        <v>31105.769353326847</v>
      </c>
      <c r="F10" s="674">
        <f>tertiair!E16</f>
        <v>315.5133936626039</v>
      </c>
      <c r="G10" s="674">
        <f ca="1">tertiair!F16</f>
        <v>5371.2704825278433</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6.2533333333333339</v>
      </c>
      <c r="Q10" s="675">
        <f>tertiair!P16</f>
        <v>57.2</v>
      </c>
      <c r="R10" s="677">
        <f ca="1">SUM(C10:Q10)</f>
        <v>82311.895000433564</v>
      </c>
      <c r="S10" s="68"/>
    </row>
    <row r="11" spans="1:19" s="443" customFormat="1">
      <c r="A11" s="789" t="s">
        <v>214</v>
      </c>
      <c r="B11" s="794"/>
      <c r="C11" s="674">
        <f>huishoudens!B8</f>
        <v>63727.403632114278</v>
      </c>
      <c r="D11" s="674">
        <f>huishoudens!C8</f>
        <v>0</v>
      </c>
      <c r="E11" s="674">
        <f>huishoudens!D8</f>
        <v>134386.95699264199</v>
      </c>
      <c r="F11" s="674">
        <f>huishoudens!E8</f>
        <v>2137.6725350849092</v>
      </c>
      <c r="G11" s="674">
        <f>huishoudens!F8</f>
        <v>65171.429298914227</v>
      </c>
      <c r="H11" s="674">
        <f>huishoudens!G8</f>
        <v>0</v>
      </c>
      <c r="I11" s="674">
        <f>huishoudens!H8</f>
        <v>0</v>
      </c>
      <c r="J11" s="674">
        <f>huishoudens!I8</f>
        <v>0</v>
      </c>
      <c r="K11" s="674">
        <f>huishoudens!J8</f>
        <v>1182.5128759157665</v>
      </c>
      <c r="L11" s="674">
        <f>huishoudens!K8</f>
        <v>0</v>
      </c>
      <c r="M11" s="674">
        <f>huishoudens!L8</f>
        <v>0</v>
      </c>
      <c r="N11" s="674">
        <f>huishoudens!M8</f>
        <v>0</v>
      </c>
      <c r="O11" s="674">
        <f>huishoudens!N8</f>
        <v>15547.535435961701</v>
      </c>
      <c r="P11" s="674">
        <f>huishoudens!O8</f>
        <v>154.77000000000001</v>
      </c>
      <c r="Q11" s="675">
        <f>huishoudens!P8</f>
        <v>1086.8</v>
      </c>
      <c r="R11" s="677">
        <f>SUM(C11:Q11)</f>
        <v>283395.08077063283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9363.3139116933835</v>
      </c>
      <c r="D13" s="674">
        <f>industrie!C18</f>
        <v>0</v>
      </c>
      <c r="E13" s="674">
        <f>industrie!D18</f>
        <v>23846.634232726465</v>
      </c>
      <c r="F13" s="674">
        <f>industrie!E18</f>
        <v>109.69251909117477</v>
      </c>
      <c r="G13" s="674">
        <f>industrie!F18</f>
        <v>3798.0763627999227</v>
      </c>
      <c r="H13" s="674">
        <f>industrie!G18</f>
        <v>0</v>
      </c>
      <c r="I13" s="674">
        <f>industrie!H18</f>
        <v>0</v>
      </c>
      <c r="J13" s="674">
        <f>industrie!I18</f>
        <v>0</v>
      </c>
      <c r="K13" s="674">
        <f>industrie!J18</f>
        <v>48.938552143039402</v>
      </c>
      <c r="L13" s="674">
        <f>industrie!K18</f>
        <v>0</v>
      </c>
      <c r="M13" s="674">
        <f>industrie!L18</f>
        <v>0</v>
      </c>
      <c r="N13" s="674">
        <f>industrie!M18</f>
        <v>0</v>
      </c>
      <c r="O13" s="674">
        <f>industrie!N18</f>
        <v>329.95610821667441</v>
      </c>
      <c r="P13" s="674">
        <f>industrie!O18</f>
        <v>0</v>
      </c>
      <c r="Q13" s="675">
        <f>industrie!P18</f>
        <v>0</v>
      </c>
      <c r="R13" s="677">
        <f>SUM(C13:Q13)</f>
        <v>37496.611686670658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118524.10598139062</v>
      </c>
      <c r="D16" s="707">
        <f t="shared" ref="D16:R16" ca="1" si="0">SUM(D9:D15)</f>
        <v>22.5</v>
      </c>
      <c r="E16" s="707">
        <f t="shared" ca="1" si="0"/>
        <v>189339.36057869531</v>
      </c>
      <c r="F16" s="707">
        <f t="shared" si="0"/>
        <v>2562.8784478386879</v>
      </c>
      <c r="G16" s="707">
        <f t="shared" ca="1" si="0"/>
        <v>74340.776144242001</v>
      </c>
      <c r="H16" s="707">
        <f t="shared" si="0"/>
        <v>0</v>
      </c>
      <c r="I16" s="707">
        <f t="shared" si="0"/>
        <v>0</v>
      </c>
      <c r="J16" s="707">
        <f t="shared" si="0"/>
        <v>0</v>
      </c>
      <c r="K16" s="707">
        <f t="shared" si="0"/>
        <v>1231.451428058806</v>
      </c>
      <c r="L16" s="707">
        <f t="shared" si="0"/>
        <v>0</v>
      </c>
      <c r="M16" s="707">
        <f t="shared" ca="1" si="0"/>
        <v>0</v>
      </c>
      <c r="N16" s="707">
        <f t="shared" si="0"/>
        <v>0</v>
      </c>
      <c r="O16" s="707">
        <f t="shared" ca="1" si="0"/>
        <v>15877.491544178376</v>
      </c>
      <c r="P16" s="707">
        <f t="shared" si="0"/>
        <v>161.02333333333334</v>
      </c>
      <c r="Q16" s="707">
        <f t="shared" si="0"/>
        <v>1144</v>
      </c>
      <c r="R16" s="707">
        <f t="shared" ca="1" si="0"/>
        <v>403203.58745773707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18.26215952449007</v>
      </c>
      <c r="D19" s="674">
        <f>transport!C54</f>
        <v>0</v>
      </c>
      <c r="E19" s="674">
        <f>transport!D54</f>
        <v>0</v>
      </c>
      <c r="F19" s="674">
        <f>transport!E54</f>
        <v>0</v>
      </c>
      <c r="G19" s="674">
        <f>transport!F54</f>
        <v>0</v>
      </c>
      <c r="H19" s="674">
        <f>transport!G54</f>
        <v>3642.4237222004413</v>
      </c>
      <c r="I19" s="674">
        <f>transport!H54</f>
        <v>0</v>
      </c>
      <c r="J19" s="674">
        <f>transport!I54</f>
        <v>0</v>
      </c>
      <c r="K19" s="674">
        <f>transport!J54</f>
        <v>0</v>
      </c>
      <c r="L19" s="674">
        <f>transport!K54</f>
        <v>0</v>
      </c>
      <c r="M19" s="674">
        <f>transport!L54</f>
        <v>0</v>
      </c>
      <c r="N19" s="674">
        <f>transport!M54</f>
        <v>160.99124912223073</v>
      </c>
      <c r="O19" s="674">
        <f>transport!N54</f>
        <v>0</v>
      </c>
      <c r="P19" s="674">
        <f>transport!O54</f>
        <v>0</v>
      </c>
      <c r="Q19" s="675">
        <f>transport!P54</f>
        <v>0</v>
      </c>
      <c r="R19" s="677">
        <f>SUM(C19:Q19)</f>
        <v>3821.6771308471621</v>
      </c>
      <c r="S19" s="68"/>
    </row>
    <row r="20" spans="1:19" s="443" customFormat="1">
      <c r="A20" s="789" t="s">
        <v>296</v>
      </c>
      <c r="B20" s="794"/>
      <c r="C20" s="674">
        <f>transport!B14</f>
        <v>13.056106515453681</v>
      </c>
      <c r="D20" s="674">
        <f>transport!C14</f>
        <v>0</v>
      </c>
      <c r="E20" s="674">
        <f>transport!D14</f>
        <v>14.231458952135021</v>
      </c>
      <c r="F20" s="674">
        <f>transport!E14</f>
        <v>1032.3501285292077</v>
      </c>
      <c r="G20" s="674">
        <f>transport!F14</f>
        <v>0</v>
      </c>
      <c r="H20" s="674">
        <f>transport!G14</f>
        <v>306776.4085126936</v>
      </c>
      <c r="I20" s="674">
        <f>transport!H14</f>
        <v>35560.964214873537</v>
      </c>
      <c r="J20" s="674">
        <f>transport!I14</f>
        <v>0</v>
      </c>
      <c r="K20" s="674">
        <f>transport!J14</f>
        <v>0</v>
      </c>
      <c r="L20" s="674">
        <f>transport!K14</f>
        <v>0</v>
      </c>
      <c r="M20" s="674">
        <f>transport!L14</f>
        <v>0</v>
      </c>
      <c r="N20" s="674">
        <f>transport!M14</f>
        <v>15279.089132439642</v>
      </c>
      <c r="O20" s="674">
        <f>transport!N14</f>
        <v>0</v>
      </c>
      <c r="P20" s="674">
        <f>transport!O14</f>
        <v>0</v>
      </c>
      <c r="Q20" s="675">
        <f>transport!P14</f>
        <v>0</v>
      </c>
      <c r="R20" s="677">
        <f>SUM(C20:Q20)</f>
        <v>358676.09955400357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31.318266039943751</v>
      </c>
      <c r="D22" s="792">
        <f t="shared" ref="D22:R22" si="1">SUM(D18:D21)</f>
        <v>0</v>
      </c>
      <c r="E22" s="792">
        <f t="shared" si="1"/>
        <v>14.231458952135021</v>
      </c>
      <c r="F22" s="792">
        <f t="shared" si="1"/>
        <v>1032.3501285292077</v>
      </c>
      <c r="G22" s="792">
        <f t="shared" si="1"/>
        <v>0</v>
      </c>
      <c r="H22" s="792">
        <f t="shared" si="1"/>
        <v>310418.83223489404</v>
      </c>
      <c r="I22" s="792">
        <f t="shared" si="1"/>
        <v>35560.964214873537</v>
      </c>
      <c r="J22" s="792">
        <f t="shared" si="1"/>
        <v>0</v>
      </c>
      <c r="K22" s="792">
        <f t="shared" si="1"/>
        <v>0</v>
      </c>
      <c r="L22" s="792">
        <f t="shared" si="1"/>
        <v>0</v>
      </c>
      <c r="M22" s="792">
        <f t="shared" si="1"/>
        <v>0</v>
      </c>
      <c r="N22" s="792">
        <f t="shared" si="1"/>
        <v>15440.080381561873</v>
      </c>
      <c r="O22" s="792">
        <f t="shared" si="1"/>
        <v>0</v>
      </c>
      <c r="P22" s="792">
        <f t="shared" si="1"/>
        <v>0</v>
      </c>
      <c r="Q22" s="792">
        <f t="shared" si="1"/>
        <v>0</v>
      </c>
      <c r="R22" s="792">
        <f t="shared" si="1"/>
        <v>362497.77668485075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4779.8766703658339</v>
      </c>
      <c r="D24" s="674">
        <f>+landbouw!C8</f>
        <v>7525.8652597402597</v>
      </c>
      <c r="E24" s="674">
        <f>+landbouw!D8</f>
        <v>0</v>
      </c>
      <c r="F24" s="674">
        <f>+landbouw!E8</f>
        <v>45.029640857271225</v>
      </c>
      <c r="G24" s="674">
        <f>+landbouw!F8</f>
        <v>15598.323877156412</v>
      </c>
      <c r="H24" s="674">
        <f>+landbouw!G8</f>
        <v>0</v>
      </c>
      <c r="I24" s="674">
        <f>+landbouw!H8</f>
        <v>0</v>
      </c>
      <c r="J24" s="674">
        <f>+landbouw!I8</f>
        <v>0</v>
      </c>
      <c r="K24" s="674">
        <f>+landbouw!J8</f>
        <v>591.29399343991224</v>
      </c>
      <c r="L24" s="674">
        <f>+landbouw!K8</f>
        <v>0</v>
      </c>
      <c r="M24" s="674">
        <f>+landbouw!L8</f>
        <v>0</v>
      </c>
      <c r="N24" s="674">
        <f>+landbouw!M8</f>
        <v>0</v>
      </c>
      <c r="O24" s="674">
        <f>+landbouw!N8</f>
        <v>0</v>
      </c>
      <c r="P24" s="674">
        <f>+landbouw!O8</f>
        <v>0</v>
      </c>
      <c r="Q24" s="675">
        <f>+landbouw!P8</f>
        <v>0</v>
      </c>
      <c r="R24" s="677">
        <f>SUM(C24:Q24)</f>
        <v>28540.389441559688</v>
      </c>
      <c r="S24" s="68"/>
    </row>
    <row r="25" spans="1:19" s="443" customFormat="1" ht="15" thickBot="1">
      <c r="A25" s="811" t="s">
        <v>873</v>
      </c>
      <c r="B25" s="977"/>
      <c r="C25" s="978">
        <f>IF(Onbekend_ele_kWh="---",0,Onbekend_ele_kWh)/1000+IF(REST_rest_ele_kWh="---",0,REST_rest_ele_kWh)/1000</f>
        <v>1526.00647855841</v>
      </c>
      <c r="D25" s="978"/>
      <c r="E25" s="978">
        <f>IF(onbekend_gas_kWh="---",0,onbekend_gas_kWh)/1000+IF(REST_rest_gas_kWh="---",0,REST_rest_gas_kWh)/1000</f>
        <v>4229.6563459986701</v>
      </c>
      <c r="F25" s="978"/>
      <c r="G25" s="978"/>
      <c r="H25" s="978"/>
      <c r="I25" s="978"/>
      <c r="J25" s="978"/>
      <c r="K25" s="978"/>
      <c r="L25" s="978"/>
      <c r="M25" s="978"/>
      <c r="N25" s="978"/>
      <c r="O25" s="978"/>
      <c r="P25" s="978"/>
      <c r="Q25" s="979"/>
      <c r="R25" s="677">
        <f>SUM(C25:Q25)</f>
        <v>5755.6628245570801</v>
      </c>
      <c r="S25" s="68"/>
    </row>
    <row r="26" spans="1:19" s="443" customFormat="1" ht="15.75" thickBot="1">
      <c r="A26" s="680" t="s">
        <v>874</v>
      </c>
      <c r="B26" s="797"/>
      <c r="C26" s="792">
        <f>SUM(C24:C25)</f>
        <v>6305.8831489242439</v>
      </c>
      <c r="D26" s="792">
        <f t="shared" ref="D26:R26" si="2">SUM(D24:D25)</f>
        <v>7525.8652597402597</v>
      </c>
      <c r="E26" s="792">
        <f t="shared" si="2"/>
        <v>4229.6563459986701</v>
      </c>
      <c r="F26" s="792">
        <f t="shared" si="2"/>
        <v>45.029640857271225</v>
      </c>
      <c r="G26" s="792">
        <f t="shared" si="2"/>
        <v>15598.323877156412</v>
      </c>
      <c r="H26" s="792">
        <f t="shared" si="2"/>
        <v>0</v>
      </c>
      <c r="I26" s="792">
        <f t="shared" si="2"/>
        <v>0</v>
      </c>
      <c r="J26" s="792">
        <f t="shared" si="2"/>
        <v>0</v>
      </c>
      <c r="K26" s="792">
        <f t="shared" si="2"/>
        <v>591.29399343991224</v>
      </c>
      <c r="L26" s="792">
        <f t="shared" si="2"/>
        <v>0</v>
      </c>
      <c r="M26" s="792">
        <f t="shared" si="2"/>
        <v>0</v>
      </c>
      <c r="N26" s="792">
        <f t="shared" si="2"/>
        <v>0</v>
      </c>
      <c r="O26" s="792">
        <f t="shared" si="2"/>
        <v>0</v>
      </c>
      <c r="P26" s="792">
        <f t="shared" si="2"/>
        <v>0</v>
      </c>
      <c r="Q26" s="792">
        <f t="shared" si="2"/>
        <v>0</v>
      </c>
      <c r="R26" s="792">
        <f t="shared" si="2"/>
        <v>34296.052266116771</v>
      </c>
      <c r="S26" s="68"/>
    </row>
    <row r="27" spans="1:19" s="443" customFormat="1" ht="17.25" thickTop="1" thickBot="1">
      <c r="A27" s="681" t="s">
        <v>109</v>
      </c>
      <c r="B27" s="784"/>
      <c r="C27" s="682">
        <f ca="1">C22+C16+C26</f>
        <v>124861.30739635481</v>
      </c>
      <c r="D27" s="682">
        <f t="shared" ref="D27:R27" ca="1" si="3">D22+D16+D26</f>
        <v>7548.3652597402597</v>
      </c>
      <c r="E27" s="682">
        <f t="shared" ca="1" si="3"/>
        <v>193583.2483836461</v>
      </c>
      <c r="F27" s="682">
        <f t="shared" si="3"/>
        <v>3640.2582172251668</v>
      </c>
      <c r="G27" s="682">
        <f t="shared" ca="1" si="3"/>
        <v>89939.100021398408</v>
      </c>
      <c r="H27" s="682">
        <f t="shared" si="3"/>
        <v>310418.83223489404</v>
      </c>
      <c r="I27" s="682">
        <f t="shared" si="3"/>
        <v>35560.964214873537</v>
      </c>
      <c r="J27" s="682">
        <f t="shared" si="3"/>
        <v>0</v>
      </c>
      <c r="K27" s="682">
        <f t="shared" si="3"/>
        <v>1822.7454214987183</v>
      </c>
      <c r="L27" s="682">
        <f t="shared" si="3"/>
        <v>0</v>
      </c>
      <c r="M27" s="682">
        <f t="shared" ca="1" si="3"/>
        <v>0</v>
      </c>
      <c r="N27" s="682">
        <f t="shared" si="3"/>
        <v>15440.080381561873</v>
      </c>
      <c r="O27" s="682">
        <f t="shared" ca="1" si="3"/>
        <v>15877.491544178376</v>
      </c>
      <c r="P27" s="682">
        <f t="shared" si="3"/>
        <v>161.02333333333334</v>
      </c>
      <c r="Q27" s="682">
        <f t="shared" si="3"/>
        <v>1144</v>
      </c>
      <c r="R27" s="682">
        <f t="shared" ca="1" si="3"/>
        <v>799997.41640870459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7192.685250636091</v>
      </c>
      <c r="D40" s="674">
        <f ca="1">tertiair!C20</f>
        <v>5.338729828809667</v>
      </c>
      <c r="E40" s="674">
        <f ca="1">tertiair!D20</f>
        <v>6283.3654093720234</v>
      </c>
      <c r="F40" s="674">
        <f>tertiair!E20</f>
        <v>71.621540361411093</v>
      </c>
      <c r="G40" s="674">
        <f ca="1">tertiair!F20</f>
        <v>1434.1292188349344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14987.14014903327</v>
      </c>
    </row>
    <row r="41" spans="1:18">
      <c r="A41" s="802" t="s">
        <v>214</v>
      </c>
      <c r="B41" s="809"/>
      <c r="C41" s="674">
        <f ca="1">huishoudens!B12</f>
        <v>10088.8613402841</v>
      </c>
      <c r="D41" s="674">
        <f ca="1">huishoudens!C12</f>
        <v>0</v>
      </c>
      <c r="E41" s="674">
        <f>huishoudens!D12</f>
        <v>27146.165312513684</v>
      </c>
      <c r="F41" s="674">
        <f>huishoudens!E12</f>
        <v>485.25166546427442</v>
      </c>
      <c r="G41" s="674">
        <f>huishoudens!F12</f>
        <v>17400.771622810098</v>
      </c>
      <c r="H41" s="674">
        <f>huishoudens!G12</f>
        <v>0</v>
      </c>
      <c r="I41" s="674">
        <f>huishoudens!H12</f>
        <v>0</v>
      </c>
      <c r="J41" s="674">
        <f>huishoudens!I12</f>
        <v>0</v>
      </c>
      <c r="K41" s="674">
        <f>huishoudens!J12</f>
        <v>418.60955807418134</v>
      </c>
      <c r="L41" s="674">
        <f>huishoudens!K12</f>
        <v>0</v>
      </c>
      <c r="M41" s="674">
        <f>huishoudens!L12</f>
        <v>0</v>
      </c>
      <c r="N41" s="674">
        <f>huishoudens!M12</f>
        <v>0</v>
      </c>
      <c r="O41" s="674">
        <f>huishoudens!N12</f>
        <v>0</v>
      </c>
      <c r="P41" s="674">
        <f>huishoudens!O12</f>
        <v>0</v>
      </c>
      <c r="Q41" s="749">
        <f>huishoudens!P12</f>
        <v>0</v>
      </c>
      <c r="R41" s="830">
        <f t="shared" ca="1" si="4"/>
        <v>55539.659499146335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1482.3320950898374</v>
      </c>
      <c r="D43" s="674">
        <f ca="1">industrie!C22</f>
        <v>0</v>
      </c>
      <c r="E43" s="674">
        <f>industrie!D22</f>
        <v>4817.0201150107459</v>
      </c>
      <c r="F43" s="674">
        <f>industrie!E22</f>
        <v>24.900201833696674</v>
      </c>
      <c r="G43" s="674">
        <f>industrie!F22</f>
        <v>1014.0863888675794</v>
      </c>
      <c r="H43" s="674">
        <f>industrie!G22</f>
        <v>0</v>
      </c>
      <c r="I43" s="674">
        <f>industrie!H22</f>
        <v>0</v>
      </c>
      <c r="J43" s="674">
        <f>industrie!I22</f>
        <v>0</v>
      </c>
      <c r="K43" s="674">
        <f>industrie!J22</f>
        <v>17.324247458635949</v>
      </c>
      <c r="L43" s="674">
        <f>industrie!K22</f>
        <v>0</v>
      </c>
      <c r="M43" s="674">
        <f>industrie!L22</f>
        <v>0</v>
      </c>
      <c r="N43" s="674">
        <f>industrie!M22</f>
        <v>0</v>
      </c>
      <c r="O43" s="674">
        <f>industrie!N22</f>
        <v>0</v>
      </c>
      <c r="P43" s="674">
        <f>industrie!O22</f>
        <v>0</v>
      </c>
      <c r="Q43" s="749">
        <f>industrie!P22</f>
        <v>0</v>
      </c>
      <c r="R43" s="829">
        <f t="shared" ca="1" si="4"/>
        <v>7355.663048260496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18763.87868601003</v>
      </c>
      <c r="D46" s="707">
        <f t="shared" ref="D46:Q46" ca="1" si="5">SUM(D39:D45)</f>
        <v>5.338729828809667</v>
      </c>
      <c r="E46" s="707">
        <f t="shared" ca="1" si="5"/>
        <v>38246.550836896451</v>
      </c>
      <c r="F46" s="707">
        <f t="shared" si="5"/>
        <v>581.7734076593822</v>
      </c>
      <c r="G46" s="707">
        <f t="shared" ca="1" si="5"/>
        <v>19848.987230512612</v>
      </c>
      <c r="H46" s="707">
        <f t="shared" si="5"/>
        <v>0</v>
      </c>
      <c r="I46" s="707">
        <f t="shared" si="5"/>
        <v>0</v>
      </c>
      <c r="J46" s="707">
        <f t="shared" si="5"/>
        <v>0</v>
      </c>
      <c r="K46" s="707">
        <f t="shared" si="5"/>
        <v>435.9338055328173</v>
      </c>
      <c r="L46" s="707">
        <f t="shared" si="5"/>
        <v>0</v>
      </c>
      <c r="M46" s="707">
        <f t="shared" ca="1" si="5"/>
        <v>0</v>
      </c>
      <c r="N46" s="707">
        <f t="shared" si="5"/>
        <v>0</v>
      </c>
      <c r="O46" s="707">
        <f t="shared" ca="1" si="5"/>
        <v>0</v>
      </c>
      <c r="P46" s="707">
        <f t="shared" si="5"/>
        <v>0</v>
      </c>
      <c r="Q46" s="707">
        <f t="shared" si="5"/>
        <v>0</v>
      </c>
      <c r="R46" s="707">
        <f ca="1">SUM(R39:R45)</f>
        <v>77882.462696440096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2.8911329305103259</v>
      </c>
      <c r="D49" s="674">
        <f ca="1">transport!C58</f>
        <v>0</v>
      </c>
      <c r="E49" s="674">
        <f>transport!D58</f>
        <v>0</v>
      </c>
      <c r="F49" s="674">
        <f>transport!E58</f>
        <v>0</v>
      </c>
      <c r="G49" s="674">
        <f>transport!F58</f>
        <v>0</v>
      </c>
      <c r="H49" s="674">
        <f>transport!G58</f>
        <v>972.5271338275179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975.41826675802827</v>
      </c>
    </row>
    <row r="50" spans="1:18">
      <c r="A50" s="805" t="s">
        <v>296</v>
      </c>
      <c r="B50" s="815"/>
      <c r="C50" s="984">
        <f ca="1">transport!B18</f>
        <v>2.0669482949406315</v>
      </c>
      <c r="D50" s="984">
        <f>transport!C18</f>
        <v>0</v>
      </c>
      <c r="E50" s="984">
        <f>transport!D18</f>
        <v>2.8747547083312743</v>
      </c>
      <c r="F50" s="984">
        <f>transport!E18</f>
        <v>234.34347917613016</v>
      </c>
      <c r="G50" s="984">
        <f>transport!F18</f>
        <v>0</v>
      </c>
      <c r="H50" s="984">
        <f>transport!G18</f>
        <v>81909.301072889197</v>
      </c>
      <c r="I50" s="984">
        <f>transport!H18</f>
        <v>8854.6800895035103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91003.266344572112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4.9580812254509574</v>
      </c>
      <c r="D52" s="707">
        <f t="shared" ref="D52:Q52" ca="1" si="6">SUM(D48:D51)</f>
        <v>0</v>
      </c>
      <c r="E52" s="707">
        <f t="shared" si="6"/>
        <v>2.8747547083312743</v>
      </c>
      <c r="F52" s="707">
        <f t="shared" si="6"/>
        <v>234.34347917613016</v>
      </c>
      <c r="G52" s="707">
        <f t="shared" si="6"/>
        <v>0</v>
      </c>
      <c r="H52" s="707">
        <f t="shared" si="6"/>
        <v>82881.828206716717</v>
      </c>
      <c r="I52" s="707">
        <f t="shared" si="6"/>
        <v>8854.6800895035103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91978.684611330144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756.71548191990644</v>
      </c>
      <c r="D54" s="984">
        <f ca="1">+landbouw!C12</f>
        <v>1785.7138377678993</v>
      </c>
      <c r="E54" s="984">
        <f>+landbouw!D12</f>
        <v>0</v>
      </c>
      <c r="F54" s="984">
        <f>+landbouw!E12</f>
        <v>10.221728474600569</v>
      </c>
      <c r="G54" s="984">
        <f>+landbouw!F12</f>
        <v>4164.7524752007621</v>
      </c>
      <c r="H54" s="984">
        <f>+landbouw!G12</f>
        <v>0</v>
      </c>
      <c r="I54" s="984">
        <f>+landbouw!H12</f>
        <v>0</v>
      </c>
      <c r="J54" s="984">
        <f>+landbouw!I12</f>
        <v>0</v>
      </c>
      <c r="K54" s="984">
        <f>+landbouw!J12</f>
        <v>209.31807367772893</v>
      </c>
      <c r="L54" s="984">
        <f>+landbouw!K12</f>
        <v>0</v>
      </c>
      <c r="M54" s="984">
        <f>+landbouw!L12</f>
        <v>0</v>
      </c>
      <c r="N54" s="984">
        <f>+landbouw!M12</f>
        <v>0</v>
      </c>
      <c r="O54" s="984">
        <f>+landbouw!N12</f>
        <v>0</v>
      </c>
      <c r="P54" s="984">
        <f>+landbouw!O12</f>
        <v>0</v>
      </c>
      <c r="Q54" s="985">
        <f>+landbouw!P12</f>
        <v>0</v>
      </c>
      <c r="R54" s="706">
        <f ca="1">SUM(C54:Q54)</f>
        <v>6926.721597040897</v>
      </c>
    </row>
    <row r="55" spans="1:18" ht="15" thickBot="1">
      <c r="A55" s="805" t="s">
        <v>873</v>
      </c>
      <c r="B55" s="815"/>
      <c r="C55" s="984">
        <f ca="1">C25*'EF ele_warmte'!B12</f>
        <v>241.58630179611853</v>
      </c>
      <c r="D55" s="984"/>
      <c r="E55" s="984">
        <f>E25*EF_CO2_aardgas</f>
        <v>854.39058189173136</v>
      </c>
      <c r="F55" s="984"/>
      <c r="G55" s="984"/>
      <c r="H55" s="984"/>
      <c r="I55" s="984"/>
      <c r="J55" s="984"/>
      <c r="K55" s="984"/>
      <c r="L55" s="984"/>
      <c r="M55" s="984"/>
      <c r="N55" s="984"/>
      <c r="O55" s="984"/>
      <c r="P55" s="984"/>
      <c r="Q55" s="985"/>
      <c r="R55" s="706">
        <f ca="1">SUM(C55:Q55)</f>
        <v>1095.97688368785</v>
      </c>
    </row>
    <row r="56" spans="1:18" ht="15.75" thickBot="1">
      <c r="A56" s="803" t="s">
        <v>874</v>
      </c>
      <c r="B56" s="816"/>
      <c r="C56" s="707">
        <f ca="1">SUM(C54:C55)</f>
        <v>998.30178371602494</v>
      </c>
      <c r="D56" s="707">
        <f t="shared" ref="D56:Q56" ca="1" si="7">SUM(D54:D55)</f>
        <v>1785.7138377678993</v>
      </c>
      <c r="E56" s="707">
        <f t="shared" si="7"/>
        <v>854.39058189173136</v>
      </c>
      <c r="F56" s="707">
        <f t="shared" si="7"/>
        <v>10.221728474600569</v>
      </c>
      <c r="G56" s="707">
        <f t="shared" si="7"/>
        <v>4164.7524752007621</v>
      </c>
      <c r="H56" s="707">
        <f t="shared" si="7"/>
        <v>0</v>
      </c>
      <c r="I56" s="707">
        <f t="shared" si="7"/>
        <v>0</v>
      </c>
      <c r="J56" s="707">
        <f t="shared" si="7"/>
        <v>0</v>
      </c>
      <c r="K56" s="707">
        <f t="shared" si="7"/>
        <v>209.31807367772893</v>
      </c>
      <c r="L56" s="707">
        <f t="shared" si="7"/>
        <v>0</v>
      </c>
      <c r="M56" s="707">
        <f t="shared" si="7"/>
        <v>0</v>
      </c>
      <c r="N56" s="707">
        <f t="shared" si="7"/>
        <v>0</v>
      </c>
      <c r="O56" s="707">
        <f t="shared" si="7"/>
        <v>0</v>
      </c>
      <c r="P56" s="707">
        <f t="shared" si="7"/>
        <v>0</v>
      </c>
      <c r="Q56" s="708">
        <f t="shared" si="7"/>
        <v>0</v>
      </c>
      <c r="R56" s="709">
        <f ca="1">SUM(R54:R55)</f>
        <v>8022.6984807287472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19767.138550951506</v>
      </c>
      <c r="D61" s="715">
        <f t="shared" ref="D61:Q61" ca="1" si="8">D46+D52+D56</f>
        <v>1791.052567596709</v>
      </c>
      <c r="E61" s="715">
        <f t="shared" ca="1" si="8"/>
        <v>39103.816173496518</v>
      </c>
      <c r="F61" s="715">
        <f t="shared" si="8"/>
        <v>826.33861531011291</v>
      </c>
      <c r="G61" s="715">
        <f t="shared" ca="1" si="8"/>
        <v>24013.739705713375</v>
      </c>
      <c r="H61" s="715">
        <f t="shared" si="8"/>
        <v>82881.828206716717</v>
      </c>
      <c r="I61" s="715">
        <f t="shared" si="8"/>
        <v>8854.6800895035103</v>
      </c>
      <c r="J61" s="715">
        <f t="shared" si="8"/>
        <v>0</v>
      </c>
      <c r="K61" s="715">
        <f t="shared" si="8"/>
        <v>645.25187921054624</v>
      </c>
      <c r="L61" s="715">
        <f t="shared" si="8"/>
        <v>0</v>
      </c>
      <c r="M61" s="715">
        <f t="shared" ca="1" si="8"/>
        <v>0</v>
      </c>
      <c r="N61" s="715">
        <f t="shared" si="8"/>
        <v>0</v>
      </c>
      <c r="O61" s="715">
        <f t="shared" ca="1" si="8"/>
        <v>0</v>
      </c>
      <c r="P61" s="715">
        <f t="shared" si="8"/>
        <v>0</v>
      </c>
      <c r="Q61" s="715">
        <f t="shared" si="8"/>
        <v>0</v>
      </c>
      <c r="R61" s="715">
        <f ca="1">R46+R52+R56</f>
        <v>177883.84578849899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0.15831276288180679</v>
      </c>
      <c r="D63" s="759">
        <f t="shared" ca="1" si="9"/>
        <v>0.23727688128042962</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9932.805633004109</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8952.7688482826834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7.5970367149746822</v>
      </c>
      <c r="C76" s="725">
        <f>'lokale energieproductie'!B8*IFERROR(SUM(D76:H76)/SUM(D76:O76),0)</f>
        <v>5265.0086451032066</v>
      </c>
      <c r="D76" s="996">
        <f>'lokale energieproductie'!C8</f>
        <v>6193.4031307093637</v>
      </c>
      <c r="E76" s="997">
        <f>'lokale energieproductie'!D8</f>
        <v>0</v>
      </c>
      <c r="F76" s="997">
        <f>'lokale energieproductie'!E8</f>
        <v>0</v>
      </c>
      <c r="G76" s="997">
        <f>'lokale energieproductie'!F8</f>
        <v>0</v>
      </c>
      <c r="H76" s="997">
        <f>'lokale energieproductie'!G8</f>
        <v>0</v>
      </c>
      <c r="I76" s="997">
        <f>'lokale energieproductie'!I8</f>
        <v>0</v>
      </c>
      <c r="J76" s="997">
        <f>'lokale energieproductie'!J8</f>
        <v>8.9366445805172745</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1251.0674324032916</v>
      </c>
      <c r="R76" s="832">
        <v>0</v>
      </c>
    </row>
    <row r="77" spans="1:18" ht="30.75" thickBot="1">
      <c r="A77" s="728" t="s">
        <v>340</v>
      </c>
      <c r="B77" s="725">
        <f>'lokale energieproductie'!B9*IFERROR(SUM(I77:O77)/SUM(D77:O77),0)</f>
        <v>16920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48342.857142857152</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35813.171518001764</v>
      </c>
      <c r="C78" s="730">
        <f>SUM(C72:C77)</f>
        <v>5265.0086451032066</v>
      </c>
      <c r="D78" s="731">
        <f t="shared" ref="D78:H78" si="10">SUM(D76:D77)</f>
        <v>6193.4031307093637</v>
      </c>
      <c r="E78" s="731">
        <f t="shared" si="10"/>
        <v>0</v>
      </c>
      <c r="F78" s="731">
        <f t="shared" si="10"/>
        <v>0</v>
      </c>
      <c r="G78" s="731">
        <f t="shared" si="10"/>
        <v>0</v>
      </c>
      <c r="H78" s="731">
        <f t="shared" si="10"/>
        <v>0</v>
      </c>
      <c r="I78" s="731">
        <f>SUM(I76:I77)</f>
        <v>0</v>
      </c>
      <c r="J78" s="731">
        <f>SUM(J76:J77)</f>
        <v>48351.793787437673</v>
      </c>
      <c r="K78" s="731">
        <f t="shared" ref="K78:L78" si="11">SUM(K76:K77)</f>
        <v>0</v>
      </c>
      <c r="L78" s="731">
        <f t="shared" si="11"/>
        <v>0</v>
      </c>
      <c r="M78" s="731">
        <f>SUM(M76:M77)</f>
        <v>0</v>
      </c>
      <c r="N78" s="731">
        <f>SUM(N76:N77)</f>
        <v>0</v>
      </c>
      <c r="O78" s="840">
        <f>SUM(O76:O77)</f>
        <v>0</v>
      </c>
      <c r="P78" s="732">
        <v>0</v>
      </c>
      <c r="Q78" s="732">
        <f>SUM(Q76:Q77)</f>
        <v>1251.0674324032916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10.876066119268661</v>
      </c>
      <c r="C87" s="741">
        <f>'lokale energieproductie'!B17*IFERROR(SUM(D87:H87)/SUM(D87:O87),0)</f>
        <v>7537.4891936209915</v>
      </c>
      <c r="D87" s="752">
        <f>'lokale energieproductie'!C17</f>
        <v>8866.596869290639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12.793874900002209</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1791.0525675967092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10.876066119268661</v>
      </c>
      <c r="C90" s="730">
        <f>SUM(C87:C89)</f>
        <v>7537.4891936209915</v>
      </c>
      <c r="D90" s="730">
        <f t="shared" ref="D90:H90" si="12">SUM(D87:D89)</f>
        <v>8866.596869290639</v>
      </c>
      <c r="E90" s="730">
        <f t="shared" si="12"/>
        <v>0</v>
      </c>
      <c r="F90" s="730">
        <f t="shared" si="12"/>
        <v>0</v>
      </c>
      <c r="G90" s="730">
        <f t="shared" si="12"/>
        <v>0</v>
      </c>
      <c r="H90" s="730">
        <f t="shared" si="12"/>
        <v>0</v>
      </c>
      <c r="I90" s="730">
        <f>SUM(I87:I89)</f>
        <v>0</v>
      </c>
      <c r="J90" s="730">
        <f>SUM(J87:J89)</f>
        <v>12.793874900002209</v>
      </c>
      <c r="K90" s="730">
        <f t="shared" ref="K90:L90" si="13">SUM(K87:K89)</f>
        <v>0</v>
      </c>
      <c r="L90" s="730">
        <f t="shared" si="13"/>
        <v>0</v>
      </c>
      <c r="M90" s="730">
        <f>SUM(M87:M89)</f>
        <v>0</v>
      </c>
      <c r="N90" s="730">
        <f>SUM(N87:N89)</f>
        <v>0</v>
      </c>
      <c r="O90" s="730">
        <f>SUM(O87:O89)</f>
        <v>0</v>
      </c>
      <c r="P90" s="730">
        <v>0</v>
      </c>
      <c r="Q90" s="730">
        <f>SUM(Q87:Q89)</f>
        <v>1791.0525675967092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63727.403632114278</v>
      </c>
      <c r="C4" s="447">
        <f>huishoudens!C8</f>
        <v>0</v>
      </c>
      <c r="D4" s="447">
        <f>huishoudens!D8</f>
        <v>134386.95699264199</v>
      </c>
      <c r="E4" s="447">
        <f>huishoudens!E8</f>
        <v>2137.6725350849092</v>
      </c>
      <c r="F4" s="447">
        <f>huishoudens!F8</f>
        <v>65171.429298914227</v>
      </c>
      <c r="G4" s="447">
        <f>huishoudens!G8</f>
        <v>0</v>
      </c>
      <c r="H4" s="447">
        <f>huishoudens!H8</f>
        <v>0</v>
      </c>
      <c r="I4" s="447">
        <f>huishoudens!I8</f>
        <v>0</v>
      </c>
      <c r="J4" s="447">
        <f>huishoudens!J8</f>
        <v>1182.5128759157665</v>
      </c>
      <c r="K4" s="447">
        <f>huishoudens!K8</f>
        <v>0</v>
      </c>
      <c r="L4" s="447">
        <f>huishoudens!L8</f>
        <v>0</v>
      </c>
      <c r="M4" s="447">
        <f>huishoudens!M8</f>
        <v>0</v>
      </c>
      <c r="N4" s="447">
        <f>huishoudens!N8</f>
        <v>15547.535435961701</v>
      </c>
      <c r="O4" s="447">
        <f>huishoudens!O8</f>
        <v>154.77000000000001</v>
      </c>
      <c r="P4" s="448">
        <f>huishoudens!P8</f>
        <v>1086.8</v>
      </c>
      <c r="Q4" s="449">
        <f>SUM(B4:P4)</f>
        <v>283395.08077063283</v>
      </c>
    </row>
    <row r="5" spans="1:17">
      <c r="A5" s="446" t="s">
        <v>149</v>
      </c>
      <c r="B5" s="447">
        <f ca="1">tertiair!B16</f>
        <v>43754.984437582942</v>
      </c>
      <c r="C5" s="447">
        <f ca="1">tertiair!C16</f>
        <v>22.5</v>
      </c>
      <c r="D5" s="447">
        <f ca="1">tertiair!D16</f>
        <v>31105.769353326847</v>
      </c>
      <c r="E5" s="447">
        <f>tertiair!E16</f>
        <v>315.5133936626039</v>
      </c>
      <c r="F5" s="447">
        <f ca="1">tertiair!F16</f>
        <v>5371.2704825278433</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6.2533333333333339</v>
      </c>
      <c r="P5" s="448">
        <f>tertiair!P16</f>
        <v>57.2</v>
      </c>
      <c r="Q5" s="446">
        <f t="shared" ref="Q5:Q14" ca="1" si="0">SUM(B5:P5)</f>
        <v>80633.491000433569</v>
      </c>
    </row>
    <row r="6" spans="1:17">
      <c r="A6" s="446" t="s">
        <v>187</v>
      </c>
      <c r="B6" s="447">
        <f>'openbare verlichting'!B8</f>
        <v>1678.404</v>
      </c>
      <c r="C6" s="447"/>
      <c r="D6" s="447"/>
      <c r="E6" s="447"/>
      <c r="F6" s="447"/>
      <c r="G6" s="447"/>
      <c r="H6" s="447"/>
      <c r="I6" s="447"/>
      <c r="J6" s="447"/>
      <c r="K6" s="447"/>
      <c r="L6" s="447"/>
      <c r="M6" s="447"/>
      <c r="N6" s="447"/>
      <c r="O6" s="447"/>
      <c r="P6" s="448"/>
      <c r="Q6" s="446">
        <f t="shared" si="0"/>
        <v>1678.404</v>
      </c>
    </row>
    <row r="7" spans="1:17">
      <c r="A7" s="446" t="s">
        <v>105</v>
      </c>
      <c r="B7" s="447">
        <f>landbouw!B8</f>
        <v>4779.8766703658339</v>
      </c>
      <c r="C7" s="447">
        <f>landbouw!C8</f>
        <v>7525.8652597402597</v>
      </c>
      <c r="D7" s="447">
        <f>landbouw!D8</f>
        <v>0</v>
      </c>
      <c r="E7" s="447">
        <f>landbouw!E8</f>
        <v>45.029640857271225</v>
      </c>
      <c r="F7" s="447">
        <f>landbouw!F8</f>
        <v>15598.323877156412</v>
      </c>
      <c r="G7" s="447">
        <f>landbouw!G8</f>
        <v>0</v>
      </c>
      <c r="H7" s="447">
        <f>landbouw!H8</f>
        <v>0</v>
      </c>
      <c r="I7" s="447">
        <f>landbouw!I8</f>
        <v>0</v>
      </c>
      <c r="J7" s="447">
        <f>landbouw!J8</f>
        <v>591.29399343991224</v>
      </c>
      <c r="K7" s="447">
        <f>landbouw!K8</f>
        <v>0</v>
      </c>
      <c r="L7" s="447">
        <f>landbouw!L8</f>
        <v>0</v>
      </c>
      <c r="M7" s="447">
        <f>landbouw!M8</f>
        <v>0</v>
      </c>
      <c r="N7" s="447">
        <f>landbouw!N8</f>
        <v>0</v>
      </c>
      <c r="O7" s="447">
        <f>landbouw!O8</f>
        <v>0</v>
      </c>
      <c r="P7" s="448">
        <f>landbouw!P8</f>
        <v>0</v>
      </c>
      <c r="Q7" s="446">
        <f t="shared" si="0"/>
        <v>28540.389441559688</v>
      </c>
    </row>
    <row r="8" spans="1:17">
      <c r="A8" s="446" t="s">
        <v>665</v>
      </c>
      <c r="B8" s="447">
        <f>industrie!B18</f>
        <v>9363.3139116933835</v>
      </c>
      <c r="C8" s="447">
        <f>industrie!C18</f>
        <v>0</v>
      </c>
      <c r="D8" s="447">
        <f>industrie!D18</f>
        <v>23846.634232726465</v>
      </c>
      <c r="E8" s="447">
        <f>industrie!E18</f>
        <v>109.69251909117477</v>
      </c>
      <c r="F8" s="447">
        <f>industrie!F18</f>
        <v>3798.0763627999227</v>
      </c>
      <c r="G8" s="447">
        <f>industrie!G18</f>
        <v>0</v>
      </c>
      <c r="H8" s="447">
        <f>industrie!H18</f>
        <v>0</v>
      </c>
      <c r="I8" s="447">
        <f>industrie!I18</f>
        <v>0</v>
      </c>
      <c r="J8" s="447">
        <f>industrie!J18</f>
        <v>48.938552143039402</v>
      </c>
      <c r="K8" s="447">
        <f>industrie!K18</f>
        <v>0</v>
      </c>
      <c r="L8" s="447">
        <f>industrie!L18</f>
        <v>0</v>
      </c>
      <c r="M8" s="447">
        <f>industrie!M18</f>
        <v>0</v>
      </c>
      <c r="N8" s="447">
        <f>industrie!N18</f>
        <v>329.95610821667441</v>
      </c>
      <c r="O8" s="447">
        <f>industrie!O18</f>
        <v>0</v>
      </c>
      <c r="P8" s="448">
        <f>industrie!P18</f>
        <v>0</v>
      </c>
      <c r="Q8" s="446">
        <f t="shared" si="0"/>
        <v>37496.611686670658</v>
      </c>
    </row>
    <row r="9" spans="1:17" s="452" customFormat="1">
      <c r="A9" s="450" t="s">
        <v>562</v>
      </c>
      <c r="B9" s="451">
        <f>transport!B14</f>
        <v>13.056106515453681</v>
      </c>
      <c r="C9" s="451">
        <f>transport!C14</f>
        <v>0</v>
      </c>
      <c r="D9" s="451">
        <f>transport!D14</f>
        <v>14.231458952135021</v>
      </c>
      <c r="E9" s="451">
        <f>transport!E14</f>
        <v>1032.3501285292077</v>
      </c>
      <c r="F9" s="451">
        <f>transport!F14</f>
        <v>0</v>
      </c>
      <c r="G9" s="451">
        <f>transport!G14</f>
        <v>306776.4085126936</v>
      </c>
      <c r="H9" s="451">
        <f>transport!H14</f>
        <v>35560.964214873537</v>
      </c>
      <c r="I9" s="451">
        <f>transport!I14</f>
        <v>0</v>
      </c>
      <c r="J9" s="451">
        <f>transport!J14</f>
        <v>0</v>
      </c>
      <c r="K9" s="451">
        <f>transport!K14</f>
        <v>0</v>
      </c>
      <c r="L9" s="451">
        <f>transport!L14</f>
        <v>0</v>
      </c>
      <c r="M9" s="451">
        <f>transport!M14</f>
        <v>15279.089132439642</v>
      </c>
      <c r="N9" s="451">
        <f>transport!N14</f>
        <v>0</v>
      </c>
      <c r="O9" s="451">
        <f>transport!O14</f>
        <v>0</v>
      </c>
      <c r="P9" s="451">
        <f>transport!P14</f>
        <v>0</v>
      </c>
      <c r="Q9" s="450">
        <f>SUM(B9:P9)</f>
        <v>358676.09955400357</v>
      </c>
    </row>
    <row r="10" spans="1:17">
      <c r="A10" s="446" t="s">
        <v>552</v>
      </c>
      <c r="B10" s="447">
        <f>transport!B54</f>
        <v>18.26215952449007</v>
      </c>
      <c r="C10" s="447">
        <f>transport!C54</f>
        <v>0</v>
      </c>
      <c r="D10" s="447">
        <f>transport!D54</f>
        <v>0</v>
      </c>
      <c r="E10" s="447">
        <f>transport!E54</f>
        <v>0</v>
      </c>
      <c r="F10" s="447">
        <f>transport!F54</f>
        <v>0</v>
      </c>
      <c r="G10" s="447">
        <f>transport!G54</f>
        <v>3642.4237222004413</v>
      </c>
      <c r="H10" s="447">
        <f>transport!H54</f>
        <v>0</v>
      </c>
      <c r="I10" s="447">
        <f>transport!I54</f>
        <v>0</v>
      </c>
      <c r="J10" s="447">
        <f>transport!J54</f>
        <v>0</v>
      </c>
      <c r="K10" s="447">
        <f>transport!K54</f>
        <v>0</v>
      </c>
      <c r="L10" s="447">
        <f>transport!L54</f>
        <v>0</v>
      </c>
      <c r="M10" s="447">
        <f>transport!M54</f>
        <v>160.99124912223073</v>
      </c>
      <c r="N10" s="447">
        <f>transport!N54</f>
        <v>0</v>
      </c>
      <c r="O10" s="447">
        <f>transport!O54</f>
        <v>0</v>
      </c>
      <c r="P10" s="448">
        <f>transport!P54</f>
        <v>0</v>
      </c>
      <c r="Q10" s="446">
        <f t="shared" si="0"/>
        <v>3821.6771308471621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1526.00647855841</v>
      </c>
      <c r="C14" s="454"/>
      <c r="D14" s="454">
        <f>'SEAP template'!E25</f>
        <v>4229.6563459986701</v>
      </c>
      <c r="E14" s="454"/>
      <c r="F14" s="454"/>
      <c r="G14" s="454"/>
      <c r="H14" s="454"/>
      <c r="I14" s="454"/>
      <c r="J14" s="454"/>
      <c r="K14" s="454"/>
      <c r="L14" s="454"/>
      <c r="M14" s="454"/>
      <c r="N14" s="454"/>
      <c r="O14" s="454"/>
      <c r="P14" s="455"/>
      <c r="Q14" s="446">
        <f t="shared" si="0"/>
        <v>5755.6628245570801</v>
      </c>
    </row>
    <row r="15" spans="1:17" s="459" customFormat="1">
      <c r="A15" s="456" t="s">
        <v>556</v>
      </c>
      <c r="B15" s="457">
        <f ca="1">SUM(B4:B14)</f>
        <v>124861.30739635478</v>
      </c>
      <c r="C15" s="457">
        <f t="shared" ref="C15:Q15" ca="1" si="1">SUM(C4:C14)</f>
        <v>7548.3652597402597</v>
      </c>
      <c r="D15" s="457">
        <f t="shared" ca="1" si="1"/>
        <v>193583.2483836461</v>
      </c>
      <c r="E15" s="457">
        <f t="shared" si="1"/>
        <v>3640.2582172251668</v>
      </c>
      <c r="F15" s="457">
        <f t="shared" ca="1" si="1"/>
        <v>89939.100021398408</v>
      </c>
      <c r="G15" s="457">
        <f t="shared" si="1"/>
        <v>310418.83223489404</v>
      </c>
      <c r="H15" s="457">
        <f t="shared" si="1"/>
        <v>35560.964214873537</v>
      </c>
      <c r="I15" s="457">
        <f t="shared" si="1"/>
        <v>0</v>
      </c>
      <c r="J15" s="457">
        <f t="shared" si="1"/>
        <v>1822.7454214987183</v>
      </c>
      <c r="K15" s="457">
        <f t="shared" si="1"/>
        <v>0</v>
      </c>
      <c r="L15" s="457">
        <f t="shared" ca="1" si="1"/>
        <v>0</v>
      </c>
      <c r="M15" s="457">
        <f t="shared" si="1"/>
        <v>15440.080381561873</v>
      </c>
      <c r="N15" s="457">
        <f t="shared" ca="1" si="1"/>
        <v>15877.491544178376</v>
      </c>
      <c r="O15" s="457">
        <f t="shared" si="1"/>
        <v>161.02333333333334</v>
      </c>
      <c r="P15" s="457">
        <f t="shared" si="1"/>
        <v>1144</v>
      </c>
      <c r="Q15" s="457">
        <f t="shared" ca="1" si="1"/>
        <v>799997.41640870448</v>
      </c>
    </row>
    <row r="17" spans="1:17">
      <c r="A17" s="460" t="s">
        <v>557</v>
      </c>
      <c r="B17" s="764">
        <f ca="1">huishoudens!B10</f>
        <v>0.15831276288180679</v>
      </c>
      <c r="C17" s="764">
        <f ca="1">huishoudens!C10</f>
        <v>0.23727688128042965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10088.8613402841</v>
      </c>
      <c r="C22" s="447">
        <f t="shared" ref="C22:C32" ca="1" si="3">C4*$C$17</f>
        <v>0</v>
      </c>
      <c r="D22" s="447">
        <f t="shared" ref="D22:D32" si="4">D4*$D$17</f>
        <v>27146.165312513684</v>
      </c>
      <c r="E22" s="447">
        <f t="shared" ref="E22:E32" si="5">E4*$E$17</f>
        <v>485.25166546427442</v>
      </c>
      <c r="F22" s="447">
        <f t="shared" ref="F22:F32" si="6">F4*$F$17</f>
        <v>17400.771622810098</v>
      </c>
      <c r="G22" s="447">
        <f t="shared" ref="G22:G32" si="7">G4*$G$17</f>
        <v>0</v>
      </c>
      <c r="H22" s="447">
        <f t="shared" ref="H22:H32" si="8">H4*$H$17</f>
        <v>0</v>
      </c>
      <c r="I22" s="447">
        <f t="shared" ref="I22:I32" si="9">I4*$I$17</f>
        <v>0</v>
      </c>
      <c r="J22" s="447">
        <f t="shared" ref="J22:J32" si="10">J4*$J$17</f>
        <v>418.60955807418134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55539.659499146335</v>
      </c>
    </row>
    <row r="23" spans="1:17">
      <c r="A23" s="446" t="s">
        <v>149</v>
      </c>
      <c r="B23" s="447">
        <f t="shared" ca="1" si="2"/>
        <v>6926.9724761642146</v>
      </c>
      <c r="C23" s="447">
        <f t="shared" ca="1" si="3"/>
        <v>5.338729828809667</v>
      </c>
      <c r="D23" s="447">
        <f t="shared" ca="1" si="4"/>
        <v>6283.3654093720234</v>
      </c>
      <c r="E23" s="447">
        <f t="shared" si="5"/>
        <v>71.621540361411093</v>
      </c>
      <c r="F23" s="447">
        <f t="shared" ca="1" si="6"/>
        <v>1434.1292188349344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14721.427374561394</v>
      </c>
    </row>
    <row r="24" spans="1:17">
      <c r="A24" s="446" t="s">
        <v>187</v>
      </c>
      <c r="B24" s="447">
        <f t="shared" ca="1" si="2"/>
        <v>265.71277447187606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265.71277447187606</v>
      </c>
    </row>
    <row r="25" spans="1:17">
      <c r="A25" s="446" t="s">
        <v>105</v>
      </c>
      <c r="B25" s="447">
        <f t="shared" ca="1" si="2"/>
        <v>756.71548191990644</v>
      </c>
      <c r="C25" s="447">
        <f t="shared" ca="1" si="3"/>
        <v>1785.7138377678993</v>
      </c>
      <c r="D25" s="447">
        <f t="shared" si="4"/>
        <v>0</v>
      </c>
      <c r="E25" s="447">
        <f t="shared" si="5"/>
        <v>10.221728474600569</v>
      </c>
      <c r="F25" s="447">
        <f t="shared" si="6"/>
        <v>4164.7524752007621</v>
      </c>
      <c r="G25" s="447">
        <f t="shared" si="7"/>
        <v>0</v>
      </c>
      <c r="H25" s="447">
        <f t="shared" si="8"/>
        <v>0</v>
      </c>
      <c r="I25" s="447">
        <f t="shared" si="9"/>
        <v>0</v>
      </c>
      <c r="J25" s="447">
        <f t="shared" si="10"/>
        <v>209.31807367772893</v>
      </c>
      <c r="K25" s="447">
        <f t="shared" si="11"/>
        <v>0</v>
      </c>
      <c r="L25" s="447">
        <f t="shared" si="12"/>
        <v>0</v>
      </c>
      <c r="M25" s="447">
        <f t="shared" si="13"/>
        <v>0</v>
      </c>
      <c r="N25" s="447">
        <f t="shared" si="14"/>
        <v>0</v>
      </c>
      <c r="O25" s="447">
        <f t="shared" si="15"/>
        <v>0</v>
      </c>
      <c r="P25" s="448">
        <f t="shared" si="16"/>
        <v>0</v>
      </c>
      <c r="Q25" s="446">
        <f t="shared" ca="1" si="17"/>
        <v>6926.721597040897</v>
      </c>
    </row>
    <row r="26" spans="1:17">
      <c r="A26" s="446" t="s">
        <v>665</v>
      </c>
      <c r="B26" s="447">
        <f t="shared" ca="1" si="2"/>
        <v>1482.3320950898374</v>
      </c>
      <c r="C26" s="447">
        <f t="shared" ca="1" si="3"/>
        <v>0</v>
      </c>
      <c r="D26" s="447">
        <f t="shared" si="4"/>
        <v>4817.0201150107459</v>
      </c>
      <c r="E26" s="447">
        <f t="shared" si="5"/>
        <v>24.900201833696674</v>
      </c>
      <c r="F26" s="447">
        <f t="shared" si="6"/>
        <v>1014.0863888675794</v>
      </c>
      <c r="G26" s="447">
        <f t="shared" si="7"/>
        <v>0</v>
      </c>
      <c r="H26" s="447">
        <f t="shared" si="8"/>
        <v>0</v>
      </c>
      <c r="I26" s="447">
        <f t="shared" si="9"/>
        <v>0</v>
      </c>
      <c r="J26" s="447">
        <f t="shared" si="10"/>
        <v>17.324247458635949</v>
      </c>
      <c r="K26" s="447">
        <f t="shared" si="11"/>
        <v>0</v>
      </c>
      <c r="L26" s="447">
        <f t="shared" si="12"/>
        <v>0</v>
      </c>
      <c r="M26" s="447">
        <f t="shared" si="13"/>
        <v>0</v>
      </c>
      <c r="N26" s="447">
        <f t="shared" si="14"/>
        <v>0</v>
      </c>
      <c r="O26" s="447">
        <f t="shared" si="15"/>
        <v>0</v>
      </c>
      <c r="P26" s="448">
        <f t="shared" si="16"/>
        <v>0</v>
      </c>
      <c r="Q26" s="446">
        <f t="shared" ca="1" si="17"/>
        <v>7355.663048260496</v>
      </c>
    </row>
    <row r="27" spans="1:17" s="452" customFormat="1">
      <c r="A27" s="450" t="s">
        <v>562</v>
      </c>
      <c r="B27" s="758">
        <f t="shared" ca="1" si="2"/>
        <v>2.0669482949406315</v>
      </c>
      <c r="C27" s="451">
        <f t="shared" ca="1" si="3"/>
        <v>0</v>
      </c>
      <c r="D27" s="451">
        <f t="shared" si="4"/>
        <v>2.8747547083312743</v>
      </c>
      <c r="E27" s="451">
        <f t="shared" si="5"/>
        <v>234.34347917613016</v>
      </c>
      <c r="F27" s="451">
        <f t="shared" si="6"/>
        <v>0</v>
      </c>
      <c r="G27" s="451">
        <f t="shared" si="7"/>
        <v>81909.301072889197</v>
      </c>
      <c r="H27" s="451">
        <f t="shared" si="8"/>
        <v>8854.6800895035103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91003.266344572112</v>
      </c>
    </row>
    <row r="28" spans="1:17">
      <c r="A28" s="446" t="s">
        <v>552</v>
      </c>
      <c r="B28" s="447">
        <f t="shared" ca="1" si="2"/>
        <v>2.8911329305103259</v>
      </c>
      <c r="C28" s="447">
        <f t="shared" ca="1" si="3"/>
        <v>0</v>
      </c>
      <c r="D28" s="447">
        <f t="shared" si="4"/>
        <v>0</v>
      </c>
      <c r="E28" s="447">
        <f t="shared" si="5"/>
        <v>0</v>
      </c>
      <c r="F28" s="447">
        <f t="shared" si="6"/>
        <v>0</v>
      </c>
      <c r="G28" s="447">
        <f t="shared" si="7"/>
        <v>972.5271338275179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975.41826675802827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241.58630179611853</v>
      </c>
      <c r="C32" s="447">
        <f t="shared" ca="1" si="3"/>
        <v>0</v>
      </c>
      <c r="D32" s="447">
        <f t="shared" si="4"/>
        <v>854.39058189173136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1095.97688368785</v>
      </c>
    </row>
    <row r="33" spans="1:17" s="459" customFormat="1">
      <c r="A33" s="456" t="s">
        <v>556</v>
      </c>
      <c r="B33" s="457">
        <f ca="1">SUM(B22:B32)</f>
        <v>19767.138550951506</v>
      </c>
      <c r="C33" s="457">
        <f t="shared" ref="C33:Q33" ca="1" si="18">SUM(C22:C32)</f>
        <v>1791.052567596709</v>
      </c>
      <c r="D33" s="457">
        <f t="shared" ca="1" si="18"/>
        <v>39103.816173496518</v>
      </c>
      <c r="E33" s="457">
        <f t="shared" si="18"/>
        <v>826.33861531011291</v>
      </c>
      <c r="F33" s="457">
        <f t="shared" ca="1" si="18"/>
        <v>24013.739705713371</v>
      </c>
      <c r="G33" s="457">
        <f t="shared" si="18"/>
        <v>82881.828206716717</v>
      </c>
      <c r="H33" s="457">
        <f t="shared" si="18"/>
        <v>8854.6800895035103</v>
      </c>
      <c r="I33" s="457">
        <f t="shared" si="18"/>
        <v>0</v>
      </c>
      <c r="J33" s="457">
        <f t="shared" si="18"/>
        <v>645.25187921054612</v>
      </c>
      <c r="K33" s="457">
        <f t="shared" si="18"/>
        <v>0</v>
      </c>
      <c r="L33" s="457">
        <f t="shared" ca="1" si="18"/>
        <v>0</v>
      </c>
      <c r="M33" s="457">
        <f t="shared" si="18"/>
        <v>0</v>
      </c>
      <c r="N33" s="457">
        <f t="shared" ca="1" si="18"/>
        <v>0</v>
      </c>
      <c r="O33" s="457">
        <f t="shared" si="18"/>
        <v>0</v>
      </c>
      <c r="P33" s="457">
        <f t="shared" si="18"/>
        <v>0</v>
      </c>
      <c r="Q33" s="457">
        <f t="shared" ca="1" si="18"/>
        <v>177883.84578849899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9932.805633004109</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8952.7688482826834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7.5970367149746822</v>
      </c>
      <c r="C8" s="1013">
        <f>'SEAP template'!C76</f>
        <v>5265.0086451032066</v>
      </c>
      <c r="D8" s="1013">
        <f>'SEAP template'!D76</f>
        <v>6193.4031307093637</v>
      </c>
      <c r="E8" s="1013">
        <f>'SEAP template'!E76</f>
        <v>0</v>
      </c>
      <c r="F8" s="1013">
        <f>'SEAP template'!F76</f>
        <v>0</v>
      </c>
      <c r="G8" s="1013">
        <f>'SEAP template'!G76</f>
        <v>0</v>
      </c>
      <c r="H8" s="1013">
        <f>'SEAP template'!H76</f>
        <v>0</v>
      </c>
      <c r="I8" s="1013">
        <f>'SEAP template'!I76</f>
        <v>0</v>
      </c>
      <c r="J8" s="1013">
        <f>'SEAP template'!J76</f>
        <v>8.9366445805172745</v>
      </c>
      <c r="K8" s="1013">
        <f>'SEAP template'!K76</f>
        <v>0</v>
      </c>
      <c r="L8" s="1013">
        <f>'SEAP template'!L76</f>
        <v>0</v>
      </c>
      <c r="M8" s="1013">
        <f>'SEAP template'!M76</f>
        <v>0</v>
      </c>
      <c r="N8" s="1013">
        <f>'SEAP template'!N76</f>
        <v>0</v>
      </c>
      <c r="O8" s="1013">
        <f>'SEAP template'!O76</f>
        <v>0</v>
      </c>
      <c r="P8" s="1014">
        <f>'SEAP template'!Q76</f>
        <v>1251.0674324032916</v>
      </c>
    </row>
    <row r="9" spans="1:16">
      <c r="A9" s="1016" t="s">
        <v>885</v>
      </c>
      <c r="B9" s="1013">
        <f>'SEAP template'!B77</f>
        <v>16920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48342.857142857152</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35813.171518001764</v>
      </c>
      <c r="C10" s="1017">
        <f>SUM(C4:C9)</f>
        <v>5265.0086451032066</v>
      </c>
      <c r="D10" s="1017">
        <f t="shared" ref="D10:H10" si="0">SUM(D8:D9)</f>
        <v>6193.4031307093637</v>
      </c>
      <c r="E10" s="1017">
        <f t="shared" si="0"/>
        <v>0</v>
      </c>
      <c r="F10" s="1017">
        <f t="shared" si="0"/>
        <v>0</v>
      </c>
      <c r="G10" s="1017">
        <f t="shared" si="0"/>
        <v>0</v>
      </c>
      <c r="H10" s="1017">
        <f t="shared" si="0"/>
        <v>0</v>
      </c>
      <c r="I10" s="1017">
        <f>SUM(I8:I9)</f>
        <v>0</v>
      </c>
      <c r="J10" s="1017">
        <f>SUM(J8:J9)</f>
        <v>48351.793787437673</v>
      </c>
      <c r="K10" s="1017">
        <f t="shared" ref="K10:L10" si="1">SUM(K8:K9)</f>
        <v>0</v>
      </c>
      <c r="L10" s="1017">
        <f t="shared" si="1"/>
        <v>0</v>
      </c>
      <c r="M10" s="1017">
        <f>SUM(M8:M9)</f>
        <v>0</v>
      </c>
      <c r="N10" s="1017">
        <f>SUM(N8:N9)</f>
        <v>0</v>
      </c>
      <c r="O10" s="1017">
        <f>SUM(O8:O9)</f>
        <v>0</v>
      </c>
      <c r="P10" s="1017">
        <f>SUM(P8:P9)</f>
        <v>1251.0674324032916</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0.15831276288180679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10.876066119268661</v>
      </c>
      <c r="C17" s="1020">
        <f>'SEAP template'!C87</f>
        <v>7537.4891936209915</v>
      </c>
      <c r="D17" s="1014">
        <f>'SEAP template'!D87</f>
        <v>8866.596869290639</v>
      </c>
      <c r="E17" s="1014">
        <f>'SEAP template'!E87</f>
        <v>0</v>
      </c>
      <c r="F17" s="1014">
        <f>'SEAP template'!F87</f>
        <v>0</v>
      </c>
      <c r="G17" s="1014">
        <f>'SEAP template'!G87</f>
        <v>0</v>
      </c>
      <c r="H17" s="1014">
        <f>'SEAP template'!H87</f>
        <v>0</v>
      </c>
      <c r="I17" s="1014">
        <f>'SEAP template'!I87</f>
        <v>0</v>
      </c>
      <c r="J17" s="1014">
        <f>'SEAP template'!J87</f>
        <v>12.793874900002209</v>
      </c>
      <c r="K17" s="1014">
        <f>'SEAP template'!K87</f>
        <v>0</v>
      </c>
      <c r="L17" s="1014">
        <f>'SEAP template'!L87</f>
        <v>0</v>
      </c>
      <c r="M17" s="1014">
        <f>'SEAP template'!M87</f>
        <v>0</v>
      </c>
      <c r="N17" s="1014">
        <f>'SEAP template'!N87</f>
        <v>0</v>
      </c>
      <c r="O17" s="1014">
        <f>'SEAP template'!O87</f>
        <v>0</v>
      </c>
      <c r="P17" s="1014">
        <f>'SEAP template'!Q87</f>
        <v>1791.0525675967092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10.876066119268661</v>
      </c>
      <c r="C20" s="1017">
        <f>SUM(C17:C19)</f>
        <v>7537.4891936209915</v>
      </c>
      <c r="D20" s="1017">
        <f t="shared" ref="D20:H20" si="2">SUM(D17:D19)</f>
        <v>8866.596869290639</v>
      </c>
      <c r="E20" s="1017">
        <f t="shared" si="2"/>
        <v>0</v>
      </c>
      <c r="F20" s="1017">
        <f t="shared" si="2"/>
        <v>0</v>
      </c>
      <c r="G20" s="1017">
        <f t="shared" si="2"/>
        <v>0</v>
      </c>
      <c r="H20" s="1017">
        <f t="shared" si="2"/>
        <v>0</v>
      </c>
      <c r="I20" s="1017">
        <f>SUM(I17:I19)</f>
        <v>0</v>
      </c>
      <c r="J20" s="1017">
        <f>SUM(J17:J19)</f>
        <v>12.793874900002209</v>
      </c>
      <c r="K20" s="1017">
        <f t="shared" ref="K20:L20" si="3">SUM(K17:K19)</f>
        <v>0</v>
      </c>
      <c r="L20" s="1017">
        <f t="shared" si="3"/>
        <v>0</v>
      </c>
      <c r="M20" s="1017">
        <f>SUM(M17:M19)</f>
        <v>0</v>
      </c>
      <c r="N20" s="1017">
        <f>SUM(N17:N19)</f>
        <v>0</v>
      </c>
      <c r="O20" s="1017">
        <f>SUM(O17:O19)</f>
        <v>0</v>
      </c>
      <c r="P20" s="1017">
        <f>SUM(P17:P19)</f>
        <v>1791.0525675967092</v>
      </c>
    </row>
    <row r="22" spans="1:16">
      <c r="A22" s="460" t="s">
        <v>893</v>
      </c>
      <c r="B22" s="764" t="s">
        <v>887</v>
      </c>
      <c r="C22" s="764">
        <f ca="1">'EF ele_warmte'!B22</f>
        <v>0.23727688128042965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0.15831276288180679</v>
      </c>
      <c r="C17" s="496">
        <f ca="1">'EF ele_warmte'!B22</f>
        <v>0.23727688128042965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0.15831276288180679</v>
      </c>
      <c r="C17" s="496">
        <f ca="1">'EF ele_warmte'!B22</f>
        <v>0.23727688128042965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0.15831276288180679</v>
      </c>
      <c r="C29" s="497">
        <f ca="1">'EF ele_warmte'!B22</f>
        <v>0.23727688128042965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10930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4535</v>
      </c>
      <c r="C14" s="327"/>
      <c r="D14" s="327"/>
      <c r="E14" s="327"/>
      <c r="F14" s="327"/>
    </row>
    <row r="15" spans="1:6">
      <c r="A15" s="1293" t="s">
        <v>177</v>
      </c>
      <c r="B15" s="1294">
        <v>7662</v>
      </c>
      <c r="C15" s="327"/>
      <c r="D15" s="327"/>
      <c r="E15" s="327"/>
      <c r="F15" s="327"/>
    </row>
    <row r="16" spans="1:6">
      <c r="A16" s="1293" t="s">
        <v>6</v>
      </c>
      <c r="B16" s="1294">
        <v>3998</v>
      </c>
      <c r="C16" s="327"/>
      <c r="D16" s="327"/>
      <c r="E16" s="327"/>
      <c r="F16" s="327"/>
    </row>
    <row r="17" spans="1:6">
      <c r="A17" s="1293" t="s">
        <v>7</v>
      </c>
      <c r="B17" s="1294">
        <v>1009</v>
      </c>
      <c r="C17" s="327"/>
      <c r="D17" s="327"/>
      <c r="E17" s="327"/>
      <c r="F17" s="327"/>
    </row>
    <row r="18" spans="1:6">
      <c r="A18" s="1293" t="s">
        <v>8</v>
      </c>
      <c r="B18" s="1294">
        <v>2735</v>
      </c>
      <c r="C18" s="327"/>
      <c r="D18" s="327"/>
      <c r="E18" s="327"/>
      <c r="F18" s="327"/>
    </row>
    <row r="19" spans="1:6">
      <c r="A19" s="1293" t="s">
        <v>9</v>
      </c>
      <c r="B19" s="1294">
        <v>2623</v>
      </c>
      <c r="C19" s="327"/>
      <c r="D19" s="327"/>
      <c r="E19" s="327"/>
      <c r="F19" s="327"/>
    </row>
    <row r="20" spans="1:6">
      <c r="A20" s="1293" t="s">
        <v>10</v>
      </c>
      <c r="B20" s="1294">
        <v>1888</v>
      </c>
      <c r="C20" s="327"/>
      <c r="D20" s="327"/>
      <c r="E20" s="327"/>
      <c r="F20" s="327"/>
    </row>
    <row r="21" spans="1:6">
      <c r="A21" s="1293" t="s">
        <v>11</v>
      </c>
      <c r="B21" s="1294">
        <v>11574</v>
      </c>
      <c r="C21" s="327"/>
      <c r="D21" s="327"/>
      <c r="E21" s="327"/>
      <c r="F21" s="327"/>
    </row>
    <row r="22" spans="1:6">
      <c r="A22" s="1293" t="s">
        <v>12</v>
      </c>
      <c r="B22" s="1294">
        <v>37585</v>
      </c>
      <c r="C22" s="327"/>
      <c r="D22" s="327"/>
      <c r="E22" s="327"/>
      <c r="F22" s="327"/>
    </row>
    <row r="23" spans="1:6">
      <c r="A23" s="1293" t="s">
        <v>13</v>
      </c>
      <c r="B23" s="1294">
        <v>592</v>
      </c>
      <c r="C23" s="327"/>
      <c r="D23" s="327"/>
      <c r="E23" s="327"/>
      <c r="F23" s="327"/>
    </row>
    <row r="24" spans="1:6">
      <c r="A24" s="1293" t="s">
        <v>14</v>
      </c>
      <c r="B24" s="1294">
        <v>23</v>
      </c>
      <c r="C24" s="327"/>
      <c r="D24" s="327"/>
      <c r="E24" s="327"/>
      <c r="F24" s="327"/>
    </row>
    <row r="25" spans="1:6">
      <c r="A25" s="1293" t="s">
        <v>15</v>
      </c>
      <c r="B25" s="1294">
        <v>2427</v>
      </c>
      <c r="C25" s="327"/>
      <c r="D25" s="327"/>
      <c r="E25" s="327"/>
      <c r="F25" s="327"/>
    </row>
    <row r="26" spans="1:6">
      <c r="A26" s="1293" t="s">
        <v>16</v>
      </c>
      <c r="B26" s="1294">
        <v>72</v>
      </c>
      <c r="C26" s="327"/>
      <c r="D26" s="327"/>
      <c r="E26" s="327"/>
      <c r="F26" s="327"/>
    </row>
    <row r="27" spans="1:6">
      <c r="A27" s="1293" t="s">
        <v>17</v>
      </c>
      <c r="B27" s="1294">
        <v>623</v>
      </c>
      <c r="C27" s="327"/>
      <c r="D27" s="327"/>
      <c r="E27" s="327"/>
      <c r="F27" s="327"/>
    </row>
    <row r="28" spans="1:6">
      <c r="A28" s="1293" t="s">
        <v>18</v>
      </c>
      <c r="B28" s="1295">
        <v>332676</v>
      </c>
      <c r="C28" s="327"/>
      <c r="D28" s="327"/>
      <c r="E28" s="327"/>
      <c r="F28" s="327"/>
    </row>
    <row r="29" spans="1:6">
      <c r="A29" s="1293" t="s">
        <v>955</v>
      </c>
      <c r="B29" s="1295">
        <v>518</v>
      </c>
      <c r="C29" s="327"/>
      <c r="D29" s="327"/>
      <c r="E29" s="327"/>
      <c r="F29" s="327"/>
    </row>
    <row r="30" spans="1:6">
      <c r="A30" s="1288" t="s">
        <v>956</v>
      </c>
      <c r="B30" s="1296">
        <v>121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8</v>
      </c>
      <c r="F35" s="1294">
        <v>63362.8940518366</v>
      </c>
    </row>
    <row r="36" spans="1:6">
      <c r="A36" s="1293" t="s">
        <v>24</v>
      </c>
      <c r="B36" s="1293" t="s">
        <v>26</v>
      </c>
      <c r="C36" s="1294">
        <v>0</v>
      </c>
      <c r="D36" s="1294">
        <v>0</v>
      </c>
      <c r="E36" s="1294">
        <v>4</v>
      </c>
      <c r="F36" s="1294">
        <v>33039.711256288298</v>
      </c>
    </row>
    <row r="37" spans="1:6">
      <c r="A37" s="1293" t="s">
        <v>24</v>
      </c>
      <c r="B37" s="1293" t="s">
        <v>27</v>
      </c>
      <c r="C37" s="1294">
        <v>0</v>
      </c>
      <c r="D37" s="1294">
        <v>0</v>
      </c>
      <c r="E37" s="1294">
        <v>0</v>
      </c>
      <c r="F37" s="1294">
        <v>0</v>
      </c>
    </row>
    <row r="38" spans="1:6">
      <c r="A38" s="1293" t="s">
        <v>24</v>
      </c>
      <c r="B38" s="1293" t="s">
        <v>28</v>
      </c>
      <c r="C38" s="1294">
        <v>2</v>
      </c>
      <c r="D38" s="1294">
        <v>55217.7398445504</v>
      </c>
      <c r="E38" s="1294">
        <v>3</v>
      </c>
      <c r="F38" s="1294">
        <v>94362.522768380397</v>
      </c>
    </row>
    <row r="39" spans="1:6">
      <c r="A39" s="1293" t="s">
        <v>29</v>
      </c>
      <c r="B39" s="1293" t="s">
        <v>30</v>
      </c>
      <c r="C39" s="1294">
        <v>7119</v>
      </c>
      <c r="D39" s="1294">
        <v>148987757.19805101</v>
      </c>
      <c r="E39" s="1294">
        <v>10708</v>
      </c>
      <c r="F39" s="1294">
        <v>58691372.432723999</v>
      </c>
    </row>
    <row r="40" spans="1:6">
      <c r="A40" s="1293" t="s">
        <v>29</v>
      </c>
      <c r="B40" s="1293" t="s">
        <v>28</v>
      </c>
      <c r="C40" s="1294">
        <v>0</v>
      </c>
      <c r="D40" s="1294">
        <v>0</v>
      </c>
      <c r="E40" s="1294">
        <v>0</v>
      </c>
      <c r="F40" s="1294">
        <v>0</v>
      </c>
    </row>
    <row r="41" spans="1:6">
      <c r="A41" s="1293" t="s">
        <v>31</v>
      </c>
      <c r="B41" s="1293" t="s">
        <v>32</v>
      </c>
      <c r="C41" s="1294">
        <v>105</v>
      </c>
      <c r="D41" s="1294">
        <v>2869818.2300644</v>
      </c>
      <c r="E41" s="1294">
        <v>245</v>
      </c>
      <c r="F41" s="1294">
        <v>3195543.9395113001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289560.68547265697</v>
      </c>
      <c r="E44" s="1294">
        <v>40</v>
      </c>
      <c r="F44" s="1294">
        <v>1438777.79982553</v>
      </c>
    </row>
    <row r="45" spans="1:6">
      <c r="A45" s="1293" t="s">
        <v>31</v>
      </c>
      <c r="B45" s="1293" t="s">
        <v>36</v>
      </c>
      <c r="C45" s="1294">
        <v>0</v>
      </c>
      <c r="D45" s="1294">
        <v>0</v>
      </c>
      <c r="E45" s="1294">
        <v>10</v>
      </c>
      <c r="F45" s="1294">
        <v>2116626.6740278699</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26230.3450181031</v>
      </c>
    </row>
    <row r="48" spans="1:6">
      <c r="A48" s="1293" t="s">
        <v>31</v>
      </c>
      <c r="B48" s="1293" t="s">
        <v>28</v>
      </c>
      <c r="C48" s="1294">
        <v>35</v>
      </c>
      <c r="D48" s="1294">
        <v>22198166.611636002</v>
      </c>
      <c r="E48" s="1294">
        <v>42</v>
      </c>
      <c r="F48" s="1294">
        <v>2199796.5264705201</v>
      </c>
    </row>
    <row r="49" spans="1:6">
      <c r="A49" s="1293" t="s">
        <v>31</v>
      </c>
      <c r="B49" s="1293" t="s">
        <v>39</v>
      </c>
      <c r="C49" s="1294">
        <v>0</v>
      </c>
      <c r="D49" s="1294">
        <v>0</v>
      </c>
      <c r="E49" s="1294">
        <v>0</v>
      </c>
      <c r="F49" s="1294">
        <v>0</v>
      </c>
    </row>
    <row r="50" spans="1:6">
      <c r="A50" s="1293" t="s">
        <v>31</v>
      </c>
      <c r="B50" s="1293" t="s">
        <v>40</v>
      </c>
      <c r="C50" s="1294">
        <v>13</v>
      </c>
      <c r="D50" s="1294">
        <v>1079964.70866559</v>
      </c>
      <c r="E50" s="1294">
        <v>14</v>
      </c>
      <c r="F50" s="1294">
        <v>386338.62684005999</v>
      </c>
    </row>
    <row r="51" spans="1:6">
      <c r="A51" s="1293" t="s">
        <v>41</v>
      </c>
      <c r="B51" s="1293" t="s">
        <v>42</v>
      </c>
      <c r="C51" s="1294">
        <v>15</v>
      </c>
      <c r="D51" s="1294">
        <v>364590.59546126798</v>
      </c>
      <c r="E51" s="1294">
        <v>209</v>
      </c>
      <c r="F51" s="1294">
        <v>4631465.7981418399</v>
      </c>
    </row>
    <row r="52" spans="1:6">
      <c r="A52" s="1293" t="s">
        <v>41</v>
      </c>
      <c r="B52" s="1293" t="s">
        <v>28</v>
      </c>
      <c r="C52" s="1294">
        <v>6</v>
      </c>
      <c r="D52" s="1294">
        <v>11859734.075108301</v>
      </c>
      <c r="E52" s="1294">
        <v>9</v>
      </c>
      <c r="F52" s="1294">
        <v>148410.872223994</v>
      </c>
    </row>
    <row r="53" spans="1:6">
      <c r="A53" s="1293" t="s">
        <v>43</v>
      </c>
      <c r="B53" s="1293" t="s">
        <v>44</v>
      </c>
      <c r="C53" s="1294">
        <v>120</v>
      </c>
      <c r="D53" s="1294">
        <v>4229656.34599867</v>
      </c>
      <c r="E53" s="1294">
        <v>244</v>
      </c>
      <c r="F53" s="1294">
        <v>1526006.47855841</v>
      </c>
    </row>
    <row r="54" spans="1:6">
      <c r="A54" s="1293" t="s">
        <v>45</v>
      </c>
      <c r="B54" s="1293" t="s">
        <v>46</v>
      </c>
      <c r="C54" s="1294">
        <v>0</v>
      </c>
      <c r="D54" s="1294">
        <v>0</v>
      </c>
      <c r="E54" s="1294">
        <v>1</v>
      </c>
      <c r="F54" s="1294">
        <v>1678404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79</v>
      </c>
      <c r="D57" s="1294">
        <v>5066001.0077690203</v>
      </c>
      <c r="E57" s="1294">
        <v>220</v>
      </c>
      <c r="F57" s="1294">
        <v>3242758.5352463699</v>
      </c>
    </row>
    <row r="58" spans="1:6">
      <c r="A58" s="1293" t="s">
        <v>48</v>
      </c>
      <c r="B58" s="1293" t="s">
        <v>50</v>
      </c>
      <c r="C58" s="1294">
        <v>24</v>
      </c>
      <c r="D58" s="1294">
        <v>1736618.33366275</v>
      </c>
      <c r="E58" s="1294">
        <v>70</v>
      </c>
      <c r="F58" s="1294">
        <v>713854.92469576595</v>
      </c>
    </row>
    <row r="59" spans="1:6">
      <c r="A59" s="1293" t="s">
        <v>48</v>
      </c>
      <c r="B59" s="1293" t="s">
        <v>51</v>
      </c>
      <c r="C59" s="1294">
        <v>139</v>
      </c>
      <c r="D59" s="1294">
        <v>5401469.6167253098</v>
      </c>
      <c r="E59" s="1294">
        <v>274</v>
      </c>
      <c r="F59" s="1294">
        <v>9477321.5892639495</v>
      </c>
    </row>
    <row r="60" spans="1:6">
      <c r="A60" s="1293" t="s">
        <v>48</v>
      </c>
      <c r="B60" s="1293" t="s">
        <v>52</v>
      </c>
      <c r="C60" s="1294">
        <v>71</v>
      </c>
      <c r="D60" s="1294">
        <v>9988595.3355531804</v>
      </c>
      <c r="E60" s="1294">
        <v>104</v>
      </c>
      <c r="F60" s="1294">
        <v>4036461.0949647701</v>
      </c>
    </row>
    <row r="61" spans="1:6">
      <c r="A61" s="1293" t="s">
        <v>48</v>
      </c>
      <c r="B61" s="1293" t="s">
        <v>53</v>
      </c>
      <c r="C61" s="1294">
        <v>140</v>
      </c>
      <c r="D61" s="1294">
        <v>6336694.5392232398</v>
      </c>
      <c r="E61" s="1294">
        <v>358</v>
      </c>
      <c r="F61" s="1294">
        <v>7283396.47849249</v>
      </c>
    </row>
    <row r="62" spans="1:6">
      <c r="A62" s="1293" t="s">
        <v>48</v>
      </c>
      <c r="B62" s="1293" t="s">
        <v>54</v>
      </c>
      <c r="C62" s="1294">
        <v>5</v>
      </c>
      <c r="D62" s="1294">
        <v>842553.65494662395</v>
      </c>
      <c r="E62" s="1294">
        <v>14</v>
      </c>
      <c r="F62" s="1294">
        <v>264154.19376832998</v>
      </c>
    </row>
    <row r="63" spans="1:6">
      <c r="A63" s="1293" t="s">
        <v>48</v>
      </c>
      <c r="B63" s="1293" t="s">
        <v>28</v>
      </c>
      <c r="C63" s="1294">
        <v>100</v>
      </c>
      <c r="D63" s="1294">
        <v>5146658.8129256899</v>
      </c>
      <c r="E63" s="1294">
        <v>100</v>
      </c>
      <c r="F63" s="1294">
        <v>1812537.6211512701</v>
      </c>
    </row>
    <row r="64" spans="1:6">
      <c r="A64" s="1293" t="s">
        <v>55</v>
      </c>
      <c r="B64" s="1293" t="s">
        <v>56</v>
      </c>
      <c r="C64" s="1294">
        <v>0</v>
      </c>
      <c r="D64" s="1294">
        <v>0</v>
      </c>
      <c r="E64" s="1294">
        <v>0</v>
      </c>
      <c r="F64" s="1294">
        <v>0</v>
      </c>
    </row>
    <row r="65" spans="1:6">
      <c r="A65" s="1293" t="s">
        <v>55</v>
      </c>
      <c r="B65" s="1293" t="s">
        <v>28</v>
      </c>
      <c r="C65" s="1294">
        <v>1</v>
      </c>
      <c r="D65" s="1294">
        <v>101785.129219118</v>
      </c>
      <c r="E65" s="1294">
        <v>2</v>
      </c>
      <c r="F65" s="1294">
        <v>22176.7093787915</v>
      </c>
    </row>
    <row r="66" spans="1:6">
      <c r="A66" s="1293" t="s">
        <v>55</v>
      </c>
      <c r="B66" s="1293" t="s">
        <v>57</v>
      </c>
      <c r="C66" s="1294">
        <v>4</v>
      </c>
      <c r="D66" s="1294">
        <v>114438.414256266</v>
      </c>
      <c r="E66" s="1294">
        <v>4</v>
      </c>
      <c r="F66" s="1294">
        <v>22022.736860285899</v>
      </c>
    </row>
    <row r="67" spans="1:6">
      <c r="A67" s="1293" t="s">
        <v>55</v>
      </c>
      <c r="B67" s="1293" t="s">
        <v>58</v>
      </c>
      <c r="C67" s="1294">
        <v>0</v>
      </c>
      <c r="D67" s="1294">
        <v>0</v>
      </c>
      <c r="E67" s="1294">
        <v>0</v>
      </c>
      <c r="F67" s="1294">
        <v>0</v>
      </c>
    </row>
    <row r="68" spans="1:6">
      <c r="A68" s="1288" t="s">
        <v>55</v>
      </c>
      <c r="B68" s="1288" t="s">
        <v>59</v>
      </c>
      <c r="C68" s="1296">
        <v>7</v>
      </c>
      <c r="D68" s="1296">
        <v>217430.23332375099</v>
      </c>
      <c r="E68" s="1296">
        <v>39</v>
      </c>
      <c r="F68" s="1296">
        <v>481864.225949315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117074430</v>
      </c>
      <c r="E73" s="445"/>
      <c r="F73" s="327"/>
    </row>
    <row r="74" spans="1:6">
      <c r="A74" s="1293" t="s">
        <v>63</v>
      </c>
      <c r="B74" s="1293" t="s">
        <v>749</v>
      </c>
      <c r="C74" s="1306" t="s">
        <v>743</v>
      </c>
      <c r="D74" s="1294">
        <v>9264275.3546214588</v>
      </c>
      <c r="E74" s="445"/>
      <c r="F74" s="327"/>
    </row>
    <row r="75" spans="1:6">
      <c r="A75" s="1293" t="s">
        <v>64</v>
      </c>
      <c r="B75" s="1293" t="s">
        <v>748</v>
      </c>
      <c r="C75" s="1306" t="s">
        <v>744</v>
      </c>
      <c r="D75" s="1294">
        <v>16541191</v>
      </c>
      <c r="E75" s="445"/>
      <c r="F75" s="327"/>
    </row>
    <row r="76" spans="1:6">
      <c r="A76" s="1293" t="s">
        <v>64</v>
      </c>
      <c r="B76" s="1293" t="s">
        <v>749</v>
      </c>
      <c r="C76" s="1306" t="s">
        <v>745</v>
      </c>
      <c r="D76" s="1294">
        <v>243803.35462145787</v>
      </c>
      <c r="E76" s="445"/>
      <c r="F76" s="327"/>
    </row>
    <row r="77" spans="1:6">
      <c r="A77" s="1293" t="s">
        <v>65</v>
      </c>
      <c r="B77" s="1293" t="s">
        <v>748</v>
      </c>
      <c r="C77" s="1306" t="s">
        <v>746</v>
      </c>
      <c r="D77" s="1294">
        <v>170256410</v>
      </c>
      <c r="E77" s="445"/>
      <c r="F77" s="327"/>
    </row>
    <row r="78" spans="1:6">
      <c r="A78" s="1288" t="s">
        <v>65</v>
      </c>
      <c r="B78" s="1288" t="s">
        <v>749</v>
      </c>
      <c r="C78" s="1288" t="s">
        <v>747</v>
      </c>
      <c r="D78" s="1296">
        <v>50369748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1006117.2907570843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9932.805633004109</v>
      </c>
      <c r="C90" s="327"/>
      <c r="D90" s="327"/>
      <c r="E90" s="327"/>
      <c r="F90" s="327"/>
    </row>
    <row r="91" spans="1:6">
      <c r="A91" s="1293" t="s">
        <v>67</v>
      </c>
      <c r="B91" s="1294">
        <v>5036.0311993902797</v>
      </c>
      <c r="C91" s="327"/>
      <c r="D91" s="327"/>
      <c r="E91" s="327"/>
      <c r="F91" s="327"/>
    </row>
    <row r="92" spans="1:6">
      <c r="A92" s="1288" t="s">
        <v>68</v>
      </c>
      <c r="B92" s="1289">
        <v>3916.7376488924033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4748</v>
      </c>
      <c r="C97" s="327"/>
      <c r="D97" s="327"/>
      <c r="E97" s="327"/>
      <c r="F97" s="327"/>
    </row>
    <row r="98" spans="1:6">
      <c r="A98" s="1293" t="s">
        <v>71</v>
      </c>
      <c r="B98" s="1294">
        <v>10</v>
      </c>
      <c r="C98" s="327"/>
      <c r="D98" s="327"/>
      <c r="E98" s="327"/>
      <c r="F98" s="327"/>
    </row>
    <row r="99" spans="1:6">
      <c r="A99" s="1293" t="s">
        <v>72</v>
      </c>
      <c r="B99" s="1294">
        <v>189</v>
      </c>
      <c r="C99" s="327"/>
      <c r="D99" s="327"/>
      <c r="E99" s="327"/>
      <c r="F99" s="327"/>
    </row>
    <row r="100" spans="1:6">
      <c r="A100" s="1293" t="s">
        <v>73</v>
      </c>
      <c r="B100" s="1294">
        <v>1489</v>
      </c>
      <c r="C100" s="327"/>
      <c r="D100" s="327"/>
      <c r="E100" s="327"/>
      <c r="F100" s="327"/>
    </row>
    <row r="101" spans="1:6">
      <c r="A101" s="1293" t="s">
        <v>74</v>
      </c>
      <c r="B101" s="1294">
        <v>259</v>
      </c>
      <c r="C101" s="327"/>
      <c r="D101" s="327"/>
      <c r="E101" s="327"/>
      <c r="F101" s="327"/>
    </row>
    <row r="102" spans="1:6">
      <c r="A102" s="1293" t="s">
        <v>75</v>
      </c>
      <c r="B102" s="1294">
        <v>107</v>
      </c>
      <c r="C102" s="327"/>
      <c r="D102" s="327"/>
      <c r="E102" s="327"/>
      <c r="F102" s="327"/>
    </row>
    <row r="103" spans="1:6">
      <c r="A103" s="1293" t="s">
        <v>76</v>
      </c>
      <c r="B103" s="1294">
        <v>243</v>
      </c>
      <c r="C103" s="327"/>
      <c r="D103" s="327"/>
      <c r="E103" s="327"/>
      <c r="F103" s="327"/>
    </row>
    <row r="104" spans="1:6">
      <c r="A104" s="1293" t="s">
        <v>77</v>
      </c>
      <c r="B104" s="1294">
        <v>2196</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36</v>
      </c>
      <c r="C123" s="1294">
        <v>16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83</v>
      </c>
      <c r="C129" s="327"/>
      <c r="D129" s="327"/>
      <c r="E129" s="327"/>
      <c r="F129" s="327"/>
    </row>
    <row r="130" spans="1:6">
      <c r="A130" s="1293" t="s">
        <v>284</v>
      </c>
      <c r="B130" s="1294">
        <v>4</v>
      </c>
      <c r="C130" s="327"/>
      <c r="D130" s="327"/>
      <c r="E130" s="327"/>
      <c r="F130" s="327"/>
    </row>
    <row r="131" spans="1:6">
      <c r="A131" s="1293" t="s">
        <v>285</v>
      </c>
      <c r="B131" s="1294">
        <v>3</v>
      </c>
      <c r="C131" s="327"/>
      <c r="D131" s="327"/>
      <c r="E131" s="327"/>
      <c r="F131" s="327"/>
    </row>
    <row r="132" spans="1:6">
      <c r="A132" s="1288" t="s">
        <v>286</v>
      </c>
      <c r="B132" s="1289">
        <v>21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124861.30739635481</v>
      </c>
      <c r="C3" s="44" t="s">
        <v>163</v>
      </c>
      <c r="D3" s="44"/>
      <c r="E3" s="157"/>
      <c r="F3" s="44"/>
      <c r="G3" s="44"/>
      <c r="H3" s="44"/>
      <c r="I3" s="44"/>
      <c r="J3" s="44"/>
      <c r="K3" s="97"/>
    </row>
    <row r="4" spans="1:11">
      <c r="A4" s="352" t="s">
        <v>164</v>
      </c>
      <c r="B4" s="50">
        <f>IF(ISERROR('SEAP template'!B78+'SEAP template'!C78),0,'SEAP template'!B78+'SEAP template'!C78)</f>
        <v>41078.180163104968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1251.0674324032916</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0.15831276288180679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1791.0525675967092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7548.3652597402597</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0.23727688128042965</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1678.404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1678.404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0.15831276288180679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265.71277447187606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58691.372432723998</v>
      </c>
      <c r="C5" s="18">
        <f>IF(ISERROR('Eigen informatie GS &amp; warmtenet'!B57),0,'Eigen informatie GS &amp; warmtenet'!B57)</f>
        <v>0</v>
      </c>
      <c r="D5" s="31">
        <f>(SUM(HH_hh_gas_kWh,HH_rest_gas_kWh)/1000)*0.902</f>
        <v>134386.95699264199</v>
      </c>
      <c r="E5" s="18">
        <f>B32*B41</f>
        <v>2137.6725350849092</v>
      </c>
      <c r="F5" s="18">
        <f>B36*B45</f>
        <v>65171.429298914227</v>
      </c>
      <c r="G5" s="19"/>
      <c r="H5" s="18"/>
      <c r="I5" s="18"/>
      <c r="J5" s="18">
        <f>B35*B44+C35*C44</f>
        <v>1182.5128759157665</v>
      </c>
      <c r="K5" s="18"/>
      <c r="L5" s="18"/>
      <c r="M5" s="18"/>
      <c r="N5" s="18">
        <f>B34*B43+C34*C43</f>
        <v>15547.535435961701</v>
      </c>
      <c r="O5" s="18">
        <f>B52*B53*B54</f>
        <v>154.77000000000001</v>
      </c>
      <c r="P5" s="18">
        <f>B60*B61*B62/1000-B60*B61*B62/1000/B63</f>
        <v>1086.8</v>
      </c>
    </row>
    <row r="6" spans="1:16">
      <c r="A6" s="17" t="s">
        <v>622</v>
      </c>
      <c r="B6" s="766">
        <f>kWh_PV_kleiner_dan_10kW</f>
        <v>5036.0311993902797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63727.403632114278</v>
      </c>
      <c r="C8" s="22">
        <f>C5</f>
        <v>0</v>
      </c>
      <c r="D8" s="22">
        <f>D5</f>
        <v>134386.95699264199</v>
      </c>
      <c r="E8" s="22">
        <f>E5</f>
        <v>2137.6725350849092</v>
      </c>
      <c r="F8" s="22">
        <f>F5</f>
        <v>65171.429298914227</v>
      </c>
      <c r="G8" s="22"/>
      <c r="H8" s="22"/>
      <c r="I8" s="22"/>
      <c r="J8" s="22">
        <f>J5</f>
        <v>1182.5128759157665</v>
      </c>
      <c r="K8" s="22"/>
      <c r="L8" s="22">
        <f>L5</f>
        <v>0</v>
      </c>
      <c r="M8" s="22">
        <f>M5</f>
        <v>0</v>
      </c>
      <c r="N8" s="22">
        <f>N5</f>
        <v>15547.535435961701</v>
      </c>
      <c r="O8" s="22">
        <f>O5</f>
        <v>154.77000000000001</v>
      </c>
      <c r="P8" s="22">
        <f>P5</f>
        <v>1086.8</v>
      </c>
    </row>
    <row r="9" spans="1:16">
      <c r="B9" s="20"/>
      <c r="C9" s="20"/>
      <c r="D9" s="258"/>
      <c r="E9" s="20"/>
      <c r="F9" s="20"/>
      <c r="G9" s="20"/>
      <c r="H9" s="20"/>
      <c r="I9" s="20"/>
      <c r="J9" s="20"/>
      <c r="K9" s="20"/>
      <c r="L9" s="20"/>
      <c r="M9" s="20"/>
      <c r="N9" s="20"/>
      <c r="O9" s="20"/>
      <c r="P9" s="20"/>
    </row>
    <row r="10" spans="1:16">
      <c r="A10" s="25" t="s">
        <v>207</v>
      </c>
      <c r="B10" s="26">
        <f ca="1">'EF ele_warmte'!B12</f>
        <v>0.15831276288180679</v>
      </c>
      <c r="C10" s="26">
        <f ca="1">'EF ele_warmte'!B22</f>
        <v>0.23727688128042965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10088.8613402841</v>
      </c>
      <c r="C12" s="24">
        <f ca="1">C10*C8</f>
        <v>0</v>
      </c>
      <c r="D12" s="24">
        <f>D8*D10</f>
        <v>27146.165312513684</v>
      </c>
      <c r="E12" s="24">
        <f>E10*E8</f>
        <v>485.25166546427442</v>
      </c>
      <c r="F12" s="24">
        <f>F10*F8</f>
        <v>17400.771622810098</v>
      </c>
      <c r="G12" s="24"/>
      <c r="H12" s="24"/>
      <c r="I12" s="24"/>
      <c r="J12" s="24">
        <f>J10*J8</f>
        <v>418.60955807418134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10930</v>
      </c>
      <c r="C26" s="37"/>
      <c r="D26" s="228"/>
    </row>
    <row r="27" spans="1:5" s="16" customFormat="1">
      <c r="A27" s="230" t="s">
        <v>648</v>
      </c>
      <c r="B27" s="38">
        <f>SUM(HH_hh_gas_aantal,HH_rest_gas_aantal)</f>
        <v>7119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6763.05</v>
      </c>
      <c r="C31" s="35" t="s">
        <v>104</v>
      </c>
      <c r="D31" s="174"/>
    </row>
    <row r="32" spans="1:5">
      <c r="A32" s="171" t="s">
        <v>72</v>
      </c>
      <c r="B32" s="34">
        <f>IF((B21*($B$26-($B$27-0.05*$B$27)-$B$60))&lt;0,0,B21*($B$26-($B$27-0.05*$B$27)-$B$60))</f>
        <v>101.00337986946714</v>
      </c>
      <c r="C32" s="35" t="s">
        <v>104</v>
      </c>
      <c r="D32" s="174"/>
    </row>
    <row r="33" spans="1:6">
      <c r="A33" s="171" t="s">
        <v>73</v>
      </c>
      <c r="B33" s="34">
        <f>IF((B22*($B$26-($B$27-0.05*$B$27)-$B$60))&lt;0,0,B22*($B$26-($B$27-0.05*$B$27)-$B$60))</f>
        <v>679.87120727568185</v>
      </c>
      <c r="C33" s="35" t="s">
        <v>104</v>
      </c>
      <c r="D33" s="174"/>
    </row>
    <row r="34" spans="1:6">
      <c r="A34" s="171" t="s">
        <v>74</v>
      </c>
      <c r="B34" s="34">
        <f>IF((B24*($B$26-($B$27-0.05*$B$27)-$B$60))&lt;0,0,B24*($B$26-($B$27-0.05*$B$27)-$B$60))</f>
        <v>172.42966855168038</v>
      </c>
      <c r="C34" s="34">
        <f>B26*C24</f>
        <v>2235.2104414229598</v>
      </c>
      <c r="D34" s="233"/>
    </row>
    <row r="35" spans="1:6">
      <c r="A35" s="171" t="s">
        <v>76</v>
      </c>
      <c r="B35" s="34">
        <f>IF((B19*($B$26-($B$27-0.05*$B$27)-$B$60))&lt;0,0,B19*($B$26-($B$27-0.05*$B$27)-$B$60))</f>
        <v>64.10389407559083</v>
      </c>
      <c r="C35" s="34">
        <f>B35/2</f>
        <v>32.051947037795415</v>
      </c>
      <c r="D35" s="233"/>
    </row>
    <row r="36" spans="1:6">
      <c r="A36" s="171" t="s">
        <v>77</v>
      </c>
      <c r="B36" s="34">
        <f>IF((B18*($B$26-($B$27-0.05*$B$27)-$B$60))&lt;0,0,B18*($B$26-($B$27-0.05*$B$27)-$B$60))</f>
        <v>3092.5418502275784</v>
      </c>
      <c r="C36" s="35" t="s">
        <v>104</v>
      </c>
      <c r="D36" s="174"/>
    </row>
    <row r="37" spans="1:6">
      <c r="A37" s="171" t="s">
        <v>78</v>
      </c>
      <c r="B37" s="34">
        <f>B60</f>
        <v>57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99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26830.484437582942</v>
      </c>
      <c r="C5" s="18">
        <f>IF(ISERROR('Eigen informatie GS &amp; warmtenet'!B58),0,'Eigen informatie GS &amp; warmtenet'!B58)</f>
        <v>0</v>
      </c>
      <c r="D5" s="31">
        <f>SUM(D6:D12)</f>
        <v>31135.769353326847</v>
      </c>
      <c r="E5" s="18">
        <f>SUM(E6:E12)</f>
        <v>315.5133936626039</v>
      </c>
      <c r="F5" s="18">
        <f>SUM(F6:F12)</f>
        <v>5371.2704825278433</v>
      </c>
      <c r="G5" s="19"/>
      <c r="H5" s="18"/>
      <c r="I5" s="18"/>
      <c r="J5" s="18">
        <f>SUM(J6:J12)</f>
        <v>0</v>
      </c>
      <c r="K5" s="18"/>
      <c r="L5" s="18"/>
      <c r="M5" s="18"/>
      <c r="N5" s="18">
        <f>SUM(N6:N12)</f>
        <v>2045.8960398571189</v>
      </c>
      <c r="O5" s="18">
        <f>B38*B39*B40</f>
        <v>6.2533333333333339</v>
      </c>
      <c r="P5" s="18">
        <f>B46*B47*B48/1000-B46*B47*B48/1000/B49</f>
        <v>57.2</v>
      </c>
      <c r="R5" s="33"/>
    </row>
    <row r="6" spans="1:18">
      <c r="A6" s="33" t="s">
        <v>53</v>
      </c>
      <c r="B6" s="38">
        <f>B26</f>
        <v>7283.3964784924901</v>
      </c>
      <c r="C6" s="34"/>
      <c r="D6" s="38">
        <f>IF(ISERROR(TER_kantoor_gas_kWh/1000),0,TER_kantoor_gas_kWh/1000)*0.902</f>
        <v>5715.6984743793628</v>
      </c>
      <c r="E6" s="34">
        <f>$C$26*'E Balans VL '!I12/100/3.6*1000000</f>
        <v>11.95352978977091</v>
      </c>
      <c r="F6" s="34">
        <f>$C$26*('E Balans VL '!L12+'E Balans VL '!N12)/100/3.6*1000000</f>
        <v>858.54107580124196</v>
      </c>
      <c r="G6" s="35"/>
      <c r="H6" s="34"/>
      <c r="I6" s="34"/>
      <c r="J6" s="34">
        <f>$C$26*('E Balans VL '!D12+'E Balans VL '!E12)/100/3.6*1000000</f>
        <v>0</v>
      </c>
      <c r="K6" s="34"/>
      <c r="L6" s="34"/>
      <c r="M6" s="34"/>
      <c r="N6" s="34">
        <f>$C$26*'E Balans VL '!Y12/100/3.6*1000000</f>
        <v>1.4715757687734996</v>
      </c>
      <c r="O6" s="34"/>
      <c r="P6" s="34"/>
      <c r="R6" s="33"/>
    </row>
    <row r="7" spans="1:18">
      <c r="A7" s="33" t="s">
        <v>52</v>
      </c>
      <c r="B7" s="38">
        <f t="shared" ref="B7:B12" si="0">B27</f>
        <v>4036.4610949647699</v>
      </c>
      <c r="C7" s="34"/>
      <c r="D7" s="38">
        <f>IF(ISERROR(TER_horeca_gas_kWh/1000),0,TER_horeca_gas_kWh/1000)*0.902</f>
        <v>9009.7129926689686</v>
      </c>
      <c r="E7" s="34">
        <f>$C$27*'E Balans VL '!I9/100/3.6*1000000</f>
        <v>209.46312237115066</v>
      </c>
      <c r="F7" s="34">
        <f>$C$27*('E Balans VL '!L9+'E Balans VL '!N9)/100/3.6*1000000</f>
        <v>921.12335074164707</v>
      </c>
      <c r="G7" s="35"/>
      <c r="H7" s="34"/>
      <c r="I7" s="34"/>
      <c r="J7" s="34">
        <f>$C$27*('E Balans VL '!D9+'E Balans VL '!E9)/100/3.6*1000000</f>
        <v>0</v>
      </c>
      <c r="K7" s="34"/>
      <c r="L7" s="34"/>
      <c r="M7" s="34"/>
      <c r="N7" s="34">
        <f>$C$27*'E Balans VL '!Y9/100/3.6*1000000</f>
        <v>0.42624844183928146</v>
      </c>
      <c r="O7" s="34"/>
      <c r="P7" s="34"/>
      <c r="R7" s="33"/>
    </row>
    <row r="8" spans="1:18">
      <c r="A8" s="6" t="s">
        <v>51</v>
      </c>
      <c r="B8" s="38">
        <f t="shared" si="0"/>
        <v>9477.3215892639491</v>
      </c>
      <c r="C8" s="34"/>
      <c r="D8" s="38">
        <f>IF(ISERROR(TER_handel_gas_kWh/1000),0,TER_handel_gas_kWh/1000)*0.902</f>
        <v>4872.125594286229</v>
      </c>
      <c r="E8" s="34">
        <f>$C$28*'E Balans VL '!I13/100/3.6*1000000</f>
        <v>51.036541366220774</v>
      </c>
      <c r="F8" s="34">
        <f>$C$28*('E Balans VL '!L13+'E Balans VL '!N13)/100/3.6*1000000</f>
        <v>1932.7075126820926</v>
      </c>
      <c r="G8" s="35"/>
      <c r="H8" s="34"/>
      <c r="I8" s="34"/>
      <c r="J8" s="34">
        <f>$C$28*('E Balans VL '!D13+'E Balans VL '!E13)/100/3.6*1000000</f>
        <v>0</v>
      </c>
      <c r="K8" s="34"/>
      <c r="L8" s="34"/>
      <c r="M8" s="34"/>
      <c r="N8" s="34">
        <f>$C$28*'E Balans VL '!Y13/100/3.6*1000000</f>
        <v>47.125715433269626</v>
      </c>
      <c r="O8" s="34"/>
      <c r="P8" s="34"/>
      <c r="R8" s="33"/>
    </row>
    <row r="9" spans="1:18">
      <c r="A9" s="33" t="s">
        <v>50</v>
      </c>
      <c r="B9" s="38">
        <f t="shared" si="0"/>
        <v>713.85492469576593</v>
      </c>
      <c r="C9" s="34"/>
      <c r="D9" s="38">
        <f>IF(ISERROR(TER_gezond_gas_kWh/1000),0,TER_gezond_gas_kWh/1000)*0.902</f>
        <v>1566.4297369638007</v>
      </c>
      <c r="E9" s="34">
        <f>$C$29*'E Balans VL '!I10/100/3.6*1000000</f>
        <v>0.70743834829811081</v>
      </c>
      <c r="F9" s="34">
        <f>$C$29*('E Balans VL '!L10+'E Balans VL '!N10)/100/3.6*1000000</f>
        <v>247.68708279061445</v>
      </c>
      <c r="G9" s="35"/>
      <c r="H9" s="34"/>
      <c r="I9" s="34"/>
      <c r="J9" s="34">
        <f>$C$29*('E Balans VL '!D10+'E Balans VL '!E10)/100/3.6*1000000</f>
        <v>0</v>
      </c>
      <c r="K9" s="34"/>
      <c r="L9" s="34"/>
      <c r="M9" s="34"/>
      <c r="N9" s="34">
        <f>$C$29*'E Balans VL '!Y10/100/3.6*1000000</f>
        <v>6.1512260451477738</v>
      </c>
      <c r="O9" s="34"/>
      <c r="P9" s="34"/>
      <c r="R9" s="33"/>
    </row>
    <row r="10" spans="1:18">
      <c r="A10" s="33" t="s">
        <v>49</v>
      </c>
      <c r="B10" s="38">
        <f t="shared" si="0"/>
        <v>3242.7585352463698</v>
      </c>
      <c r="C10" s="34"/>
      <c r="D10" s="38">
        <f>IF(ISERROR(TER_ander_gas_kWh/1000),0,TER_ander_gas_kWh/1000)*0.902</f>
        <v>4569.5329090076566</v>
      </c>
      <c r="E10" s="34">
        <f>$C$30*'E Balans VL '!I14/100/3.6*1000000</f>
        <v>26.529005724660934</v>
      </c>
      <c r="F10" s="34">
        <f>$C$30*('E Balans VL '!L14+'E Balans VL '!N14)/100/3.6*1000000</f>
        <v>948.05057753833808</v>
      </c>
      <c r="G10" s="35"/>
      <c r="H10" s="34"/>
      <c r="I10" s="34"/>
      <c r="J10" s="34">
        <f>$C$30*('E Balans VL '!D14+'E Balans VL '!E14)/100/3.6*1000000</f>
        <v>0</v>
      </c>
      <c r="K10" s="34"/>
      <c r="L10" s="34"/>
      <c r="M10" s="34"/>
      <c r="N10" s="34">
        <f>$C$30*'E Balans VL '!Y14/100/3.6*1000000</f>
        <v>1870.646188966145</v>
      </c>
      <c r="O10" s="34"/>
      <c r="P10" s="34"/>
      <c r="R10" s="33"/>
    </row>
    <row r="11" spans="1:18">
      <c r="A11" s="33" t="s">
        <v>54</v>
      </c>
      <c r="B11" s="38">
        <f t="shared" si="0"/>
        <v>264.15419376833</v>
      </c>
      <c r="C11" s="34"/>
      <c r="D11" s="38">
        <f>IF(ISERROR(TER_onderwijs_gas_kWh/1000),0,TER_onderwijs_gas_kWh/1000)*0.902</f>
        <v>759.98339676185481</v>
      </c>
      <c r="E11" s="34">
        <f>$C$31*'E Balans VL '!I11/100/3.6*1000000</f>
        <v>0.16281349926679103</v>
      </c>
      <c r="F11" s="34">
        <f>$C$31*('E Balans VL '!L11+'E Balans VL '!N11)/100/3.6*1000000</f>
        <v>102.12628920065256</v>
      </c>
      <c r="G11" s="35"/>
      <c r="H11" s="34"/>
      <c r="I11" s="34"/>
      <c r="J11" s="34">
        <f>$C$31*('E Balans VL '!D11+'E Balans VL '!E11)/100/3.6*1000000</f>
        <v>0</v>
      </c>
      <c r="K11" s="34"/>
      <c r="L11" s="34"/>
      <c r="M11" s="34"/>
      <c r="N11" s="34">
        <f>$C$31*'E Balans VL '!Y11/100/3.6*1000000</f>
        <v>0.85923698529329495</v>
      </c>
      <c r="O11" s="34"/>
      <c r="P11" s="34"/>
      <c r="R11" s="33"/>
    </row>
    <row r="12" spans="1:18">
      <c r="A12" s="33" t="s">
        <v>249</v>
      </c>
      <c r="B12" s="38">
        <f t="shared" si="0"/>
        <v>1812.5376211512701</v>
      </c>
      <c r="C12" s="34"/>
      <c r="D12" s="38">
        <f>IF(ISERROR(TER_rest_gas_kWh/1000),0,TER_rest_gas_kWh/1000)*0.902</f>
        <v>4642.286249258972</v>
      </c>
      <c r="E12" s="34">
        <f>$C$32*'E Balans VL '!I8/100/3.6*1000000</f>
        <v>15.660942563235739</v>
      </c>
      <c r="F12" s="34">
        <f>$C$32*('E Balans VL '!L8+'E Balans VL '!N8)/100/3.6*1000000</f>
        <v>361.03459377325595</v>
      </c>
      <c r="G12" s="35"/>
      <c r="H12" s="34"/>
      <c r="I12" s="34"/>
      <c r="J12" s="34">
        <f>$C$32*('E Balans VL '!D8+'E Balans VL '!E8)/100/3.6*1000000</f>
        <v>0</v>
      </c>
      <c r="K12" s="34"/>
      <c r="L12" s="34"/>
      <c r="M12" s="34"/>
      <c r="N12" s="34">
        <f>$C$32*'E Balans VL '!Y8/100/3.6*1000000</f>
        <v>119.21584821665023</v>
      </c>
      <c r="O12" s="34"/>
      <c r="P12" s="34"/>
      <c r="R12" s="33"/>
    </row>
    <row r="13" spans="1:18">
      <c r="A13" s="17" t="s">
        <v>489</v>
      </c>
      <c r="B13" s="246">
        <f ca="1">'lokale energieproductie'!N43+'lokale energieproductie'!N34</f>
        <v>16924.5</v>
      </c>
      <c r="C13" s="246">
        <f ca="1">'lokale energieproductie'!O43+'lokale energieproductie'!O34</f>
        <v>22.5</v>
      </c>
      <c r="D13" s="305">
        <f ca="1">('lokale energieproductie'!P34+'lokale energieproductie'!P43)*(-1)</f>
        <v>-30</v>
      </c>
      <c r="E13" s="247"/>
      <c r="F13" s="305">
        <f ca="1">('lokale energieproductie'!S34+'lokale energieproductie'!S43)*(-1)</f>
        <v>0</v>
      </c>
      <c r="G13" s="248"/>
      <c r="H13" s="247"/>
      <c r="I13" s="247"/>
      <c r="J13" s="247"/>
      <c r="K13" s="247"/>
      <c r="L13" s="305">
        <f ca="1">('lokale energieproductie'!U34+'lokale energieproductie'!T34+'lokale energieproductie'!U43+'lokale energieproductie'!T43)*(-1)</f>
        <v>0</v>
      </c>
      <c r="M13" s="247"/>
      <c r="N13" s="305">
        <f ca="1">('lokale energieproductie'!Q34+'lokale energieproductie'!R34+'lokale energieproductie'!V34+'lokale energieproductie'!Q43+'lokale energieproductie'!R43+'lokale energieproductie'!V43)*(-1)</f>
        <v>-48342.857142857152</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43754.984437582942</v>
      </c>
      <c r="C16" s="22">
        <f t="shared" ca="1" si="1"/>
        <v>22.5</v>
      </c>
      <c r="D16" s="22">
        <f t="shared" ca="1" si="1"/>
        <v>31105.769353326847</v>
      </c>
      <c r="E16" s="22">
        <f t="shared" si="1"/>
        <v>315.5133936626039</v>
      </c>
      <c r="F16" s="22">
        <f t="shared" ca="1" si="1"/>
        <v>5371.2704825278433</v>
      </c>
      <c r="G16" s="22">
        <f t="shared" si="1"/>
        <v>0</v>
      </c>
      <c r="H16" s="22">
        <f t="shared" si="1"/>
        <v>0</v>
      </c>
      <c r="I16" s="22">
        <f t="shared" si="1"/>
        <v>0</v>
      </c>
      <c r="J16" s="22">
        <f t="shared" si="1"/>
        <v>0</v>
      </c>
      <c r="K16" s="22">
        <f t="shared" si="1"/>
        <v>0</v>
      </c>
      <c r="L16" s="22">
        <f t="shared" ca="1" si="1"/>
        <v>0</v>
      </c>
      <c r="M16" s="22">
        <f t="shared" si="1"/>
        <v>0</v>
      </c>
      <c r="N16" s="22">
        <f t="shared" ca="1" si="1"/>
        <v>0</v>
      </c>
      <c r="O16" s="22">
        <f>O5</f>
        <v>6.2533333333333339</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0.15831276288180679</v>
      </c>
      <c r="C18" s="26">
        <f ca="1">'EF ele_warmte'!B22</f>
        <v>0.23727688128042965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6926.9724761642146</v>
      </c>
      <c r="C20" s="24">
        <f t="shared" ref="C20:P20" ca="1" si="2">C16*C18</f>
        <v>5.338729828809667</v>
      </c>
      <c r="D20" s="24">
        <f t="shared" ca="1" si="2"/>
        <v>6283.3654093720234</v>
      </c>
      <c r="E20" s="24">
        <f t="shared" si="2"/>
        <v>71.621540361411093</v>
      </c>
      <c r="F20" s="24">
        <f t="shared" ca="1" si="2"/>
        <v>1434.1292188349344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7283.3964784924901</v>
      </c>
      <c r="C26" s="40">
        <f>IF(ISERROR(B26*3.6/1000000/'E Balans VL '!Z12*100),0,B26*3.6/1000000/'E Balans VL '!Z12*100)</f>
        <v>0.15476695201824714</v>
      </c>
      <c r="D26" s="236" t="s">
        <v>685</v>
      </c>
      <c r="F26" s="6"/>
    </row>
    <row r="27" spans="1:18">
      <c r="A27" s="231" t="s">
        <v>52</v>
      </c>
      <c r="B27" s="34">
        <f>IF(ISERROR(TER_horeca_ele_kWh/1000),0,TER_horeca_ele_kWh/1000)</f>
        <v>4036.4610949647699</v>
      </c>
      <c r="C27" s="40">
        <f>IF(ISERROR(B27*3.6/1000000/'E Balans VL '!Z9*100),0,B27*3.6/1000000/'E Balans VL '!Z9*100)</f>
        <v>0.31770070199201106</v>
      </c>
      <c r="D27" s="236" t="s">
        <v>685</v>
      </c>
      <c r="F27" s="6"/>
    </row>
    <row r="28" spans="1:18">
      <c r="A28" s="171" t="s">
        <v>51</v>
      </c>
      <c r="B28" s="34">
        <f>IF(ISERROR(TER_handel_ele_kWh/1000),0,TER_handel_ele_kWh/1000)</f>
        <v>9477.3215892639491</v>
      </c>
      <c r="C28" s="40">
        <f>IF(ISERROR(B28*3.6/1000000/'E Balans VL '!Z13*100),0,B28*3.6/1000000/'E Balans VL '!Z13*100)</f>
        <v>0.2654648497775543</v>
      </c>
      <c r="D28" s="236" t="s">
        <v>685</v>
      </c>
      <c r="F28" s="6"/>
    </row>
    <row r="29" spans="1:18">
      <c r="A29" s="231" t="s">
        <v>50</v>
      </c>
      <c r="B29" s="34">
        <f>IF(ISERROR(TER_gezond_ele_kWh/1000),0,TER_gezond_ele_kWh/1000)</f>
        <v>713.85492469576593</v>
      </c>
      <c r="C29" s="40">
        <f>IF(ISERROR(B29*3.6/1000000/'E Balans VL '!Z10*100),0,B29*3.6/1000000/'E Balans VL '!Z10*100)</f>
        <v>9.132363097214409E-2</v>
      </c>
      <c r="D29" s="236" t="s">
        <v>685</v>
      </c>
      <c r="F29" s="6"/>
    </row>
    <row r="30" spans="1:18">
      <c r="A30" s="231" t="s">
        <v>49</v>
      </c>
      <c r="B30" s="34">
        <f>IF(ISERROR(TER_ander_ele_kWh/1000),0,TER_ander_ele_kWh/1000)</f>
        <v>3242.7585352463698</v>
      </c>
      <c r="C30" s="40">
        <f>IF(ISERROR(B30*3.6/1000000/'E Balans VL '!Z14*100),0,B30*3.6/1000000/'E Balans VL '!Z14*100)</f>
        <v>0.24253101447569086</v>
      </c>
      <c r="D30" s="236" t="s">
        <v>685</v>
      </c>
      <c r="F30" s="6"/>
    </row>
    <row r="31" spans="1:18">
      <c r="A31" s="231" t="s">
        <v>54</v>
      </c>
      <c r="B31" s="34">
        <f>IF(ISERROR(TER_onderwijs_ele_kWh/1000),0,TER_onderwijs_ele_kWh/1000)</f>
        <v>264.15419376833</v>
      </c>
      <c r="C31" s="40">
        <f>IF(ISERROR(B31*3.6/1000000/'E Balans VL '!Z11*100),0,B31*3.6/1000000/'E Balans VL '!Z11*100)</f>
        <v>5.5776500181323914E-2</v>
      </c>
      <c r="D31" s="236" t="s">
        <v>685</v>
      </c>
    </row>
    <row r="32" spans="1:18">
      <c r="A32" s="231" t="s">
        <v>249</v>
      </c>
      <c r="B32" s="34">
        <f>IF(ISERROR(TER_rest_ele_kWh/1000),0,TER_rest_ele_kWh/1000)</f>
        <v>1812.5376211512701</v>
      </c>
      <c r="C32" s="40">
        <f>IF(ISERROR(B32*3.6/1000000/'E Balans VL '!Z8*100),0,B32*3.6/1000000/'E Balans VL '!Z8*100)</f>
        <v>1.493156178909778E-2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9363.3139116933835</v>
      </c>
      <c r="C5" s="18">
        <f>IF(ISERROR('Eigen informatie GS &amp; warmtenet'!B59),0,'Eigen informatie GS &amp; warmtenet'!B59)</f>
        <v>0</v>
      </c>
      <c r="D5" s="31">
        <f>SUM(D6:D15)</f>
        <v>23846.634232726465</v>
      </c>
      <c r="E5" s="18">
        <f>SUM(E6:E15)</f>
        <v>109.69251909117477</v>
      </c>
      <c r="F5" s="18">
        <f>SUM(F6:F15)</f>
        <v>3798.0763627999227</v>
      </c>
      <c r="G5" s="19"/>
      <c r="H5" s="18"/>
      <c r="I5" s="18"/>
      <c r="J5" s="18">
        <f>SUM(J6:J15)</f>
        <v>48.938552143039402</v>
      </c>
      <c r="K5" s="18"/>
      <c r="L5" s="18"/>
      <c r="M5" s="18"/>
      <c r="N5" s="18">
        <f>SUM(N6:N15)</f>
        <v>329.95610821667441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1438.7777998255301</v>
      </c>
      <c r="C8" s="34"/>
      <c r="D8" s="38">
        <f>IF( ISERROR(IND_metaal_Gas_kWH/1000),0,IND_metaal_Gas_kWH/1000)*0.902</f>
        <v>261.18373829633663</v>
      </c>
      <c r="E8" s="34">
        <f>C30*'E Balans VL '!I18/100/3.6*1000000</f>
        <v>13.102690137476289</v>
      </c>
      <c r="F8" s="34">
        <f>C30*'E Balans VL '!L18/100/3.6*1000000+C30*'E Balans VL '!N18/100/3.6*1000000</f>
        <v>189.76386553071103</v>
      </c>
      <c r="G8" s="35"/>
      <c r="H8" s="34"/>
      <c r="I8" s="34"/>
      <c r="J8" s="41">
        <f>C30*'E Balans VL '!D18/100/3.6*1000000+C30*'E Balans VL '!E18/100/3.6*1000000</f>
        <v>23.59386688699707</v>
      </c>
      <c r="K8" s="34"/>
      <c r="L8" s="34"/>
      <c r="M8" s="34"/>
      <c r="N8" s="34">
        <f>C30*'E Balans VL '!Y18/100/3.6*1000000</f>
        <v>4.9445077449855113</v>
      </c>
      <c r="O8" s="34"/>
      <c r="P8" s="34"/>
      <c r="R8" s="33"/>
    </row>
    <row r="9" spans="1:18">
      <c r="A9" s="6" t="s">
        <v>32</v>
      </c>
      <c r="B9" s="38">
        <f t="shared" si="0"/>
        <v>3195.5439395112999</v>
      </c>
      <c r="C9" s="34"/>
      <c r="D9" s="38">
        <f>IF( ISERROR(IND_andere_gas_kWh/1000),0,IND_andere_gas_kWh/1000)*0.902</f>
        <v>2588.5760435180887</v>
      </c>
      <c r="E9" s="34">
        <f>C31*'E Balans VL '!I19/100/3.6*1000000</f>
        <v>18.470721504918767</v>
      </c>
      <c r="F9" s="34">
        <f>C31*'E Balans VL '!L19/100/3.6*1000000+C31*'E Balans VL '!N19/100/3.6*1000000</f>
        <v>2542.2089673709629</v>
      </c>
      <c r="G9" s="35"/>
      <c r="H9" s="34"/>
      <c r="I9" s="34"/>
      <c r="J9" s="41">
        <f>C31*'E Balans VL '!D19/100/3.6*1000000+C31*'E Balans VL '!E19/100/3.6*1000000</f>
        <v>0.30226296158104476</v>
      </c>
      <c r="K9" s="34"/>
      <c r="L9" s="34"/>
      <c r="M9" s="34"/>
      <c r="N9" s="34">
        <f>C31*'E Balans VL '!Y19/100/3.6*1000000</f>
        <v>242.11081256625002</v>
      </c>
      <c r="O9" s="34"/>
      <c r="P9" s="34"/>
      <c r="R9" s="33"/>
    </row>
    <row r="10" spans="1:18">
      <c r="A10" s="6" t="s">
        <v>40</v>
      </c>
      <c r="B10" s="38">
        <f t="shared" si="0"/>
        <v>386.33862684005999</v>
      </c>
      <c r="C10" s="34"/>
      <c r="D10" s="38">
        <f>IF( ISERROR(IND_voed_gas_kWh/1000),0,IND_voed_gas_kWh/1000)*0.902</f>
        <v>974.12816721636227</v>
      </c>
      <c r="E10" s="34">
        <f>C32*'E Balans VL '!I20/100/3.6*1000000</f>
        <v>3.7987194221443206</v>
      </c>
      <c r="F10" s="34">
        <f>C32*'E Balans VL '!L20/100/3.6*1000000+C32*'E Balans VL '!N20/100/3.6*1000000</f>
        <v>42.907947251299547</v>
      </c>
      <c r="G10" s="35"/>
      <c r="H10" s="34"/>
      <c r="I10" s="34"/>
      <c r="J10" s="41">
        <f>C32*'E Balans VL '!D20/100/3.6*1000000+C32*'E Balans VL '!E20/100/3.6*1000000</f>
        <v>1.5227359155598112E-3</v>
      </c>
      <c r="K10" s="34"/>
      <c r="L10" s="34"/>
      <c r="M10" s="34"/>
      <c r="N10" s="34">
        <f>C32*'E Balans VL '!Y20/100/3.6*1000000</f>
        <v>5.7207662992601884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2116.6266740278697</v>
      </c>
      <c r="C12" s="34"/>
      <c r="D12" s="38">
        <f>IF( ISERROR(IND_min_gas_kWh/1000),0,IND_min_gas_kWh/1000)*0.902</f>
        <v>0</v>
      </c>
      <c r="E12" s="34">
        <f>C34*'E Balans VL '!I22/100/3.6*1000000</f>
        <v>53.660252713354637</v>
      </c>
      <c r="F12" s="34">
        <f>C34*'E Balans VL '!L22/100/3.6*1000000+C34*'E Balans VL '!N22/100/3.6*1000000</f>
        <v>585.67797839686614</v>
      </c>
      <c r="G12" s="35"/>
      <c r="H12" s="34"/>
      <c r="I12" s="34"/>
      <c r="J12" s="41">
        <f>C34*'E Balans VL '!D22/100/3.6*1000000+C34*'E Balans VL '!E22/100/3.6*1000000</f>
        <v>13.978627893374078</v>
      </c>
      <c r="K12" s="34"/>
      <c r="L12" s="34"/>
      <c r="M12" s="34"/>
      <c r="N12" s="34">
        <f>C34*'E Balans VL '!Y22/100/3.6*1000000</f>
        <v>0</v>
      </c>
      <c r="O12" s="34"/>
      <c r="P12" s="34"/>
      <c r="R12" s="33"/>
    </row>
    <row r="13" spans="1:18">
      <c r="A13" s="6" t="s">
        <v>38</v>
      </c>
      <c r="B13" s="38">
        <f t="shared" si="0"/>
        <v>26.230345018103101</v>
      </c>
      <c r="C13" s="34"/>
      <c r="D13" s="38">
        <f>IF( ISERROR(IND_papier_gas_kWh/1000),0,IND_papier_gas_kWh/1000)*0.902</f>
        <v>0</v>
      </c>
      <c r="E13" s="34">
        <f>C35*'E Balans VL '!I23/100/3.6*1000000</f>
        <v>0.89344358285803349</v>
      </c>
      <c r="F13" s="34">
        <f>C35*'E Balans VL '!L23/100/3.6*1000000+C35*'E Balans VL '!N23/100/3.6*1000000</f>
        <v>4.3326373840444763</v>
      </c>
      <c r="G13" s="35"/>
      <c r="H13" s="34"/>
      <c r="I13" s="34"/>
      <c r="J13" s="41">
        <f>C35*'E Balans VL '!D23/100/3.6*1000000+C35*'E Balans VL '!E23/100/3.6*1000000</f>
        <v>0</v>
      </c>
      <c r="K13" s="34"/>
      <c r="L13" s="34"/>
      <c r="M13" s="34"/>
      <c r="N13" s="34">
        <f>C35*'E Balans VL '!Y23/100/3.6*1000000</f>
        <v>9.6520635233395176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2199.7965264705199</v>
      </c>
      <c r="C15" s="34"/>
      <c r="D15" s="38">
        <f>IF( ISERROR(IND_rest_gas_kWh/1000),0,IND_rest_gas_kWh/1000)*0.902</f>
        <v>20022.746283695677</v>
      </c>
      <c r="E15" s="34">
        <f>C37*'E Balans VL '!I15/100/3.6*1000000</f>
        <v>19.766691730422718</v>
      </c>
      <c r="F15" s="34">
        <f>C37*'E Balans VL '!L15/100/3.6*1000000+C37*'E Balans VL '!N15/100/3.6*1000000</f>
        <v>433.18496686603828</v>
      </c>
      <c r="G15" s="35"/>
      <c r="H15" s="34"/>
      <c r="I15" s="34"/>
      <c r="J15" s="41">
        <f>C37*'E Balans VL '!D15/100/3.6*1000000+C37*'E Balans VL '!E15/100/3.6*1000000</f>
        <v>11.062271665171654</v>
      </c>
      <c r="K15" s="34"/>
      <c r="L15" s="34"/>
      <c r="M15" s="34"/>
      <c r="N15" s="34">
        <f>C37*'E Balans VL '!Y15/100/3.6*1000000</f>
        <v>67.527958082839177</v>
      </c>
      <c r="O15" s="34"/>
      <c r="P15" s="34"/>
      <c r="R15" s="33"/>
    </row>
    <row r="16" spans="1:18">
      <c r="A16" s="17" t="s">
        <v>489</v>
      </c>
      <c r="B16" s="246">
        <f>'lokale energieproductie'!N42+'lokale energieproductie'!N33</f>
        <v>0</v>
      </c>
      <c r="C16" s="246">
        <f>'lokale energieproductie'!O42+'lokale energieproductie'!O33</f>
        <v>0</v>
      </c>
      <c r="D16" s="305">
        <f>('lokale energieproductie'!P33+'lokale energieproductie'!P42)*(-1)</f>
        <v>0</v>
      </c>
      <c r="E16" s="247"/>
      <c r="F16" s="305">
        <f>('lokale energieproductie'!S33+'lokale energieproductie'!S42)*(-1)</f>
        <v>0</v>
      </c>
      <c r="G16" s="248"/>
      <c r="H16" s="247"/>
      <c r="I16" s="247"/>
      <c r="J16" s="247"/>
      <c r="K16" s="247"/>
      <c r="L16" s="305">
        <f>('lokale energieproductie'!T33+'lokale energieproductie'!U33+'lokale energieproductie'!T42+'lokale energieproductie'!U42)*(-1)</f>
        <v>0</v>
      </c>
      <c r="M16" s="247"/>
      <c r="N16" s="305">
        <f>('lokale energieproductie'!Q33+'lokale energieproductie'!R33+'lokale energieproductie'!V33+'lokale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9363.3139116933835</v>
      </c>
      <c r="C18" s="22">
        <f>C5+C16</f>
        <v>0</v>
      </c>
      <c r="D18" s="22">
        <f>MAX((D5+D16),0)</f>
        <v>23846.634232726465</v>
      </c>
      <c r="E18" s="22">
        <f>MAX((E5+E16),0)</f>
        <v>109.69251909117477</v>
      </c>
      <c r="F18" s="22">
        <f>MAX((F5+F16),0)</f>
        <v>3798.0763627999227</v>
      </c>
      <c r="G18" s="22"/>
      <c r="H18" s="22"/>
      <c r="I18" s="22"/>
      <c r="J18" s="22">
        <f>MAX((J5+J16),0)</f>
        <v>48.938552143039402</v>
      </c>
      <c r="K18" s="22"/>
      <c r="L18" s="22">
        <f>MAX((L5+L16),0)</f>
        <v>0</v>
      </c>
      <c r="M18" s="22"/>
      <c r="N18" s="22">
        <f>MAX((N5+N16),0)</f>
        <v>329.95610821667441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0.15831276288180679</v>
      </c>
      <c r="C20" s="26">
        <f ca="1">'EF ele_warmte'!B22</f>
        <v>0.23727688128042965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1482.3320950898374</v>
      </c>
      <c r="C22" s="24">
        <f ca="1">C18*C20</f>
        <v>0</v>
      </c>
      <c r="D22" s="24">
        <f>D18*D20</f>
        <v>4817.0201150107459</v>
      </c>
      <c r="E22" s="24">
        <f>E18*E20</f>
        <v>24.900201833696674</v>
      </c>
      <c r="F22" s="24">
        <f>F18*F20</f>
        <v>1014.0863888675794</v>
      </c>
      <c r="G22" s="24"/>
      <c r="H22" s="24"/>
      <c r="I22" s="24"/>
      <c r="J22" s="24">
        <f>J18*J20</f>
        <v>17.324247458635949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1438.7777998255301</v>
      </c>
      <c r="C30" s="40">
        <f>IF(ISERROR(B30*3.6/1000000/'E Balans VL '!Z18*100),0,B30*3.6/1000000/'E Balans VL '!Z18*100)</f>
        <v>8.0058363535689209E-2</v>
      </c>
      <c r="D30" s="236" t="s">
        <v>685</v>
      </c>
    </row>
    <row r="31" spans="1:18">
      <c r="A31" s="6" t="s">
        <v>32</v>
      </c>
      <c r="B31" s="38">
        <f>IF( ISERROR(IND_ander_ele_kWh/1000),0,IND_ander_ele_kWh/1000)</f>
        <v>3195.5439395112999</v>
      </c>
      <c r="C31" s="40">
        <f>IF(ISERROR(B31*3.6/1000000/'E Balans VL '!Z19*100),0,B31*3.6/1000000/'E Balans VL '!Z19*100)</f>
        <v>0.14855244528215172</v>
      </c>
      <c r="D31" s="236" t="s">
        <v>685</v>
      </c>
    </row>
    <row r="32" spans="1:18">
      <c r="A32" s="171" t="s">
        <v>40</v>
      </c>
      <c r="B32" s="38">
        <f>IF( ISERROR(IND_voed_ele_kWh/1000),0,IND_voed_ele_kWh/1000)</f>
        <v>386.33862684005999</v>
      </c>
      <c r="C32" s="40">
        <f>IF(ISERROR(B32*3.6/1000000/'E Balans VL '!Z20*100),0,B32*3.6/1000000/'E Balans VL '!Z20*100)</f>
        <v>1.3656290214895549E-2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2116.6266740278697</v>
      </c>
      <c r="C34" s="40">
        <f>IF(ISERROR(B34*3.6/1000000/'E Balans VL '!Z22*100),0,B34*3.6/1000000/'E Balans VL '!Z22*100)</f>
        <v>0.42538227462386102</v>
      </c>
      <c r="D34" s="236" t="s">
        <v>685</v>
      </c>
    </row>
    <row r="35" spans="1:5">
      <c r="A35" s="171" t="s">
        <v>38</v>
      </c>
      <c r="B35" s="38">
        <f>IF( ISERROR(IND_papier_ele_kWh/1000),0,IND_papier_ele_kWh/1000)</f>
        <v>26.230345018103101</v>
      </c>
      <c r="C35" s="40">
        <f>IF(ISERROR(B35*3.6/1000000/'E Balans VL '!Z22*100),0,B35*3.6/1000000/'E Balans VL '!Z22*100)</f>
        <v>5.2715596778983237E-3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2199.7965264705199</v>
      </c>
      <c r="C37" s="40">
        <f>IF(ISERROR(B37*3.6/1000000/'E Balans VL '!Z15*100),0,B37*3.6/1000000/'E Balans VL '!Z15*100)</f>
        <v>1.6611713365708797E-2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4779.8766703658339</v>
      </c>
      <c r="C5" s="18">
        <f>'Eigen informatie GS &amp; warmtenet'!B60</f>
        <v>0</v>
      </c>
      <c r="D5" s="31">
        <f>IF(ISERROR(SUM(LB_lb_gas_kWh,LB_rest_gas_kWh)/1000),0,SUM(LB_lb_gas_kWh,LB_rest_gas_kWh)/1000)*0.902</f>
        <v>11026.340852853751</v>
      </c>
      <c r="E5" s="18">
        <f>B17*'E Balans VL '!I25/3.6*1000000/100</f>
        <v>45.029640857271225</v>
      </c>
      <c r="F5" s="18">
        <f>B17*('E Balans VL '!L25/3.6*1000000+'E Balans VL '!N25/3.6*1000000)/100</f>
        <v>15598.323877156412</v>
      </c>
      <c r="G5" s="19"/>
      <c r="H5" s="18"/>
      <c r="I5" s="18"/>
      <c r="J5" s="18">
        <f>('E Balans VL '!D25+'E Balans VL '!E25)/3.6*1000000*landbouw!B17/100</f>
        <v>591.29399343991224</v>
      </c>
      <c r="K5" s="18"/>
      <c r="L5" s="18">
        <f>L6*(-1)</f>
        <v>0</v>
      </c>
      <c r="M5" s="18"/>
      <c r="N5" s="18">
        <f>N6*(-1)</f>
        <v>21.730519480519479</v>
      </c>
      <c r="O5" s="18"/>
      <c r="P5" s="18"/>
      <c r="R5" s="33"/>
    </row>
    <row r="6" spans="1:18">
      <c r="A6" s="17" t="s">
        <v>489</v>
      </c>
      <c r="B6" s="18" t="s">
        <v>204</v>
      </c>
      <c r="C6" s="18">
        <f>'lokale energieproductie'!O44+'lokale energieproductie'!O35</f>
        <v>7525.8652597402597</v>
      </c>
      <c r="D6" s="305">
        <f>('lokale energieproductie'!P35+'lokale energieproductie'!P44)*(-1)</f>
        <v>-15030.000000000002</v>
      </c>
      <c r="E6" s="247"/>
      <c r="F6" s="305">
        <f>('lokale energieproductie'!S35+'lokale energieproductie'!S44)*(-1)</f>
        <v>0</v>
      </c>
      <c r="G6" s="248"/>
      <c r="H6" s="247"/>
      <c r="I6" s="247"/>
      <c r="J6" s="247"/>
      <c r="K6" s="247"/>
      <c r="L6" s="305">
        <f>('lokale energieproductie'!T35+'lokale energieproductie'!U35+'lokale energieproductie'!T44+'lokale energieproductie'!U44)*(-1)</f>
        <v>0</v>
      </c>
      <c r="M6" s="247"/>
      <c r="N6" s="305">
        <f>('lokale energieproductie'!V35+'lokale energieproductie'!R35+'lokale energieproductie'!Q35+'lokale energieproductie'!Q44+'lokale energieproductie'!R44+'lokale energieproductie'!V44)*(-1)</f>
        <v>-21.730519480519479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4779.8766703658339</v>
      </c>
      <c r="C8" s="22">
        <f>C5+C6</f>
        <v>7525.8652597402597</v>
      </c>
      <c r="D8" s="22">
        <f>MAX((D5+D6),0)</f>
        <v>0</v>
      </c>
      <c r="E8" s="22">
        <f>MAX((E5+E6),0)</f>
        <v>45.029640857271225</v>
      </c>
      <c r="F8" s="22">
        <f>MAX((F5+F6),0)</f>
        <v>15598.323877156412</v>
      </c>
      <c r="G8" s="22"/>
      <c r="H8" s="22"/>
      <c r="I8" s="22"/>
      <c r="J8" s="22">
        <f>MAX((J5+J6),0)</f>
        <v>591.29399343991224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0.15831276288180679</v>
      </c>
      <c r="C10" s="32">
        <f ca="1">'EF ele_warmte'!B22</f>
        <v>0.23727688128042965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756.71548191990644</v>
      </c>
      <c r="C12" s="24">
        <f ca="1">C8*C10</f>
        <v>1785.7138377678993</v>
      </c>
      <c r="D12" s="24">
        <f>D8*D10</f>
        <v>0</v>
      </c>
      <c r="E12" s="24">
        <f>E8*E10</f>
        <v>10.221728474600569</v>
      </c>
      <c r="F12" s="24">
        <f>F8*F10</f>
        <v>4164.7524752007621</v>
      </c>
      <c r="G12" s="24"/>
      <c r="H12" s="24"/>
      <c r="I12" s="24"/>
      <c r="J12" s="24">
        <f>J8*J10</f>
        <v>209.31807367772893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0.64711892117997805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974.9227624719183</v>
      </c>
      <c r="C26" s="246">
        <f>B26*'GWP N2O_CH4'!B5</f>
        <v>20473.378011910285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420.90886975282041</v>
      </c>
      <c r="C27" s="246">
        <f>B27*'GWP N2O_CH4'!B5</f>
        <v>8839.0862648092279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20.400070613267673</v>
      </c>
      <c r="C28" s="246">
        <f>B28*'GWP N2O_CH4'!B4</f>
        <v>6324.0218901129783</v>
      </c>
      <c r="D28" s="51"/>
    </row>
    <row r="29" spans="1:4">
      <c r="A29" s="42" t="s">
        <v>266</v>
      </c>
      <c r="B29" s="246">
        <f>B34*'ha_N2O bodem landbouw'!B4</f>
        <v>25.012179613527017</v>
      </c>
      <c r="C29" s="246">
        <f>B29*'GWP N2O_CH4'!B4</f>
        <v>7753.7756801933756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6.7525011055638521E-3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4.7001983455633247E-5</v>
      </c>
      <c r="C5" s="433" t="s">
        <v>204</v>
      </c>
      <c r="D5" s="418">
        <f>SUM(D6:D11)</f>
        <v>5.1233252227686073E-5</v>
      </c>
      <c r="E5" s="418">
        <f>SUM(E6:E11)</f>
        <v>3.7164604627051481E-3</v>
      </c>
      <c r="F5" s="431" t="s">
        <v>204</v>
      </c>
      <c r="G5" s="418">
        <f>SUM(G6:G11)</f>
        <v>1.1043950706456969</v>
      </c>
      <c r="H5" s="418">
        <f>SUM(H6:H11)</f>
        <v>0.12801947117354473</v>
      </c>
      <c r="I5" s="433" t="s">
        <v>204</v>
      </c>
      <c r="J5" s="433" t="s">
        <v>204</v>
      </c>
      <c r="K5" s="433" t="s">
        <v>204</v>
      </c>
      <c r="L5" s="433" t="s">
        <v>204</v>
      </c>
      <c r="M5" s="418">
        <f>SUM(M6:M11)</f>
        <v>5.5004720876782709E-2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1.643763810894116E-5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1.9144612555984867E-5</v>
      </c>
      <c r="E6" s="421">
        <f>vkm_GW_PW*SUMIFS(TableVerdeelsleutelVkm[LPG],TableVerdeelsleutelVkm[Voertuigtype],"Lichte voertuigen")*SUMIFS(TableECFTransport[EnergieConsumptieFactor (PJ per km)],TableECFTransport[Index],CONCATENATE($A6,"_LPG_LPG"))</f>
        <v>1.2420532666001538E-3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0.19378366139359673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4.6701831736076879E-2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1.0761741479088869E-2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5.4228179277600659E-7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8.9705376060237901E-2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2.4071148991027622E-6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3.9915965992396024E-3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2.4248466755554402E-6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4.6124756088280297E-6</v>
      </c>
      <c r="E8" s="421">
        <f>vkm_NGW_PW*SUMIFS(TableVerdeelsleutelVkm[LPG],TableVerdeelsleutelVkm[Voertuigtype],"Lichte voertuigen")*SUMIFS(TableECFTransport[EnergieConsumptieFactor (PJ per km)],TableECFTransport[Index],CONCATENATE($A8,"_LPG_LPG"))</f>
        <v>2.8352408239669771E-4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4.164338255452342E-2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1.0725657986969103E-2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2.344246375721162E-3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1.4270961858120506E-8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3.0272739113605682E-3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7.6461266872803433E-8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1.3470359497633175E-4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2.4634566663775553E-5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2.747616406287318E-5</v>
      </c>
      <c r="E10" s="421">
        <f>vkm_SW_PW*SUMIFS(TableVerdeelsleutelVkm[LPG],TableVerdeelsleutelVkm[Voertuigtype],"Lichte voertuigen")*SUMIFS(TableECFTransport[EnergieConsumptieFactor (PJ per km)],TableECFTransport[Index],CONCATENATE($A10,"_LPG_LPG"))</f>
        <v>2.1908831137082965E-3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0.31937368876432287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7.0576027316409953E-2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1.7443522593740129E-2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2.948379252726967E-6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0.45686168796165538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1.3470557922824224E-5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2.0328910234016617E-2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13.056106515453681</v>
      </c>
      <c r="C14" s="22"/>
      <c r="D14" s="22">
        <f t="shared" ref="D14:M14" si="0">((D5)*10^9/3600)+D12</f>
        <v>14.231458952135021</v>
      </c>
      <c r="E14" s="22">
        <f t="shared" si="0"/>
        <v>1032.3501285292077</v>
      </c>
      <c r="F14" s="22"/>
      <c r="G14" s="22">
        <f t="shared" si="0"/>
        <v>306776.4085126936</v>
      </c>
      <c r="H14" s="22">
        <f t="shared" si="0"/>
        <v>35560.964214873537</v>
      </c>
      <c r="I14" s="22"/>
      <c r="J14" s="22"/>
      <c r="K14" s="22"/>
      <c r="L14" s="22"/>
      <c r="M14" s="22">
        <f t="shared" si="0"/>
        <v>15279.089132439642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0.15831276288180679</v>
      </c>
      <c r="C16" s="57">
        <f ca="1">'EF ele_warmte'!B22</f>
        <v>0.23727688128042965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2.0669482949406315</v>
      </c>
      <c r="C18" s="24"/>
      <c r="D18" s="24">
        <f t="shared" ref="D18:M18" si="1">D14*D16</f>
        <v>2.8747547083312743</v>
      </c>
      <c r="E18" s="24">
        <f t="shared" si="1"/>
        <v>234.34347917613016</v>
      </c>
      <c r="F18" s="24"/>
      <c r="G18" s="24">
        <f t="shared" si="1"/>
        <v>81909.301072889197</v>
      </c>
      <c r="H18" s="24">
        <f t="shared" si="1"/>
        <v>8854.6800895035103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6.5743774288164249E-5</v>
      </c>
      <c r="C50" s="316">
        <f t="shared" ref="C50:P50" si="2">SUM(C51:C52)</f>
        <v>0</v>
      </c>
      <c r="D50" s="316">
        <f t="shared" si="2"/>
        <v>0</v>
      </c>
      <c r="E50" s="316">
        <f t="shared" si="2"/>
        <v>0</v>
      </c>
      <c r="F50" s="316">
        <f t="shared" si="2"/>
        <v>0</v>
      </c>
      <c r="G50" s="316">
        <f t="shared" si="2"/>
        <v>1.3112725399921589E-2</v>
      </c>
      <c r="H50" s="316">
        <f t="shared" si="2"/>
        <v>0</v>
      </c>
      <c r="I50" s="316">
        <f t="shared" si="2"/>
        <v>0</v>
      </c>
      <c r="J50" s="316">
        <f t="shared" si="2"/>
        <v>0</v>
      </c>
      <c r="K50" s="316">
        <f t="shared" si="2"/>
        <v>0</v>
      </c>
      <c r="L50" s="316">
        <f t="shared" si="2"/>
        <v>0</v>
      </c>
      <c r="M50" s="316">
        <f t="shared" si="2"/>
        <v>5.7956849684003063E-4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6.5743774288164249E-5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1.3112725399921589E-2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5.7956849684003063E-4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18.26215952449007</v>
      </c>
      <c r="C54" s="22">
        <f t="shared" ref="C54:P54" si="3">(C50)*10^9/3600</f>
        <v>0</v>
      </c>
      <c r="D54" s="22">
        <f t="shared" si="3"/>
        <v>0</v>
      </c>
      <c r="E54" s="22">
        <f t="shared" si="3"/>
        <v>0</v>
      </c>
      <c r="F54" s="22">
        <f t="shared" si="3"/>
        <v>0</v>
      </c>
      <c r="G54" s="22">
        <f t="shared" si="3"/>
        <v>3642.4237222004413</v>
      </c>
      <c r="H54" s="22">
        <f t="shared" si="3"/>
        <v>0</v>
      </c>
      <c r="I54" s="22">
        <f t="shared" si="3"/>
        <v>0</v>
      </c>
      <c r="J54" s="22">
        <f t="shared" si="3"/>
        <v>0</v>
      </c>
      <c r="K54" s="22">
        <f t="shared" si="3"/>
        <v>0</v>
      </c>
      <c r="L54" s="22">
        <f t="shared" si="3"/>
        <v>0</v>
      </c>
      <c r="M54" s="22">
        <f t="shared" si="3"/>
        <v>160.99124912223073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0.15831276288180679</v>
      </c>
      <c r="C56" s="57">
        <f ca="1">'EF ele_warmte'!B22</f>
        <v>0.23727688128042965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2.8911329305103259</v>
      </c>
      <c r="C58" s="24">
        <f t="shared" ref="C58:P58" ca="1" si="4">C54*C56</f>
        <v>0</v>
      </c>
      <c r="D58" s="24">
        <f t="shared" si="4"/>
        <v>0</v>
      </c>
      <c r="E58" s="24">
        <f t="shared" si="4"/>
        <v>0</v>
      </c>
      <c r="F58" s="24">
        <f t="shared" si="4"/>
        <v>0</v>
      </c>
      <c r="G58" s="24">
        <f t="shared" si="4"/>
        <v>972.5271338275179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6"/>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9932.805633004109</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8952.7688482826834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N32</f>
        <v>5272.6056818181814</v>
      </c>
      <c r="C8" s="544">
        <f>B53</f>
        <v>6193.4031307093637</v>
      </c>
      <c r="D8" s="967"/>
      <c r="E8" s="967">
        <f>E53</f>
        <v>0</v>
      </c>
      <c r="F8" s="968"/>
      <c r="G8" s="545"/>
      <c r="H8" s="967">
        <f>I53</f>
        <v>0</v>
      </c>
      <c r="I8" s="967">
        <f>G53+F53</f>
        <v>0</v>
      </c>
      <c r="J8" s="967">
        <f>H53+D53+C53</f>
        <v>8.9366445805172745</v>
      </c>
      <c r="K8" s="967"/>
      <c r="L8" s="967"/>
      <c r="M8" s="967"/>
      <c r="N8" s="546"/>
      <c r="O8" s="547">
        <f>C8*$C$12+D8*$D$12+E8*$E$12+F8*$F$12+G8*$G$12+H8*$H$12+I8*$I$12+J8*$J$12</f>
        <v>1251.0674324032916</v>
      </c>
      <c r="P8" s="1241"/>
      <c r="Q8" s="1242"/>
      <c r="S8" s="1004"/>
      <c r="T8" s="1262"/>
      <c r="U8" s="1262"/>
    </row>
    <row r="9" spans="1:21" s="532" customFormat="1" ht="17.45" customHeight="1" thickBot="1">
      <c r="A9" s="548" t="s">
        <v>237</v>
      </c>
      <c r="B9" s="969">
        <f>N41+'Eigen informatie GS &amp; warmtenet'!B12</f>
        <v>16920</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41078.180163104975</v>
      </c>
      <c r="C10" s="556">
        <f t="shared" ref="C10:L10" si="0">SUM(C8:C9)</f>
        <v>6193.4031307093637</v>
      </c>
      <c r="D10" s="556">
        <f t="shared" si="0"/>
        <v>0</v>
      </c>
      <c r="E10" s="556">
        <f t="shared" si="0"/>
        <v>0</v>
      </c>
      <c r="F10" s="556">
        <f t="shared" si="0"/>
        <v>0</v>
      </c>
      <c r="G10" s="556">
        <f t="shared" si="0"/>
        <v>0</v>
      </c>
      <c r="H10" s="556">
        <f t="shared" si="0"/>
        <v>0</v>
      </c>
      <c r="I10" s="556">
        <f t="shared" si="0"/>
        <v>0</v>
      </c>
      <c r="J10" s="556">
        <f t="shared" si="0"/>
        <v>48351.793787437673</v>
      </c>
      <c r="K10" s="556">
        <f t="shared" si="0"/>
        <v>0</v>
      </c>
      <c r="L10" s="556">
        <f t="shared" si="0"/>
        <v>0</v>
      </c>
      <c r="M10" s="971"/>
      <c r="N10" s="971"/>
      <c r="O10" s="557">
        <f>SUM(O4:O9)</f>
        <v>1251.0674324032916</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O32</f>
        <v>7548.3652597402597</v>
      </c>
      <c r="C17" s="568">
        <f>B54</f>
        <v>8866.596869290639</v>
      </c>
      <c r="D17" s="569"/>
      <c r="E17" s="569">
        <f>E54</f>
        <v>0</v>
      </c>
      <c r="F17" s="570"/>
      <c r="G17" s="571"/>
      <c r="H17" s="568">
        <f>I54</f>
        <v>0</v>
      </c>
      <c r="I17" s="569">
        <f>G54+F54</f>
        <v>0</v>
      </c>
      <c r="J17" s="569">
        <f>H54+D54+C54</f>
        <v>12.793874900002209</v>
      </c>
      <c r="K17" s="569"/>
      <c r="L17" s="569"/>
      <c r="M17" s="569"/>
      <c r="N17" s="974"/>
      <c r="O17" s="572">
        <f>C17*$C$22+E17*$E$22+H17*$H$22+I17*$I$22+J17*$J$22+D17*$D$22+F17*$F$22+G17*$G$22+K17*$K$22+L17*$L$22</f>
        <v>1791.0525675967092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7548.3652597402597</v>
      </c>
      <c r="C20" s="555">
        <f>SUM(C17:C19)</f>
        <v>8866.596869290639</v>
      </c>
      <c r="D20" s="555">
        <f t="shared" ref="D20:L20" si="1">SUM(D17:D19)</f>
        <v>0</v>
      </c>
      <c r="E20" s="555">
        <f t="shared" si="1"/>
        <v>0</v>
      </c>
      <c r="F20" s="555">
        <f t="shared" si="1"/>
        <v>0</v>
      </c>
      <c r="G20" s="555">
        <f t="shared" si="1"/>
        <v>0</v>
      </c>
      <c r="H20" s="555">
        <f t="shared" si="1"/>
        <v>0</v>
      </c>
      <c r="I20" s="555">
        <f t="shared" si="1"/>
        <v>0</v>
      </c>
      <c r="J20" s="555">
        <f t="shared" si="1"/>
        <v>12.793874900002209</v>
      </c>
      <c r="K20" s="555">
        <f t="shared" si="1"/>
        <v>0</v>
      </c>
      <c r="L20" s="555">
        <f t="shared" si="1"/>
        <v>0</v>
      </c>
      <c r="M20" s="555"/>
      <c r="N20" s="555"/>
      <c r="O20" s="576">
        <f>SUM(O17:O19)</f>
        <v>1791.0525675967092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11009</v>
      </c>
      <c r="C28" s="775">
        <v>2960</v>
      </c>
      <c r="D28" s="628"/>
      <c r="E28" s="627"/>
      <c r="F28" s="627"/>
      <c r="G28" s="627" t="s">
        <v>959</v>
      </c>
      <c r="H28" s="627" t="s">
        <v>960</v>
      </c>
      <c r="I28" s="627"/>
      <c r="J28" s="774"/>
      <c r="K28" s="774"/>
      <c r="L28" s="627" t="s">
        <v>961</v>
      </c>
      <c r="M28" s="627">
        <v>1169</v>
      </c>
      <c r="N28" s="627">
        <v>5260.5</v>
      </c>
      <c r="O28" s="627">
        <v>7515</v>
      </c>
      <c r="P28" s="627">
        <v>15030.000000000002</v>
      </c>
      <c r="Q28" s="627">
        <v>0</v>
      </c>
      <c r="R28" s="627">
        <v>0</v>
      </c>
      <c r="S28" s="627">
        <v>0</v>
      </c>
      <c r="T28" s="627">
        <v>0</v>
      </c>
      <c r="U28" s="627">
        <v>0</v>
      </c>
      <c r="V28" s="627">
        <v>0</v>
      </c>
      <c r="W28" s="627"/>
      <c r="X28" s="627">
        <v>10</v>
      </c>
      <c r="Y28" s="627" t="s">
        <v>105</v>
      </c>
      <c r="Z28" s="629" t="s">
        <v>105</v>
      </c>
    </row>
    <row r="29" spans="1:26" s="581" customFormat="1" ht="63.75" hidden="1">
      <c r="A29" s="580"/>
      <c r="B29" s="775">
        <v>11009</v>
      </c>
      <c r="C29" s="775">
        <v>2960</v>
      </c>
      <c r="D29" s="628"/>
      <c r="E29" s="627"/>
      <c r="F29" s="627"/>
      <c r="G29" s="627" t="s">
        <v>962</v>
      </c>
      <c r="H29" s="627" t="s">
        <v>962</v>
      </c>
      <c r="I29" s="627"/>
      <c r="J29" s="774"/>
      <c r="K29" s="774"/>
      <c r="L29" s="627" t="s">
        <v>961</v>
      </c>
      <c r="M29" s="627">
        <v>1</v>
      </c>
      <c r="N29" s="627">
        <v>4.5</v>
      </c>
      <c r="O29" s="627">
        <v>22.5</v>
      </c>
      <c r="P29" s="627">
        <v>30</v>
      </c>
      <c r="Q29" s="627">
        <v>0</v>
      </c>
      <c r="R29" s="627">
        <v>0</v>
      </c>
      <c r="S29" s="627">
        <v>0</v>
      </c>
      <c r="T29" s="627">
        <v>0</v>
      </c>
      <c r="U29" s="627">
        <v>0</v>
      </c>
      <c r="V29" s="627">
        <v>0</v>
      </c>
      <c r="W29" s="627"/>
      <c r="X29" s="627">
        <v>1600</v>
      </c>
      <c r="Y29" s="627" t="s">
        <v>49</v>
      </c>
      <c r="Z29" s="629" t="s">
        <v>149</v>
      </c>
    </row>
    <row r="30" spans="1:26" s="581" customFormat="1" ht="25.5" hidden="1">
      <c r="A30" s="580"/>
      <c r="B30" s="775">
        <v>11009</v>
      </c>
      <c r="C30" s="775">
        <v>2960</v>
      </c>
      <c r="D30" s="628"/>
      <c r="E30" s="627"/>
      <c r="F30" s="627"/>
      <c r="G30" s="627" t="s">
        <v>959</v>
      </c>
      <c r="H30" s="627" t="s">
        <v>960</v>
      </c>
      <c r="I30" s="627"/>
      <c r="J30" s="774"/>
      <c r="K30" s="774"/>
      <c r="L30" s="627" t="s">
        <v>961</v>
      </c>
      <c r="M30" s="627">
        <v>9.6999999999999993</v>
      </c>
      <c r="N30" s="627">
        <v>3.6374999999999993</v>
      </c>
      <c r="O30" s="627">
        <v>5.1964285714285703</v>
      </c>
      <c r="P30" s="627">
        <v>0</v>
      </c>
      <c r="Q30" s="627">
        <v>10.392857142857142</v>
      </c>
      <c r="R30" s="627">
        <v>0</v>
      </c>
      <c r="S30" s="627">
        <v>0</v>
      </c>
      <c r="T30" s="627">
        <v>0</v>
      </c>
      <c r="U30" s="627">
        <v>0</v>
      </c>
      <c r="V30" s="627">
        <v>0</v>
      </c>
      <c r="W30" s="627"/>
      <c r="X30" s="627">
        <v>10</v>
      </c>
      <c r="Y30" s="627" t="s">
        <v>105</v>
      </c>
      <c r="Z30" s="629" t="s">
        <v>105</v>
      </c>
    </row>
    <row r="31" spans="1:26" s="581" customFormat="1" ht="25.5" hidden="1">
      <c r="A31" s="580"/>
      <c r="B31" s="775">
        <v>11009</v>
      </c>
      <c r="C31" s="775">
        <v>2960</v>
      </c>
      <c r="D31" s="628"/>
      <c r="E31" s="627"/>
      <c r="F31" s="627"/>
      <c r="G31" s="627" t="s">
        <v>959</v>
      </c>
      <c r="H31" s="627" t="s">
        <v>960</v>
      </c>
      <c r="I31" s="627"/>
      <c r="J31" s="774"/>
      <c r="K31" s="774"/>
      <c r="L31" s="627" t="s">
        <v>961</v>
      </c>
      <c r="M31" s="627">
        <v>9.6999999999999993</v>
      </c>
      <c r="N31" s="627">
        <v>3.9681818181818178</v>
      </c>
      <c r="O31" s="627">
        <v>5.6688311688311686</v>
      </c>
      <c r="P31" s="627">
        <v>0</v>
      </c>
      <c r="Q31" s="627">
        <v>11.337662337662337</v>
      </c>
      <c r="R31" s="627">
        <v>0</v>
      </c>
      <c r="S31" s="627">
        <v>0</v>
      </c>
      <c r="T31" s="627">
        <v>0</v>
      </c>
      <c r="U31" s="627">
        <v>0</v>
      </c>
      <c r="V31" s="627">
        <v>0</v>
      </c>
      <c r="W31" s="627"/>
      <c r="X31" s="627">
        <v>10</v>
      </c>
      <c r="Y31" s="627" t="s">
        <v>105</v>
      </c>
      <c r="Z31" s="629" t="s">
        <v>105</v>
      </c>
    </row>
    <row r="32" spans="1:26" s="563" customFormat="1" hidden="1">
      <c r="A32" s="583" t="s">
        <v>269</v>
      </c>
      <c r="B32" s="584"/>
      <c r="C32" s="584"/>
      <c r="D32" s="584"/>
      <c r="E32" s="584"/>
      <c r="F32" s="584"/>
      <c r="G32" s="584"/>
      <c r="H32" s="584"/>
      <c r="I32" s="584"/>
      <c r="J32" s="584"/>
      <c r="K32" s="584"/>
      <c r="L32" s="585"/>
      <c r="M32" s="585">
        <f>SUM(M28:M31)</f>
        <v>1189.4000000000001</v>
      </c>
      <c r="N32" s="585">
        <f>SUM(N28:N31)</f>
        <v>5272.6056818181814</v>
      </c>
      <c r="O32" s="585">
        <f>SUM(O28:O31)</f>
        <v>7548.3652597402597</v>
      </c>
      <c r="P32" s="585">
        <f>SUM(P28:P31)</f>
        <v>15060.000000000002</v>
      </c>
      <c r="Q32" s="585">
        <f>SUM(Q28:Q31)</f>
        <v>21.730519480519479</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1</v>
      </c>
      <c r="N34" s="585">
        <f ca="1">SUMIF($Z$28:AD31,"tertiair",N28:N31)</f>
        <v>4.5</v>
      </c>
      <c r="O34" s="585">
        <f ca="1">SUMIF($Z$28:AE31,"tertiair",O28:O31)</f>
        <v>22.5</v>
      </c>
      <c r="P34" s="585">
        <f ca="1">SUMIF($Z$28:AF31,"tertiair",P28:P31)</f>
        <v>30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1188.4000000000001</v>
      </c>
      <c r="N35" s="590">
        <f>SUMIF($Z$28:$Z$31,"landbouw",N28:N31)</f>
        <v>5268.1056818181814</v>
      </c>
      <c r="O35" s="590">
        <f>SUMIF($Z$28:$Z$31,"landbouw",O28:O31)</f>
        <v>7525.8652597402597</v>
      </c>
      <c r="P35" s="590">
        <f>SUMIF($Z$28:$Z$31,"landbouw",P28:P31)</f>
        <v>15030.000000000002</v>
      </c>
      <c r="Q35" s="590">
        <f>SUMIF($Z$28:$Z$31,"landbouw",Q28:Q31)</f>
        <v>21.730519480519479</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535</v>
      </c>
      <c r="Q37" s="625" t="s">
        <v>96</v>
      </c>
      <c r="R37" s="625" t="s">
        <v>97</v>
      </c>
      <c r="S37" s="625" t="s">
        <v>98</v>
      </c>
      <c r="T37" s="625" t="s">
        <v>99</v>
      </c>
      <c r="U37" s="625" t="s">
        <v>100</v>
      </c>
      <c r="V37" s="625" t="s">
        <v>101</v>
      </c>
      <c r="W37" s="624" t="s">
        <v>102</v>
      </c>
      <c r="X37" s="624" t="s">
        <v>288</v>
      </c>
      <c r="Y37" s="624" t="s">
        <v>103</v>
      </c>
      <c r="Z37" s="626" t="s">
        <v>289</v>
      </c>
    </row>
    <row r="38" spans="1:27" s="596" customFormat="1" ht="63.75" hidden="1">
      <c r="A38" s="582"/>
      <c r="B38" s="775">
        <v>11009</v>
      </c>
      <c r="C38" s="775">
        <v>2960</v>
      </c>
      <c r="D38" s="630"/>
      <c r="E38" s="630"/>
      <c r="F38" s="630"/>
      <c r="G38" s="630" t="s">
        <v>964</v>
      </c>
      <c r="H38" s="630" t="s">
        <v>965</v>
      </c>
      <c r="I38" s="630"/>
      <c r="J38" s="774"/>
      <c r="K38" s="774"/>
      <c r="L38" s="630" t="s">
        <v>963</v>
      </c>
      <c r="M38" s="630">
        <v>312</v>
      </c>
      <c r="N38" s="630">
        <v>1404</v>
      </c>
      <c r="O38" s="630">
        <v>0</v>
      </c>
      <c r="P38" s="630">
        <v>0</v>
      </c>
      <c r="Q38" s="630">
        <v>0</v>
      </c>
      <c r="R38" s="630">
        <v>4011.4285714285716</v>
      </c>
      <c r="S38" s="630">
        <v>0</v>
      </c>
      <c r="T38" s="630">
        <v>0</v>
      </c>
      <c r="U38" s="630">
        <v>0</v>
      </c>
      <c r="V38" s="630">
        <v>0</v>
      </c>
      <c r="W38" s="630"/>
      <c r="X38" s="630">
        <v>1600</v>
      </c>
      <c r="Y38" s="630" t="s">
        <v>49</v>
      </c>
      <c r="Z38" s="631" t="s">
        <v>149</v>
      </c>
    </row>
    <row r="39" spans="1:27" s="596" customFormat="1" ht="63.75" hidden="1">
      <c r="A39" s="582"/>
      <c r="B39" s="775">
        <v>11009</v>
      </c>
      <c r="C39" s="775">
        <v>2960</v>
      </c>
      <c r="D39" s="630"/>
      <c r="E39" s="630"/>
      <c r="F39" s="630"/>
      <c r="G39" s="630" t="s">
        <v>966</v>
      </c>
      <c r="H39" s="630" t="s">
        <v>965</v>
      </c>
      <c r="I39" s="630"/>
      <c r="J39" s="774"/>
      <c r="K39" s="774"/>
      <c r="L39" s="630" t="s">
        <v>963</v>
      </c>
      <c r="M39" s="630">
        <v>1095</v>
      </c>
      <c r="N39" s="630">
        <v>4927.5</v>
      </c>
      <c r="O39" s="630">
        <v>0</v>
      </c>
      <c r="P39" s="630">
        <v>0</v>
      </c>
      <c r="Q39" s="630">
        <v>14078.571428571429</v>
      </c>
      <c r="R39" s="630">
        <v>0</v>
      </c>
      <c r="S39" s="630">
        <v>0</v>
      </c>
      <c r="T39" s="630">
        <v>0</v>
      </c>
      <c r="U39" s="630">
        <v>0</v>
      </c>
      <c r="V39" s="630">
        <v>0</v>
      </c>
      <c r="W39" s="630"/>
      <c r="X39" s="630">
        <v>1600</v>
      </c>
      <c r="Y39" s="630" t="s">
        <v>49</v>
      </c>
      <c r="Z39" s="631" t="s">
        <v>149</v>
      </c>
    </row>
    <row r="40" spans="1:27" s="596" customFormat="1" ht="63.75" hidden="1">
      <c r="A40" s="582"/>
      <c r="B40" s="775">
        <v>11009</v>
      </c>
      <c r="C40" s="775">
        <v>2960</v>
      </c>
      <c r="D40" s="630"/>
      <c r="E40" s="630"/>
      <c r="F40" s="630"/>
      <c r="G40" s="630" t="s">
        <v>967</v>
      </c>
      <c r="H40" s="630" t="s">
        <v>965</v>
      </c>
      <c r="I40" s="630"/>
      <c r="J40" s="774"/>
      <c r="K40" s="774"/>
      <c r="L40" s="630" t="s">
        <v>963</v>
      </c>
      <c r="M40" s="630">
        <v>2353</v>
      </c>
      <c r="N40" s="630">
        <v>10588.500000000002</v>
      </c>
      <c r="O40" s="630">
        <v>0</v>
      </c>
      <c r="P40" s="630">
        <v>0</v>
      </c>
      <c r="Q40" s="630">
        <v>30252.857142857149</v>
      </c>
      <c r="R40" s="630">
        <v>0</v>
      </c>
      <c r="S40" s="630">
        <v>0</v>
      </c>
      <c r="T40" s="630">
        <v>0</v>
      </c>
      <c r="U40" s="630">
        <v>0</v>
      </c>
      <c r="V40" s="630">
        <v>0</v>
      </c>
      <c r="W40" s="630"/>
      <c r="X40" s="630">
        <v>1600</v>
      </c>
      <c r="Y40" s="630" t="s">
        <v>49</v>
      </c>
      <c r="Z40" s="631" t="s">
        <v>149</v>
      </c>
    </row>
    <row r="41" spans="1:27" s="563" customFormat="1" hidden="1">
      <c r="A41" s="583" t="s">
        <v>269</v>
      </c>
      <c r="B41" s="584"/>
      <c r="C41" s="584"/>
      <c r="D41" s="584"/>
      <c r="E41" s="584"/>
      <c r="F41" s="584"/>
      <c r="G41" s="584"/>
      <c r="H41" s="584"/>
      <c r="I41" s="584"/>
      <c r="J41" s="584"/>
      <c r="K41" s="584"/>
      <c r="L41" s="585"/>
      <c r="M41" s="585">
        <f>SUM(M38:M40)</f>
        <v>3760</v>
      </c>
      <c r="N41" s="585">
        <f>SUM(N38:N40)</f>
        <v>16920</v>
      </c>
      <c r="O41" s="585">
        <f>SUM(O38:O40)</f>
        <v>0</v>
      </c>
      <c r="P41" s="585">
        <f>SUM(P38:P40)</f>
        <v>0</v>
      </c>
      <c r="Q41" s="585">
        <f>SUM(Q38:Q40)</f>
        <v>44331.42857142858</v>
      </c>
      <c r="R41" s="585">
        <f>SUM(R38:R40)</f>
        <v>4011.4285714285716</v>
      </c>
      <c r="S41" s="585">
        <f>SUM(S38:S40)</f>
        <v>0</v>
      </c>
      <c r="T41" s="585">
        <f>SUM(T38:T40)</f>
        <v>0</v>
      </c>
      <c r="U41" s="585">
        <f>SUM(U38:U40)</f>
        <v>0</v>
      </c>
      <c r="V41" s="585">
        <f>SUM(V38:V40)</f>
        <v>0</v>
      </c>
      <c r="W41" s="585">
        <f>SUM(W38:W40)</f>
        <v>0</v>
      </c>
      <c r="X41" s="586"/>
      <c r="Y41" s="586"/>
      <c r="Z41" s="587"/>
    </row>
    <row r="42" spans="1:27" s="563" customFormat="1">
      <c r="A42" s="583" t="s">
        <v>276</v>
      </c>
      <c r="B42" s="584"/>
      <c r="C42" s="584"/>
      <c r="D42" s="584"/>
      <c r="E42" s="584"/>
      <c r="F42" s="584"/>
      <c r="G42" s="584"/>
      <c r="H42" s="584"/>
      <c r="I42" s="584"/>
      <c r="J42" s="584"/>
      <c r="K42" s="584"/>
      <c r="L42" s="585"/>
      <c r="M42" s="585">
        <f>SUMIF($Z$38:$Z$40,"industrie",M38:M40)</f>
        <v>0</v>
      </c>
      <c r="N42" s="585">
        <f>SUMIF($Z$38:$Z$40,"industrie",N38:N40)</f>
        <v>0</v>
      </c>
      <c r="O42" s="585">
        <f>SUMIF($Z$38:$Z$40,"industrie",O38:O40)</f>
        <v>0</v>
      </c>
      <c r="P42" s="585">
        <f>SUMIF($Z$38:$Z$40,"industrie",P38:P40)</f>
        <v>0</v>
      </c>
      <c r="Q42" s="585">
        <f>SUMIF($Z$38:$Z$40,"industrie",Q38:Q40)</f>
        <v>0</v>
      </c>
      <c r="R42" s="585">
        <f>SUMIF($Z$38:$Z$40,"industrie",R38:R40)</f>
        <v>0</v>
      </c>
      <c r="S42" s="585">
        <f>SUMIF($Z$38:$Z$40,"industrie",S38:S40)</f>
        <v>0</v>
      </c>
      <c r="T42" s="585">
        <f>SUMIF($Z$38:$Z$40,"industrie",T38:T40)</f>
        <v>0</v>
      </c>
      <c r="U42" s="585">
        <f>SUMIF($Z$38:$Z$40,"industrie",U38:U40)</f>
        <v>0</v>
      </c>
      <c r="V42" s="585">
        <f>SUMIF($Z$38:$Z$40,"industrie",V38:V40)</f>
        <v>0</v>
      </c>
      <c r="W42" s="585">
        <f>SUMIF($Z$38:$Z$40,"industrie",W38:W40)</f>
        <v>0</v>
      </c>
      <c r="X42" s="586"/>
      <c r="Y42" s="586"/>
      <c r="Z42" s="587"/>
    </row>
    <row r="43" spans="1:27" s="563" customFormat="1">
      <c r="A43" s="583" t="s">
        <v>277</v>
      </c>
      <c r="B43" s="584"/>
      <c r="C43" s="584"/>
      <c r="D43" s="584"/>
      <c r="E43" s="584"/>
      <c r="F43" s="584"/>
      <c r="G43" s="584"/>
      <c r="H43" s="584"/>
      <c r="I43" s="584"/>
      <c r="J43" s="584"/>
      <c r="K43" s="584"/>
      <c r="L43" s="585"/>
      <c r="M43" s="585">
        <f>SUMIF($Z$38:$Z$41,"tertiair",M38:M41)</f>
        <v>3760</v>
      </c>
      <c r="N43" s="585">
        <f>SUMIF($Z$38:$Z$41,"tertiair",N38:N41)</f>
        <v>16920</v>
      </c>
      <c r="O43" s="585">
        <f>SUMIF($Z$38:$Z$41,"tertiair",O38:O41)</f>
        <v>0</v>
      </c>
      <c r="P43" s="585">
        <f>SUMIF($Z$38:$Z$41,"tertiair",P38:P41)</f>
        <v>0</v>
      </c>
      <c r="Q43" s="585">
        <f>SUMIF($Z$38:$Z$41,"tertiair",Q38:Q41)</f>
        <v>44331.42857142858</v>
      </c>
      <c r="R43" s="585">
        <f>SUMIF($Z$38:$Z$41,"tertiair",R38:R41)</f>
        <v>4011.4285714285716</v>
      </c>
      <c r="S43" s="585">
        <f>SUMIF($Z$38:$Z$41,"tertiair",S38:S41)</f>
        <v>0</v>
      </c>
      <c r="T43" s="585">
        <f>SUMIF($Z$38:$Z$41,"tertiair",T38:T41)</f>
        <v>0</v>
      </c>
      <c r="U43" s="585">
        <f>SUMIF($Z$38:$Z$41,"tertiair",U38:U41)</f>
        <v>0</v>
      </c>
      <c r="V43" s="585">
        <f>SUMIF($Z$38:$Z$41,"tertiair",V38:V41)</f>
        <v>0</v>
      </c>
      <c r="W43" s="585">
        <f>SUMIF($Z$38:$Z$41,"tertiair",W38:W41)</f>
        <v>0</v>
      </c>
      <c r="X43" s="586"/>
      <c r="Y43" s="586"/>
      <c r="Z43" s="587"/>
    </row>
    <row r="44" spans="1:27" s="563" customFormat="1" ht="15.75" thickBot="1">
      <c r="A44" s="588" t="s">
        <v>278</v>
      </c>
      <c r="B44" s="589"/>
      <c r="C44" s="589"/>
      <c r="D44" s="589"/>
      <c r="E44" s="589"/>
      <c r="F44" s="589"/>
      <c r="G44" s="589"/>
      <c r="H44" s="589"/>
      <c r="I44" s="589"/>
      <c r="J44" s="589"/>
      <c r="K44" s="589"/>
      <c r="L44" s="590"/>
      <c r="M44" s="590">
        <f>SUMIF($Z$38:$Z$42,"landbouw",M38:M42)</f>
        <v>0</v>
      </c>
      <c r="N44" s="590">
        <f>SUMIF($Z$38:$Z$42,"landbouw",N38:N42)</f>
        <v>0</v>
      </c>
      <c r="O44" s="590">
        <f>SUMIF($Z$38:$Z$42,"landbouw",O38:O42)</f>
        <v>0</v>
      </c>
      <c r="P44" s="590">
        <f>SUMIF($Z$38:$Z$42,"landbouw",P38:P42)</f>
        <v>0</v>
      </c>
      <c r="Q44" s="590">
        <f>SUMIF($Z$38:$Z$42,"landbouw",Q38:Q42)</f>
        <v>0</v>
      </c>
      <c r="R44" s="590">
        <f>SUMIF($Z$38:$Z$42,"landbouw",R38:R42)</f>
        <v>0</v>
      </c>
      <c r="S44" s="590">
        <f>SUMIF($Z$38:$Z$42,"landbouw",S38:S42)</f>
        <v>0</v>
      </c>
      <c r="T44" s="590">
        <f>SUMIF($Z$38:$Z$42,"landbouw",T38:T42)</f>
        <v>0</v>
      </c>
      <c r="U44" s="590">
        <f>SUMIF($Z$38:$Z$42,"landbouw",U38:U42)</f>
        <v>0</v>
      </c>
      <c r="V44" s="590">
        <f>SUMIF($Z$38:$Z$42,"landbouw",V38:V42)</f>
        <v>0</v>
      </c>
      <c r="W44" s="590">
        <f>SUMIF($Z$38:$Z$42,"landbouw",W38:W42)</f>
        <v>0</v>
      </c>
      <c r="X44" s="591"/>
      <c r="Y44" s="591"/>
      <c r="Z44" s="592"/>
    </row>
    <row r="45" spans="1:27" s="597" customForma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row>
    <row r="46" spans="1:27" s="597" customFormat="1" ht="15.75" thickBo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row>
    <row r="47" spans="1:27">
      <c r="A47" s="598" t="s">
        <v>271</v>
      </c>
      <c r="B47" s="599"/>
      <c r="C47" s="599"/>
      <c r="D47" s="599"/>
      <c r="E47" s="599"/>
      <c r="F47" s="599"/>
      <c r="G47" s="599"/>
      <c r="H47" s="599"/>
      <c r="I47" s="600"/>
      <c r="J47" s="601"/>
      <c r="K47" s="601"/>
      <c r="L47" s="602"/>
      <c r="M47" s="602"/>
      <c r="N47" s="602"/>
      <c r="O47" s="602"/>
      <c r="P47" s="602"/>
    </row>
    <row r="48" spans="1:27">
      <c r="A48" s="604"/>
      <c r="B48" s="594"/>
      <c r="C48" s="594"/>
      <c r="D48" s="594"/>
      <c r="E48" s="594"/>
      <c r="F48" s="594"/>
      <c r="G48" s="594"/>
      <c r="H48" s="594"/>
      <c r="I48" s="605"/>
      <c r="J48" s="594"/>
      <c r="K48" s="594"/>
      <c r="L48" s="602"/>
      <c r="M48" s="602"/>
      <c r="N48" s="602"/>
      <c r="O48" s="602"/>
      <c r="P48" s="602"/>
    </row>
    <row r="49" spans="1:16">
      <c r="A49" s="606"/>
      <c r="B49" s="607" t="s">
        <v>272</v>
      </c>
      <c r="C49" s="607" t="s">
        <v>273</v>
      </c>
      <c r="D49" s="607"/>
      <c r="E49" s="607"/>
      <c r="F49" s="607"/>
      <c r="G49" s="607"/>
      <c r="H49" s="607"/>
      <c r="I49" s="608"/>
      <c r="J49" s="607"/>
      <c r="K49" s="607"/>
      <c r="L49" s="607"/>
      <c r="M49" s="607"/>
      <c r="N49" s="607"/>
      <c r="O49" s="607"/>
      <c r="P49" s="602"/>
    </row>
    <row r="50" spans="1:16">
      <c r="A50" s="604" t="s">
        <v>269</v>
      </c>
      <c r="B50" s="609">
        <f>IF(ISERROR(O32/(O32+N32)),0,O32/(O32+N32))</f>
        <v>0.58875145214413271</v>
      </c>
      <c r="C50" s="610">
        <f>IF(ISERROR(N32/(O32+N32)),0,N32/(N32+O32))</f>
        <v>0.4112485478558674</v>
      </c>
      <c r="D50" s="577"/>
      <c r="E50" s="577"/>
      <c r="F50" s="577"/>
      <c r="G50" s="577"/>
      <c r="H50" s="577"/>
      <c r="I50" s="611"/>
      <c r="J50" s="577"/>
      <c r="K50" s="577"/>
      <c r="L50" s="612"/>
      <c r="M50" s="612"/>
      <c r="N50" s="612"/>
      <c r="O50" s="612"/>
      <c r="P50" s="602"/>
    </row>
    <row r="51" spans="1:16">
      <c r="A51" s="604"/>
      <c r="B51" s="613"/>
      <c r="C51" s="613"/>
      <c r="D51" s="613"/>
      <c r="E51" s="613"/>
      <c r="F51" s="613"/>
      <c r="G51" s="613"/>
      <c r="H51" s="613"/>
      <c r="I51" s="614"/>
      <c r="J51" s="613"/>
      <c r="K51" s="613"/>
      <c r="L51" s="615"/>
      <c r="M51" s="615"/>
      <c r="N51" s="615"/>
      <c r="O51" s="615"/>
      <c r="P51" s="602"/>
    </row>
    <row r="52" spans="1:16" ht="30">
      <c r="A52" s="616"/>
      <c r="B52" s="617" t="s">
        <v>535</v>
      </c>
      <c r="C52" s="617" t="s">
        <v>96</v>
      </c>
      <c r="D52" s="617" t="s">
        <v>97</v>
      </c>
      <c r="E52" s="617" t="s">
        <v>98</v>
      </c>
      <c r="F52" s="617" t="s">
        <v>99</v>
      </c>
      <c r="G52" s="617" t="s">
        <v>100</v>
      </c>
      <c r="H52" s="617" t="s">
        <v>101</v>
      </c>
      <c r="I52" s="618" t="s">
        <v>102</v>
      </c>
      <c r="J52" s="607"/>
      <c r="K52" s="607"/>
      <c r="L52" s="615"/>
      <c r="M52" s="615"/>
      <c r="N52" s="615"/>
      <c r="O52" s="602"/>
      <c r="P52" s="602"/>
    </row>
    <row r="53" spans="1:16">
      <c r="A53" s="606" t="s">
        <v>274</v>
      </c>
      <c r="B53" s="619">
        <f t="shared" ref="B53:I53" si="2">$C$50*P32</f>
        <v>6193.4031307093637</v>
      </c>
      <c r="C53" s="619">
        <f t="shared" si="2"/>
        <v>8.9366445805172745</v>
      </c>
      <c r="D53" s="619">
        <f t="shared" si="2"/>
        <v>0</v>
      </c>
      <c r="E53" s="619">
        <f t="shared" si="2"/>
        <v>0</v>
      </c>
      <c r="F53" s="619">
        <f t="shared" si="2"/>
        <v>0</v>
      </c>
      <c r="G53" s="619">
        <f t="shared" si="2"/>
        <v>0</v>
      </c>
      <c r="H53" s="619">
        <f t="shared" si="2"/>
        <v>0</v>
      </c>
      <c r="I53" s="620">
        <f t="shared" si="2"/>
        <v>0</v>
      </c>
      <c r="J53" s="577"/>
      <c r="K53" s="577"/>
      <c r="L53" s="615"/>
      <c r="M53" s="615"/>
      <c r="N53" s="615"/>
      <c r="O53" s="602"/>
      <c r="P53" s="602"/>
    </row>
    <row r="54" spans="1:16" ht="15.75" thickBot="1">
      <c r="A54" s="621" t="s">
        <v>275</v>
      </c>
      <c r="B54" s="622">
        <f t="shared" ref="B54:I54" si="3">$B$50*P32</f>
        <v>8866.596869290639</v>
      </c>
      <c r="C54" s="622">
        <f t="shared" si="3"/>
        <v>12.793874900002209</v>
      </c>
      <c r="D54" s="622">
        <f t="shared" si="3"/>
        <v>0</v>
      </c>
      <c r="E54" s="622">
        <f t="shared" si="3"/>
        <v>0</v>
      </c>
      <c r="F54" s="622">
        <f t="shared" si="3"/>
        <v>0</v>
      </c>
      <c r="G54" s="622">
        <f t="shared" si="3"/>
        <v>0</v>
      </c>
      <c r="H54" s="622">
        <f t="shared" si="3"/>
        <v>0</v>
      </c>
      <c r="I54" s="623">
        <f t="shared" si="3"/>
        <v>0</v>
      </c>
      <c r="J54" s="577"/>
      <c r="K54" s="577"/>
      <c r="L54" s="615"/>
      <c r="M54" s="615"/>
      <c r="N54" s="615"/>
      <c r="O54" s="602"/>
      <c r="P54" s="602"/>
    </row>
    <row r="55" spans="1:16">
      <c r="J55" s="561"/>
      <c r="K55" s="561"/>
      <c r="L55" s="561"/>
      <c r="M55" s="561"/>
      <c r="N55" s="561"/>
    </row>
    <row r="56" spans="1:16">
      <c r="J56" s="561"/>
      <c r="K56" s="561"/>
      <c r="L56" s="561"/>
      <c r="M56" s="561"/>
      <c r="N56"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2021-11-11T13:29:08Z</dcterms:modified>
</cp:coreProperties>
</file>