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A6DADBC-3C60-460C-A20E-9B86A5A123C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D50" i="18"/>
  <c r="F50" i="18"/>
  <c r="N6" i="17"/>
  <c r="L6" i="17"/>
  <c r="F6" i="17"/>
  <c r="D6" i="17"/>
  <c r="C6" i="17"/>
  <c r="N16" i="16"/>
  <c r="L16" i="16"/>
  <c r="F16" i="16"/>
  <c r="D16" i="16"/>
  <c r="C16" i="16"/>
  <c r="B16" i="16"/>
  <c r="B13" i="15"/>
  <c r="G50"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<sst xmlns="http://schemas.openxmlformats.org/spreadsheetml/2006/main" count="2568" uniqueCount="962">
  <si>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</si>
  <si>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</si>
  <si>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</si>
  <si>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</si>
  <si>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</si>
  <si>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</si>
  <si>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</si>
  <si>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</si>
  <si>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</si>
  <si>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</si>
  <si>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</si>
  <si>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</si>
  <si>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</si>
  <si>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</si>
  <si>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</si>
  <si>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</si>
  <si>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</si>
  <si>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</si>
  <si>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</si>
  <si>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</si>
  <si>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</si>
  <si>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</si>
  <si>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</si>
  <si>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</si>
  <si>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</si>
  <si>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</si>
  <si>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</si>
  <si>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</si>
  <si>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</si>
  <si>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</si>
  <si>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</si>
  <si>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</si>
  <si>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</si>
  <si>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</si>
  <si>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</si>
  <si>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</si>
  <si>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</si>
  <si>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</si>
  <si>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</si>
  <si>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</si>
  <si>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</si>
  <si>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</si>
  <si>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</si>
  <si>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</si>
  <si>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</si>
  <si>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</si>
  <si>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</si>
  <si>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</si>
  <si>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</si>
  <si>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</si>
  <si>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</si>
  <si>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</si>
  <si>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</si>
  <si>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</si>
  <si>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</si>
  <si>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</si>
  <si>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</si>
  <si>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</si>
  <si>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</si>
  <si>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</si>
  <si>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</si>
  <si>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</si>
  <si>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</si>
  <si>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</si>
  <si>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</si>
  <si>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</si>
  <si>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</si>
  <si>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</si>
  <si>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</si>
  <si>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</si>
  <si>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</si>
  <si>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</si>
  <si>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</si>
  <si>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</si>
  <si>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</si>
  <si>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</si>
  <si>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</si>
  <si>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</si>
  <si>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</si>
  <si>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</si>
  <si>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</si>
  <si>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</si>
  <si>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</si>
  <si>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</si>
  <si>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</si>
  <si>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</si>
  <si>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</si>
  <si>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</si>
  <si>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</si>
  <si>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</si>
  <si>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</si>
  <si>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</si>
  <si>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</si>
  <si>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</si>
  <si>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</si>
  <si>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</si>
  <si>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</si>
  <si>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</si>
  <si>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</si>
  <si>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</si>
  <si>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</si>
  <si>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</si>
  <si>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</si>
  <si>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</si>
  <si>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</si>
  <si>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</si>
  <si>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</si>
  <si>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</si>
  <si>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</si>
  <si>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</si>
  <si>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</si>
  <si>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</si>
  <si>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</si>
  <si>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</si>
  <si>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</si>
  <si>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</si>
  <si>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</si>
  <si>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</si>
  <si>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</si>
  <si>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</si>
  <si>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</si>
  <si>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</si>
  <si>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</si>
  <si>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</si>
  <si>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</si>
  <si>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</si>
  <si>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</si>
  <si>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</si>
  <si>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</si>
  <si>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</si>
  <si>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</si>
  <si>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</si>
  <si>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</si>
  <si>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</si>
  <si>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</si>
  <si>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</si>
  <si>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</si>
  <si>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</si>
  <si>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</si>
  <si>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</si>
  <si>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</si>
  <si>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</si>
  <si>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</si>
  <si>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</si>
  <si>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</si>
  <si>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</si>
  <si>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</si>
  <si>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</si>
  <si>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</si>
  <si>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</si>
  <si>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</si>
  <si>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</si>
  <si>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</si>
  <si>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</si>
  <si>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</si>
  <si>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</si>
  <si>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</si>
  <si>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</si>
  <si>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</si>
  <si>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</si>
  <si>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</si>
  <si>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</si>
  <si>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</si>
  <si>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</si>
  <si>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</si>
  <si>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</si>
  <si>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</si>
  <si>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</si>
  <si>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</si>
  <si>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</si>
  <si>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</si>
  <si>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</si>
  <si>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</si>
  <si>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</si>
  <si>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</si>
  <si>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</si>
  <si>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</si>
  <si>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</si>
  <si>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</si>
  <si>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</si>
  <si>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</si>
  <si>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</si>
  <si>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</si>
  <si>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</si>
  <si>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</si>
  <si>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</si>
  <si>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</si>
  <si>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</si>
  <si>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</si>
  <si>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</si>
  <si>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</si>
  <si>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</si>
  <si>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</si>
  <si>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</si>
  <si>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</si>
  <si>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</si>
  <si>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</si>
  <si>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</si>
  <si>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</si>
  <si>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</si>
  <si>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</si>
  <si>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</si>
  <si>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</si>
  <si>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</si>
  <si>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</si>
  <si>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</si>
  <si>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</si>
  <si>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</si>
  <si>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</si>
  <si>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</si>
  <si>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</si>
  <si>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</si>
  <si>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</si>
  <si>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</si>
  <si>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</si>
  <si>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</si>
  <si>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</si>
  <si>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</si>
  <si>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</si>
  <si>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</si>
  <si>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</si>
  <si>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</si>
  <si>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</si>
  <si>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</si>
  <si>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</si>
  <si>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</si>
  <si>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</si>
  <si>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</si>
  <si>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</si>
  <si>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</si>
  <si>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</si>
  <si>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</si>
  <si>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</si>
  <si>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</si>
  <si>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</si>
  <si>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</si>
  <si>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</si>
  <si>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</si>
  <si>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</si>
  <si>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</si>
  <si>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</si>
  <si>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</si>
  <si>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</si>
  <si>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</si>
  <si>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</si>
  <si>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</si>
  <si>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</si>
  <si>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</si>
  <si>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</si>
  <si>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</si>
  <si>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</si>
  <si>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</si>
  <si>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</si>
  <si>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</si>
  <si>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</si>
  <si>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</si>
  <si>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</si>
  <si>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</si>
  <si>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</si>
  <si>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</si>
  <si>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</si>
  <si>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</si>
  <si>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</si>
  <si>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</si>
  <si>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</si>
  <si>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</si>
  <si>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</si>
  <si>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</si>
  <si>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</si>
  <si>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</si>
  <si>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</si>
  <si>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</si>
  <si>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</si>
  <si>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</si>
  <si>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</si>
  <si>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</si>
  <si>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</si>
  <si>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</si>
  <si>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</si>
  <si>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</si>
  <si>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</si>
  <si>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</si>
  <si>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</si>
  <si>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</si>
  <si>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</si>
  <si>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</si>
  <si>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</si>
  <si>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</si>
  <si>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</si>
  <si>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</si>
  <si>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</si>
  <si>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</si>
  <si>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</si>
  <si>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</si>
  <si>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</si>
  <si>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</si>
  <si>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</si>
  <si>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</si>
  <si>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</si>
  <si>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</si>
  <si>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</si>
  <si>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</si>
  <si>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</si>
  <si>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</si>
  <si>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</si>
  <si>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</si>
  <si>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</si>
  <si>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</si>
  <si>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</si>
  <si>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</si>
  <si>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</si>
  <si>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</si>
  <si>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</si>
  <si>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</si>
  <si>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</si>
  <si>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</si>
  <si>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</si>
  <si>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</si>
  <si>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</si>
  <si>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</si>
  <si>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</si>
  <si>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</si>
  <si>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</si>
  <si>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</si>
  <si>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</si>
  <si>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</si>
  <si>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</si>
  <si>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</si>
  <si>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</si>
  <si>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</si>
  <si>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</si>
  <si>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</si>
  <si>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</si>
  <si>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</si>
  <si>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</si>
  <si>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</si>
  <si>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</si>
  <si>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</si>
  <si>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</si>
  <si>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</si>
  <si>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</si>
  <si>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</si>
  <si>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</si>
  <si>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</si>
  <si>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</si>
  <si>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</si>
  <si>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</si>
  <si>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</si>
  <si>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</si>
  <si>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</si>
  <si>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</si>
  <si>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</si>
  <si>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</si>
  <si>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</si>
  <si>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</si>
  <si>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</si>
  <si>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</si>
  <si>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</si>
  <si>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</si>
  <si>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</si>
  <si>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</si>
  <si>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</si>
  <si>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</si>
  <si>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</si>
  <si>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</si>
  <si>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</si>
  <si>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</si>
  <si>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</si>
  <si>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</si>
  <si>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</si>
  <si>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</si>
  <si>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</si>
  <si>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</si>
  <si>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</si>
  <si>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</si>
  <si>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</si>
  <si>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</si>
  <si>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</si>
  <si>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</si>
  <si>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</si>
  <si>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</si>
  <si>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</si>
  <si>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</si>
  <si>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</si>
  <si>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</si>
  <si>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</si>
  <si>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</si>
  <si>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</si>
  <si>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</si>
  <si>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</si>
  <si>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</si>
  <si>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</si>
  <si>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</si>
  <si>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</si>
  <si>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</si>
  <si>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</si>
  <si>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</si>
  <si>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</si>
  <si>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</si>
  <si>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</si>
  <si>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</si>
  <si>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</si>
  <si>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</si>
  <si>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</si>
  <si>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</si>
  <si>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</si>
  <si>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</si>
  <si>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</si>
  <si>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</si>
  <si>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</si>
  <si>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</si>
  <si>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</si>
  <si>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</si>
  <si>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</si>
  <si>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</si>
  <si>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</si>
  <si>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</si>
  <si>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</si>
  <si>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</si>
  <si>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</si>
  <si>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</si>
  <si>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</si>
  <si>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</si>
  <si>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</si>
  <si>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</si>
  <si>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</si>
  <si>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</si>
  <si>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</si>
  <si>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</si>
  <si>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</si>
  <si>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</si>
  <si>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</si>
  <si>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</si>
  <si>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</si>
  <si>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</si>
  <si>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</si>
  <si>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</si>
  <si>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</si>
  <si>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</si>
  <si>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</si>
  <si>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</si>
  <si>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</si>
  <si>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</si>
  <si>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</si>
  <si>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</si>
  <si>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</si>
  <si>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</si>
  <si>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</si>
  <si>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</si>
  <si>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</si>
  <si>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</si>
  <si>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</si>
  <si>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</si>
  <si>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</si>
  <si>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</si>
  <si>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</si>
  <si>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</si>
  <si>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</si>
  <si>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</si>
  <si>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</si>
  <si>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</si>
  <si>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</si>
  <si>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</si>
  <si>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</si>
  <si>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</si>
  <si>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</si>
  <si>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</si>
  <si>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</si>
  <si>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</si>
  <si>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</si>
  <si>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</si>
  <si>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</si>
  <si>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</si>
  <si>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</si>
  <si>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</si>
  <si>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</si>
  <si>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</si>
  <si>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</si>
  <si>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</si>
  <si>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</si>
  <si>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</si>
  <si>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</si>
  <si>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</si>
  <si>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</si>
  <si>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</si>
  <si>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</si>
  <si>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</si>
  <si>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</si>
  <si>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</si>
  <si>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</si>
  <si>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</si>
  <si>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</si>
  <si>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</si>
  <si>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</si>
  <si>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</si>
  <si>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</si>
  <si>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</si>
  <si>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</si>
  <si>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</si>
  <si>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</si>
  <si>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</si>
  <si>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</si>
  <si>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</si>
  <si>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</si>
  <si>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</si>
  <si>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</si>
  <si>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</si>
  <si>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</si>
  <si>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</si>
  <si>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</si>
  <si>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</si>
  <si>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</si>
  <si>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</si>
  <si>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</si>
  <si>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</si>
  <si>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</si>
  <si>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</si>
  <si>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</si>
  <si>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</si>
  <si>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</si>
  <si>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</si>
  <si>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</si>
  <si>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</si>
  <si>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</si>
  <si>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</si>
  <si>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</si>
  <si>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</si>
  <si>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</si>
  <si>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</si>
  <si>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</si>
  <si>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</si>
  <si>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</si>
  <si>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</si>
  <si>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</si>
  <si>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</si>
  <si>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</si>
  <si>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</si>
  <si>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</si>
  <si>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</si>
  <si>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</si>
  <si>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</si>
  <si>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</si>
  <si>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</si>
  <si>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</si>
  <si>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</si>
  <si>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</si>
  <si>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</si>
  <si>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</si>
  <si>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</si>
  <si>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</si>
  <si>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</si>
  <si>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</si>
  <si>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</si>
  <si>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</si>
  <si>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</si>
  <si>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</si>
  <si>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</si>
  <si>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</si>
  <si>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</si>
  <si>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</si>
  <si>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</si>
  <si>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</si>
  <si>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</si>
  <si>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</si>
  <si>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</si>
  <si>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</si>
  <si>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</si>
  <si>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</si>
  <si>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</si>
  <si>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</si>
  <si>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</si>
  <si>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</si>
  <si>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</si>
  <si>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</si>
  <si>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</si>
  <si>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</si>
  <si>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</si>
  <si>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</si>
  <si>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</si>
  <si>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</si>
  <si>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</si>
  <si>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</si>
  <si>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</si>
  <si>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</si>
  <si>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</si>
  <si>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</si>
  <si>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</si>
  <si>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</si>
  <si>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</si>
  <si>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</si>
  <si>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</si>
  <si>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</si>
  <si>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</si>
  <si>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</si>
  <si>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</si>
  <si>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</si>
  <si>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</si>
  <si>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</si>
  <si>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</si>
  <si>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</si>
  <si>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</si>
  <si>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</si>
  <si>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</si>
  <si>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</si>
  <si>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</si>
  <si>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</si>
  <si>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</si>
  <si>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</si>
  <si>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</si>
  <si>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</si>
  <si>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</si>
  <si>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</si>
  <si>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</si>
  <si>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</si>
  <si>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</si>
  <si>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</si>
  <si>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</si>
  <si>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</si>
  <si>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</si>
  <si>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</si>
  <si>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</si>
  <si>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</si>
  <si>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</si>
  <si>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</si>
  <si>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</si>
  <si>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</si>
  <si>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</si>
  <si>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</si>
  <si>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</si>
  <si>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</si>
  <si>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</si>
  <si>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</si>
  <si>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</si>
  <si>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</si>
  <si>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</si>
  <si>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</si>
  <si>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</si>
  <si>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</si>
  <si>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</si>
  <si>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</si>
  <si>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</si>
  <si>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</si>
  <si>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</si>
  <si>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</si>
  <si>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</si>
  <si>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</si>
  <si>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</si>
  <si>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</si>
  <si>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</si>
  <si>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</si>
  <si>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</si>
  <si>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</si>
  <si>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</si>
  <si>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</si>
  <si>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</si>
  <si>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</si>
  <si>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</si>
  <si>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</si>
  <si>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</si>
  <si>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</si>
  <si>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</si>
  <si>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</si>
  <si>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</si>
  <si>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</si>
  <si>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</si>
  <si>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</si>
  <si>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</si>
  <si>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</si>
  <si>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</si>
  <si>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</si>
  <si>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</si>
  <si>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</si>
  <si>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</si>
  <si>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</si>
  <si>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</si>
  <si>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</si>
  <si>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</si>
  <si>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</si>
  <si>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</si>
  <si>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</si>
  <si>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</si>
  <si>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</si>
  <si>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</si>
  <si>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</si>
  <si>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</si>
  <si>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</si>
  <si>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</si>
  <si>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</si>
  <si>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</si>
  <si>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</si>
  <si>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</si>
  <si>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</si>
  <si>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</si>
  <si>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</si>
  <si>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</si>
  <si>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</si>
  <si>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</si>
  <si>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</si>
  <si>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</si>
  <si>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</si>
  <si>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</si>
  <si>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</si>
  <si>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</si>
  <si>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</si>
  <si>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</si>
  <si>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</si>
  <si>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</si>
  <si>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</si>
  <si>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</si>
  <si>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</si>
  <si>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</si>
  <si>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</si>
  <si>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</si>
  <si>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</si>
  <si>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</si>
  <si>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</si>
  <si>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</si>
  <si>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</si>
  <si>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</si>
  <si>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</si>
  <si>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</si>
  <si>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</si>
  <si>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</si>
  <si>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</si>
  <si>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</si>
  <si>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</si>
  <si>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</si>
  <si>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</si>
  <si>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</si>
  <si>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</si>
  <si>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</si>
  <si>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</si>
  <si>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</si>
  <si>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</si>
  <si>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</si>
  <si>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</si>
  <si>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</si>
  <si>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</si>
  <si>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</si>
  <si>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</si>
  <si>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</si>
  <si>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</si>
  <si>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</si>
  <si>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</si>
  <si>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</si>
  <si>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</si>
  <si>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</si>
  <si>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</si>
  <si>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</si>
  <si>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</si>
  <si>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</si>
  <si>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</si>
  <si>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</si>
  <si>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</si>
  <si>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</si>
  <si>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</si>
  <si>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</si>
  <si>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</si>
  <si>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</si>
  <si>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</si>
  <si>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</si>
  <si>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</si>
  <si>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</si>
  <si>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</si>
  <si>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</si>
  <si>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</si>
  <si>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</si>
  <si>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</si>
  <si>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</si>
  <si>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</si>
  <si>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</si>
  <si>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</si>
  <si>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</si>
  <si>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</si>
  <si>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</si>
  <si>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</si>
  <si>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</si>
  <si>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</si>
  <si>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</si>
  <si>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</si>
  <si>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</si>
  <si>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</si>
  <si>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</si>
  <si>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</si>
  <si>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</si>
  <si>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</si>
  <si>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</si>
  <si>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</si>
  <si>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</si>
  <si>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</si>
  <si>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</si>
  <si>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</si>
  <si>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</si>
  <si>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</si>
  <si>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</si>
  <si>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</si>
  <si>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</si>
  <si>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</si>
  <si>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</si>
  <si>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</si>
  <si>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</si>
  <si>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</si>
  <si>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</si>
  <si>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</si>
  <si>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</si>
  <si>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</si>
  <si>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</si>
  <si>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</si>
  <si>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</si>
  <si>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</si>
  <si>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</si>
  <si>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</si>
  <si>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</si>
  <si>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</si>
  <si>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</si>
  <si>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</si>
  <si>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</si>
  <si>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</si>
  <si>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</si>
  <si>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</si>
  <si>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</si>
  <si>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</si>
  <si>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</si>
  <si>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</si>
  <si>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</si>
  <si>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</si>
  <si>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</si>
  <si>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</si>
  <si>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</si>
  <si>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</si>
  <si>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</si>
  <si>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</si>
  <si>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</si>
  <si>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</si>
  <si>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</si>
  <si>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</si>
  <si>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</si>
  <si>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</si>
  <si>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</si>
  <si>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</si>
  <si>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</si>
  <si>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</si>
  <si>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</si>
  <si>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</si>
  <si>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</si>
  <si>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</si>
  <si>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</si>
  <si>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</si>
  <si>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</si>
  <si>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</si>
  <si>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</si>
  <si>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</si>
  <si>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</si>
  <si>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</si>
  <si>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</si>
  <si>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</si>
  <si>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</si>
  <si>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</si>
  <si>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</si>
  <si>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</si>
  <si>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</si>
  <si>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</si>
  <si>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</si>
  <si>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</si>
  <si>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</si>
  <si>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</si>
  <si>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</si>
  <si>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</si>
  <si>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</si>
  <si>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</si>
  <si>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</si>
  <si>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</si>
  <si>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</si>
  <si>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</si>
  <si>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</si>
  <si>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</si>
  <si>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</si>
  <si>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</si>
  <si>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</si>
  <si>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</si>
  <si>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</si>
  <si>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</si>
  <si>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</si>
  <si>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</si>
  <si>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</si>
  <si>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</si>
  <si>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</si>
  <si>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</si>
  <si>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</si>
  <si>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</si>
  <si>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</si>
  <si>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</si>
  <si>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</si>
  <si>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</si>
  <si>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</si>
  <si>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</si>
  <si>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</si>
  <si>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</si>
  <si>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</si>
  <si>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</si>
  <si>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</si>
  <si>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</si>
  <si>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</si>
  <si>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</si>
  <si>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</si>
  <si>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</si>
  <si>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</si>
  <si>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</si>
  <si>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</si>
  <si>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</si>
  <si>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</si>
  <si>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</si>
  <si>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</si>
  <si>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</si>
  <si>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</si>
  <si>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</si>
  <si>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</si>
  <si>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</si>
  <si>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</si>
  <si>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</si>
  <si>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</si>
  <si>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</si>
  <si>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</si>
  <si>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</si>
  <si>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</si>
  <si>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</si>
  <si>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</si>
  <si>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</si>
  <si>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</si>
  <si>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</si>
  <si>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</si>
  <si>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</si>
  <si>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</si>
  <si>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</si>
  <si>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</si>
  <si>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</si>
  <si>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</si>
  <si>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</si>
  <si>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</si>
  <si>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</si>
  <si>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</si>
  <si>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</si>
  <si>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</si>
  <si>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</si>
  <si>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</si>
  <si>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</si>
  <si>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</si>
  <si>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</si>
  <si>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</si>
  <si>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</si>
  <si>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</si>
  <si>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</si>
  <si>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</si>
  <si>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11008</t>
  </si>
  <si>
    <t>BRASSCHAAT</t>
  </si>
  <si>
    <t>Paarden&amp;pony's 200 - 600 kg</t>
  </si>
  <si>
    <t>Paarden&amp;pony's &lt; 200 kg</t>
  </si>
  <si>
    <t>Fluvius</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</si>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</sst>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384709A-2AB3-4E70-AAF2-0C633963715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11008</v>
      </c>
      <c r="B6" s="384"/>
      <c r="C6" s="385"/>
    </row>
    <row r="7" spans="1:7" s="382" customFormat="1" ht="15.75" customHeight="1">
      <c r="A7" s="386" t="str">
        <f>txtMunicipality</f>
        <v>BRASSCHAAT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52153.05811275162</v>
      </c>
      <c r="D10" s="674">
        <f ca="1">tertiair!C16</f>
        <v>900.00000000000023</v>
      </c>
      <c r="E10" s="674">
        <f ca="1">tertiair!D16</f>
        <v>87721.226765683619</v>
      </c>
      <c r="F10" s="674">
        <f>tertiair!E16</f>
        <v>398.41724019674479</v>
      </c>
      <c r="G10" s="674">
        <f ca="1">tertiair!F16</f>
        <v>10856.999501533268</v>
      </c>
      <c r="H10" s="674">
        <f>tertiair!G16</f>
        <v>0</v>
      </c>
      <c r="I10" s="674">
        <f>tertiair!H16</f>
        <v>0</v>
      </c>
      <c r="J10" s="674">
        <f>tertiair!I16</f>
        <v>0</v>
      </c>
      <c r="K10" s="674">
        <f>tertiair!J16</f>
        <v>0</v>
      </c>
      <c r="L10" s="674">
        <f>tertiair!K16</f>
        <v>0</v>
      </c>
      <c r="M10" s="674">
        <f ca="1">tertiair!L16</f>
        <v>0</v>
      </c>
      <c r="N10" s="674">
        <f>tertiair!M16</f>
        <v>0</v>
      </c>
      <c r="O10" s="674">
        <f ca="1">tertiair!N16</f>
        <v>3419.2632892626766</v>
      </c>
      <c r="P10" s="674">
        <f>tertiair!O16</f>
        <v>1.5633333333333335</v>
      </c>
      <c r="Q10" s="675">
        <f>tertiair!P16</f>
        <v>19.066666666666666</v>
      </c>
      <c r="R10" s="677">
        <f ca="1">SUM(C10:Q10)</f>
        <v>155469.59490942795</v>
      </c>
      <c r="S10" s="68"/>
    </row>
    <row r="11" spans="1:19" s="443" customFormat="1">
      <c r="A11" s="789" t="s">
        <v>214</v>
      </c>
      <c r="B11" s="794"/>
      <c r="C11" s="674">
        <f>huishoudens!B8</f>
        <v>75318.713722443441</v>
      </c>
      <c r="D11" s="674">
        <f>huishoudens!C8</f>
        <v>0</v>
      </c>
      <c r="E11" s="674">
        <f>huishoudens!D8</f>
        <v>264634.23334542837</v>
      </c>
      <c r="F11" s="674">
        <f>huishoudens!E8</f>
        <v>1641.112730404667</v>
      </c>
      <c r="G11" s="674">
        <f>huishoudens!F8</f>
        <v>50032.762514239621</v>
      </c>
      <c r="H11" s="674">
        <f>huishoudens!G8</f>
        <v>0</v>
      </c>
      <c r="I11" s="674">
        <f>huishoudens!H8</f>
        <v>0</v>
      </c>
      <c r="J11" s="674">
        <f>huishoudens!I8</f>
        <v>0</v>
      </c>
      <c r="K11" s="674">
        <f>huishoudens!J8</f>
        <v>907.82704211321857</v>
      </c>
      <c r="L11" s="674">
        <f>huishoudens!K8</f>
        <v>0</v>
      </c>
      <c r="M11" s="674">
        <f>huishoudens!L8</f>
        <v>0</v>
      </c>
      <c r="N11" s="674">
        <f>huishoudens!M8</f>
        <v>0</v>
      </c>
      <c r="O11" s="674">
        <f>huishoudens!N8</f>
        <v>21065.343302085625</v>
      </c>
      <c r="P11" s="674">
        <f>huishoudens!O8</f>
        <v>110.99666666666667</v>
      </c>
      <c r="Q11" s="675">
        <f>huishoudens!P8</f>
        <v>362.26666666666665</v>
      </c>
      <c r="R11" s="677">
        <f>SUM(C11:Q11)</f>
        <v>414073.25599004829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4187.6885180682439</v>
      </c>
      <c r="D13" s="674">
        <f>industrie!C18</f>
        <v>763.07142857142867</v>
      </c>
      <c r="E13" s="674">
        <f>industrie!D18</f>
        <v>4122.60907436669</v>
      </c>
      <c r="F13" s="674">
        <f>industrie!E18</f>
        <v>35.837655363229644</v>
      </c>
      <c r="G13" s="674">
        <f>industrie!F18</f>
        <v>1701.7886950801635</v>
      </c>
      <c r="H13" s="674">
        <f>industrie!G18</f>
        <v>0</v>
      </c>
      <c r="I13" s="674">
        <f>industrie!H18</f>
        <v>0</v>
      </c>
      <c r="J13" s="674">
        <f>industrie!I18</f>
        <v>0</v>
      </c>
      <c r="K13" s="674">
        <f>industrie!J18</f>
        <v>4.8738537614387409</v>
      </c>
      <c r="L13" s="674">
        <f>industrie!K18</f>
        <v>0</v>
      </c>
      <c r="M13" s="674">
        <f>industrie!L18</f>
        <v>0</v>
      </c>
      <c r="N13" s="674">
        <f>industrie!M18</f>
        <v>0</v>
      </c>
      <c r="O13" s="674">
        <f>industrie!N18</f>
        <v>282.61726811455992</v>
      </c>
      <c r="P13" s="674">
        <f>industrie!O18</f>
        <v>0</v>
      </c>
      <c r="Q13" s="675">
        <f>industrie!P18</f>
        <v>0</v>
      </c>
      <c r="R13" s="677">
        <f>SUM(C13:Q13)</f>
        <v>11098.486493325754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131659.4603532633</v>
      </c>
      <c r="D16" s="707">
        <f t="shared" ref="D16:R16" ca="1" si="0">SUM(D9:D15)</f>
        <v>1663.0714285714289</v>
      </c>
      <c r="E16" s="707">
        <f t="shared" ca="1" si="0"/>
        <v>356478.06918547867</v>
      </c>
      <c r="F16" s="707">
        <f t="shared" si="0"/>
        <v>2075.3676259646413</v>
      </c>
      <c r="G16" s="707">
        <f t="shared" ca="1" si="0"/>
        <v>62591.550710853051</v>
      </c>
      <c r="H16" s="707">
        <f t="shared" si="0"/>
        <v>0</v>
      </c>
      <c r="I16" s="707">
        <f t="shared" si="0"/>
        <v>0</v>
      </c>
      <c r="J16" s="707">
        <f t="shared" si="0"/>
        <v>0</v>
      </c>
      <c r="K16" s="707">
        <f t="shared" si="0"/>
        <v>912.70089587465736</v>
      </c>
      <c r="L16" s="707">
        <f t="shared" si="0"/>
        <v>0</v>
      </c>
      <c r="M16" s="707">
        <f t="shared" ca="1" si="0"/>
        <v>0</v>
      </c>
      <c r="N16" s="707">
        <f t="shared" si="0"/>
        <v>0</v>
      </c>
      <c r="O16" s="707">
        <f t="shared" ca="1" si="0"/>
        <v>24767.223859462858</v>
      </c>
      <c r="P16" s="707">
        <f t="shared" si="0"/>
        <v>112.56</v>
      </c>
      <c r="Q16" s="707">
        <f t="shared" si="0"/>
        <v>381.33333333333331</v>
      </c>
      <c r="R16" s="707">
        <f t="shared" ca="1" si="0"/>
        <v>580641.337392802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19.664941367318544</v>
      </c>
      <c r="D19" s="674">
        <f>transport!C54</f>
        <v>0</v>
      </c>
      <c r="E19" s="674">
        <f>transport!D54</f>
        <v>0</v>
      </c>
      <c r="F19" s="674">
        <f>transport!E54</f>
        <v>0</v>
      </c>
      <c r="G19" s="674">
        <f>transport!F54</f>
        <v>0</v>
      </c>
      <c r="H19" s="674">
        <f>transport!G54</f>
        <v>3922.2113264286522</v>
      </c>
      <c r="I19" s="674">
        <f>transport!H54</f>
        <v>0</v>
      </c>
      <c r="J19" s="674">
        <f>transport!I54</f>
        <v>0</v>
      </c>
      <c r="K19" s="674">
        <f>transport!J54</f>
        <v>0</v>
      </c>
      <c r="L19" s="674">
        <f>transport!K54</f>
        <v>0</v>
      </c>
      <c r="M19" s="674">
        <f>transport!L54</f>
        <v>0</v>
      </c>
      <c r="N19" s="674">
        <f>transport!M54</f>
        <v>173.35756323859189</v>
      </c>
      <c r="O19" s="674">
        <f>transport!N54</f>
        <v>0</v>
      </c>
      <c r="P19" s="674">
        <f>transport!O54</f>
        <v>0</v>
      </c>
      <c r="Q19" s="675">
        <f>transport!P54</f>
        <v>0</v>
      </c>
      <c r="R19" s="677">
        <f>SUM(C19:Q19)</f>
        <v>4115.2338310345631</v>
      </c>
      <c r="S19" s="68"/>
    </row>
    <row r="20" spans="1:19" s="443" customFormat="1">
      <c r="A20" s="789" t="s">
        <v>296</v>
      </c>
      <c r="B20" s="794"/>
      <c r="C20" s="674">
        <f>transport!B14</f>
        <v>8.1163376320594107</v>
      </c>
      <c r="D20" s="674">
        <f>transport!C14</f>
        <v>0</v>
      </c>
      <c r="E20" s="674">
        <f>transport!D14</f>
        <v>10.717202313880387</v>
      </c>
      <c r="F20" s="674">
        <f>transport!E14</f>
        <v>699.33749872061173</v>
      </c>
      <c r="G20" s="674">
        <f>transport!F14</f>
        <v>0</v>
      </c>
      <c r="H20" s="674">
        <f>transport!G14</f>
        <v>141537.58508696657</v>
      </c>
      <c r="I20" s="674">
        <f>transport!H14</f>
        <v>25836.874862868728</v>
      </c>
      <c r="J20" s="674">
        <f>transport!I14</f>
        <v>0</v>
      </c>
      <c r="K20" s="674">
        <f>transport!J14</f>
        <v>0</v>
      </c>
      <c r="L20" s="674">
        <f>transport!K14</f>
        <v>0</v>
      </c>
      <c r="M20" s="674">
        <f>transport!L14</f>
        <v>0</v>
      </c>
      <c r="N20" s="674">
        <f>transport!M14</f>
        <v>7481.2789160063812</v>
      </c>
      <c r="O20" s="674">
        <f>transport!N14</f>
        <v>0</v>
      </c>
      <c r="P20" s="674">
        <f>transport!O14</f>
        <v>0</v>
      </c>
      <c r="Q20" s="675">
        <f>transport!P14</f>
        <v>0</v>
      </c>
      <c r="R20" s="677">
        <f>SUM(C20:Q20)</f>
        <v>175573.90990450824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27.781278999377953</v>
      </c>
      <c r="D22" s="792">
        <f t="shared" ref="D22:R22" si="1">SUM(D18:D21)</f>
        <v>0</v>
      </c>
      <c r="E22" s="792">
        <f t="shared" si="1"/>
        <v>10.717202313880387</v>
      </c>
      <c r="F22" s="792">
        <f t="shared" si="1"/>
        <v>699.33749872061173</v>
      </c>
      <c r="G22" s="792">
        <f t="shared" si="1"/>
        <v>0</v>
      </c>
      <c r="H22" s="792">
        <f t="shared" si="1"/>
        <v>145459.79641339523</v>
      </c>
      <c r="I22" s="792">
        <f t="shared" si="1"/>
        <v>25836.874862868728</v>
      </c>
      <c r="J22" s="792">
        <f t="shared" si="1"/>
        <v>0</v>
      </c>
      <c r="K22" s="792">
        <f t="shared" si="1"/>
        <v>0</v>
      </c>
      <c r="L22" s="792">
        <f t="shared" si="1"/>
        <v>0</v>
      </c>
      <c r="M22" s="792">
        <f t="shared" si="1"/>
        <v>0</v>
      </c>
      <c r="N22" s="792">
        <f t="shared" si="1"/>
        <v>7654.6364792449731</v>
      </c>
      <c r="O22" s="792">
        <f t="shared" si="1"/>
        <v>0</v>
      </c>
      <c r="P22" s="792">
        <f t="shared" si="1"/>
        <v>0</v>
      </c>
      <c r="Q22" s="792">
        <f t="shared" si="1"/>
        <v>0</v>
      </c>
      <c r="R22" s="792">
        <f t="shared" si="1"/>
        <v>179689.14373554281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116.479742539645</v>
      </c>
      <c r="D24" s="674">
        <f>+landbouw!C8</f>
        <v>0</v>
      </c>
      <c r="E24" s="674">
        <f>+landbouw!D8</f>
        <v>185.01476452385327</v>
      </c>
      <c r="F24" s="674">
        <f>+landbouw!E8</f>
        <v>1.0973172187110418</v>
      </c>
      <c r="G24" s="674">
        <f>+landbouw!F8</f>
        <v>380.11205613849415</v>
      </c>
      <c r="H24" s="674">
        <f>+landbouw!G8</f>
        <v>0</v>
      </c>
      <c r="I24" s="674">
        <f>+landbouw!H8</f>
        <v>0</v>
      </c>
      <c r="J24" s="674">
        <f>+landbouw!I8</f>
        <v>0</v>
      </c>
      <c r="K24" s="674">
        <f>+landbouw!J8</f>
        <v>14.409110709512968</v>
      </c>
      <c r="L24" s="674">
        <f>+landbouw!K8</f>
        <v>0</v>
      </c>
      <c r="M24" s="674">
        <f>+landbouw!L8</f>
        <v>0</v>
      </c>
      <c r="N24" s="674">
        <f>+landbouw!M8</f>
        <v>0</v>
      </c>
      <c r="O24" s="674">
        <f>+landbouw!N8</f>
        <v>0</v>
      </c>
      <c r="P24" s="674">
        <f>+landbouw!O8</f>
        <v>0</v>
      </c>
      <c r="Q24" s="675">
        <f>+landbouw!P8</f>
        <v>0</v>
      </c>
      <c r="R24" s="677">
        <f>SUM(C24:Q24)</f>
        <v>697.11299113021653</v>
      </c>
      <c r="S24" s="68"/>
    </row>
    <row r="25" spans="1:19" s="443" customFormat="1" ht="15" thickBot="1">
      <c r="A25" s="811" t="s">
        <v>873</v>
      </c>
      <c r="B25" s="977"/>
      <c r="C25" s="978">
        <f>IF(Onbekend_ele_kWh="---",0,Onbekend_ele_kWh)/1000+IF(REST_rest_ele_kWh="---",0,REST_rest_ele_kWh)/1000</f>
        <v>4993.6246588505301</v>
      </c>
      <c r="D25" s="978"/>
      <c r="E25" s="978">
        <f>IF(onbekend_gas_kWh="---",0,onbekend_gas_kWh)/1000+IF(REST_rest_gas_kWh="---",0,REST_rest_gas_kWh)/1000</f>
        <v>11309.676843123401</v>
      </c>
      <c r="F25" s="978"/>
      <c r="G25" s="978"/>
      <c r="H25" s="978"/>
      <c r="I25" s="978"/>
      <c r="J25" s="978"/>
      <c r="K25" s="978"/>
      <c r="L25" s="978"/>
      <c r="M25" s="978"/>
      <c r="N25" s="978"/>
      <c r="O25" s="978"/>
      <c r="P25" s="978"/>
      <c r="Q25" s="979"/>
      <c r="R25" s="677">
        <f>SUM(C25:Q25)</f>
        <v>16303.301501973932</v>
      </c>
      <c r="S25" s="68"/>
    </row>
    <row r="26" spans="1:19" s="443" customFormat="1" ht="15.75" thickBot="1">
      <c r="A26" s="680" t="s">
        <v>874</v>
      </c>
      <c r="B26" s="797"/>
      <c r="C26" s="792">
        <f>SUM(C24:C25)</f>
        <v>5110.1044013901746</v>
      </c>
      <c r="D26" s="792">
        <f t="shared" ref="D26:R26" si="2">SUM(D24:D25)</f>
        <v>0</v>
      </c>
      <c r="E26" s="792">
        <f t="shared" si="2"/>
        <v>11494.691607647255</v>
      </c>
      <c r="F26" s="792">
        <f t="shared" si="2"/>
        <v>1.0973172187110418</v>
      </c>
      <c r="G26" s="792">
        <f t="shared" si="2"/>
        <v>380.11205613849415</v>
      </c>
      <c r="H26" s="792">
        <f t="shared" si="2"/>
        <v>0</v>
      </c>
      <c r="I26" s="792">
        <f t="shared" si="2"/>
        <v>0</v>
      </c>
      <c r="J26" s="792">
        <f t="shared" si="2"/>
        <v>0</v>
      </c>
      <c r="K26" s="792">
        <f t="shared" si="2"/>
        <v>14.409110709512968</v>
      </c>
      <c r="L26" s="792">
        <f t="shared" si="2"/>
        <v>0</v>
      </c>
      <c r="M26" s="792">
        <f t="shared" si="2"/>
        <v>0</v>
      </c>
      <c r="N26" s="792">
        <f t="shared" si="2"/>
        <v>0</v>
      </c>
      <c r="O26" s="792">
        <f t="shared" si="2"/>
        <v>0</v>
      </c>
      <c r="P26" s="792">
        <f t="shared" si="2"/>
        <v>0</v>
      </c>
      <c r="Q26" s="792">
        <f t="shared" si="2"/>
        <v>0</v>
      </c>
      <c r="R26" s="792">
        <f t="shared" si="2"/>
        <v>17000.414493104148</v>
      </c>
      <c r="S26" s="68"/>
    </row>
    <row r="27" spans="1:19" s="443" customFormat="1" ht="17.25" thickTop="1" thickBot="1">
      <c r="A27" s="681" t="s">
        <v>109</v>
      </c>
      <c r="B27" s="784"/>
      <c r="C27" s="682">
        <f ca="1">C22+C16+C26</f>
        <v>136797.34603365287</v>
      </c>
      <c r="D27" s="682">
        <f t="shared" ref="D27:R27" ca="1" si="3">D22+D16+D26</f>
        <v>1663.0714285714289</v>
      </c>
      <c r="E27" s="682">
        <f t="shared" ca="1" si="3"/>
        <v>367983.47799543978</v>
      </c>
      <c r="F27" s="682">
        <f t="shared" si="3"/>
        <v>2775.8024419039639</v>
      </c>
      <c r="G27" s="682">
        <f t="shared" ca="1" si="3"/>
        <v>62971.662766991547</v>
      </c>
      <c r="H27" s="682">
        <f t="shared" si="3"/>
        <v>145459.79641339523</v>
      </c>
      <c r="I27" s="682">
        <f t="shared" si="3"/>
        <v>25836.874862868728</v>
      </c>
      <c r="J27" s="682">
        <f t="shared" si="3"/>
        <v>0</v>
      </c>
      <c r="K27" s="682">
        <f t="shared" si="3"/>
        <v>927.11000658417038</v>
      </c>
      <c r="L27" s="682">
        <f t="shared" si="3"/>
        <v>0</v>
      </c>
      <c r="M27" s="682">
        <f t="shared" ca="1" si="3"/>
        <v>0</v>
      </c>
      <c r="N27" s="682">
        <f t="shared" si="3"/>
        <v>7654.6364792449731</v>
      </c>
      <c r="O27" s="682">
        <f t="shared" ca="1" si="3"/>
        <v>24767.223859462858</v>
      </c>
      <c r="P27" s="682">
        <f t="shared" si="3"/>
        <v>112.56</v>
      </c>
      <c r="Q27" s="682">
        <f t="shared" si="3"/>
        <v>381.33333333333331</v>
      </c>
      <c r="R27" s="682">
        <f t="shared" ca="1" si="3"/>
        <v>777330.89562144887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11231.214507065992</v>
      </c>
      <c r="D40" s="674">
        <f ca="1">tertiair!C20</f>
        <v>213.88235294117655</v>
      </c>
      <c r="E40" s="674">
        <f ca="1">tertiair!D20</f>
        <v>17719.687806668091</v>
      </c>
      <c r="F40" s="674">
        <f>tertiair!E20</f>
        <v>90.440713524661064</v>
      </c>
      <c r="G40" s="674">
        <f ca="1">tertiair!F20</f>
        <v>2898.8188669093829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32154.044247109305</v>
      </c>
    </row>
    <row r="41" spans="1:18">
      <c r="A41" s="802" t="s">
        <v>214</v>
      </c>
      <c r="B41" s="809"/>
      <c r="C41" s="674">
        <f ca="1">huishoudens!B12</f>
        <v>16219.962181014011</v>
      </c>
      <c r="D41" s="674">
        <f ca="1">huishoudens!C12</f>
        <v>0</v>
      </c>
      <c r="E41" s="674">
        <f>huishoudens!D12</f>
        <v>53456.115135776534</v>
      </c>
      <c r="F41" s="674">
        <f>huishoudens!E12</f>
        <v>372.53258980185944</v>
      </c>
      <c r="G41" s="674">
        <f>huishoudens!F12</f>
        <v>13358.747591301979</v>
      </c>
      <c r="H41" s="674">
        <f>huishoudens!G12</f>
        <v>0</v>
      </c>
      <c r="I41" s="674">
        <f>huishoudens!H12</f>
        <v>0</v>
      </c>
      <c r="J41" s="674">
        <f>huishoudens!I12</f>
        <v>0</v>
      </c>
      <c r="K41" s="674">
        <f>huishoudens!J12</f>
        <v>321.37077290807935</v>
      </c>
      <c r="L41" s="674">
        <f>huishoudens!K12</f>
        <v>0</v>
      </c>
      <c r="M41" s="674">
        <f>huishoudens!L12</f>
        <v>0</v>
      </c>
      <c r="N41" s="674">
        <f>huishoudens!M12</f>
        <v>0</v>
      </c>
      <c r="O41" s="674">
        <f>huishoudens!N12</f>
        <v>0</v>
      </c>
      <c r="P41" s="674">
        <f>huishoudens!O12</f>
        <v>0</v>
      </c>
      <c r="Q41" s="749">
        <f>huishoudens!P12</f>
        <v>0</v>
      </c>
      <c r="R41" s="830">
        <f t="shared" ca="1" si="4"/>
        <v>83728.728270802458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901.82301359049245</v>
      </c>
      <c r="D43" s="674">
        <f ca="1">industrie!C22</f>
        <v>181.34168067226895</v>
      </c>
      <c r="E43" s="674">
        <f>industrie!D22</f>
        <v>832.76703302207147</v>
      </c>
      <c r="F43" s="674">
        <f>industrie!E22</f>
        <v>8.1351477674531285</v>
      </c>
      <c r="G43" s="674">
        <f>industrie!F22</f>
        <v>454.37758158640366</v>
      </c>
      <c r="H43" s="674">
        <f>industrie!G22</f>
        <v>0</v>
      </c>
      <c r="I43" s="674">
        <f>industrie!H22</f>
        <v>0</v>
      </c>
      <c r="J43" s="674">
        <f>industrie!I22</f>
        <v>0</v>
      </c>
      <c r="K43" s="674">
        <f>industrie!J22</f>
        <v>1.7253442315493142</v>
      </c>
      <c r="L43" s="674">
        <f>industrie!K22</f>
        <v>0</v>
      </c>
      <c r="M43" s="674">
        <f>industrie!L22</f>
        <v>0</v>
      </c>
      <c r="N43" s="674">
        <f>industrie!M22</f>
        <v>0</v>
      </c>
      <c r="O43" s="674">
        <f>industrie!N22</f>
        <v>0</v>
      </c>
      <c r="P43" s="674">
        <f>industrie!O22</f>
        <v>0</v>
      </c>
      <c r="Q43" s="749">
        <f>industrie!P22</f>
        <v>0</v>
      </c>
      <c r="R43" s="829">
        <f t="shared" ca="1" si="4"/>
        <v>2380.1698008702388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28352.999701670495</v>
      </c>
      <c r="D46" s="707">
        <f t="shared" ref="D46:Q46" ca="1" si="5">SUM(D39:D45)</f>
        <v>395.2240336134455</v>
      </c>
      <c r="E46" s="707">
        <f t="shared" ca="1" si="5"/>
        <v>72008.5699754667</v>
      </c>
      <c r="F46" s="707">
        <f t="shared" si="5"/>
        <v>471.10845109397366</v>
      </c>
      <c r="G46" s="707">
        <f t="shared" ca="1" si="5"/>
        <v>16711.944039797767</v>
      </c>
      <c r="H46" s="707">
        <f t="shared" si="5"/>
        <v>0</v>
      </c>
      <c r="I46" s="707">
        <f t="shared" si="5"/>
        <v>0</v>
      </c>
      <c r="J46" s="707">
        <f t="shared" si="5"/>
        <v>0</v>
      </c>
      <c r="K46" s="707">
        <f t="shared" si="5"/>
        <v>323.09611713962863</v>
      </c>
      <c r="L46" s="707">
        <f t="shared" si="5"/>
        <v>0</v>
      </c>
      <c r="M46" s="707">
        <f t="shared" ca="1" si="5"/>
        <v>0</v>
      </c>
      <c r="N46" s="707">
        <f t="shared" si="5"/>
        <v>0</v>
      </c>
      <c r="O46" s="707">
        <f t="shared" ca="1" si="5"/>
        <v>0</v>
      </c>
      <c r="P46" s="707">
        <f t="shared" si="5"/>
        <v>0</v>
      </c>
      <c r="Q46" s="707">
        <f t="shared" si="5"/>
        <v>0</v>
      </c>
      <c r="R46" s="707">
        <f ca="1">SUM(R39:R45)</f>
        <v>118262.94231878201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4.2348652745873938</v>
      </c>
      <c r="D49" s="674">
        <f ca="1">transport!C58</f>
        <v>0</v>
      </c>
      <c r="E49" s="674">
        <f>transport!D58</f>
        <v>0</v>
      </c>
      <c r="F49" s="674">
        <f>transport!E58</f>
        <v>0</v>
      </c>
      <c r="G49" s="674">
        <f>transport!F58</f>
        <v>0</v>
      </c>
      <c r="H49" s="674">
        <f>transport!G58</f>
        <v>1047.2304241564502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1051.4652894310377</v>
      </c>
    </row>
    <row r="50" spans="1:18">
      <c r="A50" s="805" t="s">
        <v>296</v>
      </c>
      <c r="B50" s="815"/>
      <c r="C50" s="984">
        <f ca="1">transport!B18</f>
        <v>1.7478616260691189</v>
      </c>
      <c r="D50" s="984">
        <f>transport!C18</f>
        <v>0</v>
      </c>
      <c r="E50" s="984">
        <f>transport!D18</f>
        <v>2.1648748674038383</v>
      </c>
      <c r="F50" s="984">
        <f>transport!E18</f>
        <v>158.74961220957886</v>
      </c>
      <c r="G50" s="984">
        <f>transport!F18</f>
        <v>0</v>
      </c>
      <c r="H50" s="984">
        <f>transport!G18</f>
        <v>37790.53521822008</v>
      </c>
      <c r="I50" s="984">
        <f>transport!H18</f>
        <v>6433.3818408543129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44386.579407777448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5.9827269006565125</v>
      </c>
      <c r="D52" s="707">
        <f t="shared" ref="D52:Q52" ca="1" si="6">SUM(D48:D51)</f>
        <v>0</v>
      </c>
      <c r="E52" s="707">
        <f t="shared" si="6"/>
        <v>2.1648748674038383</v>
      </c>
      <c r="F52" s="707">
        <f t="shared" si="6"/>
        <v>158.74961220957886</v>
      </c>
      <c r="G52" s="707">
        <f t="shared" si="6"/>
        <v>0</v>
      </c>
      <c r="H52" s="707">
        <f t="shared" si="6"/>
        <v>38837.765642376529</v>
      </c>
      <c r="I52" s="707">
        <f t="shared" si="6"/>
        <v>6433.3818408543129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45438.044697208483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25.084031915488207</v>
      </c>
      <c r="D54" s="984">
        <f ca="1">+landbouw!C12</f>
        <v>0</v>
      </c>
      <c r="E54" s="984">
        <f>+landbouw!D12</f>
        <v>37.372982433818365</v>
      </c>
      <c r="F54" s="984">
        <f>+landbouw!E12</f>
        <v>0.24909100864740649</v>
      </c>
      <c r="G54" s="984">
        <f>+landbouw!F12</f>
        <v>101.48991898897795</v>
      </c>
      <c r="H54" s="984">
        <f>+landbouw!G12</f>
        <v>0</v>
      </c>
      <c r="I54" s="984">
        <f>+landbouw!H12</f>
        <v>0</v>
      </c>
      <c r="J54" s="984">
        <f>+landbouw!I12</f>
        <v>0</v>
      </c>
      <c r="K54" s="984">
        <f>+landbouw!J12</f>
        <v>5.1008251911675906</v>
      </c>
      <c r="L54" s="984">
        <f>+landbouw!K12</f>
        <v>0</v>
      </c>
      <c r="M54" s="984">
        <f>+landbouw!L12</f>
        <v>0</v>
      </c>
      <c r="N54" s="984">
        <f>+landbouw!M12</f>
        <v>0</v>
      </c>
      <c r="O54" s="984">
        <f>+landbouw!N12</f>
        <v>0</v>
      </c>
      <c r="P54" s="984">
        <f>+landbouw!O12</f>
        <v>0</v>
      </c>
      <c r="Q54" s="985">
        <f>+landbouw!P12</f>
        <v>0</v>
      </c>
      <c r="R54" s="706">
        <f ca="1">SUM(C54:Q54)</f>
        <v>169.29684953809951</v>
      </c>
    </row>
    <row r="55" spans="1:18" ht="15" thickBot="1">
      <c r="A55" s="805" t="s">
        <v>873</v>
      </c>
      <c r="B55" s="815"/>
      <c r="C55" s="984">
        <f ca="1">C25*'EF ele_warmte'!B12</f>
        <v>1075.3821873699803</v>
      </c>
      <c r="D55" s="984"/>
      <c r="E55" s="984">
        <f>E25*EF_CO2_aardgas</f>
        <v>2284.554722310927</v>
      </c>
      <c r="F55" s="984"/>
      <c r="G55" s="984"/>
      <c r="H55" s="984"/>
      <c r="I55" s="984"/>
      <c r="J55" s="984"/>
      <c r="K55" s="984"/>
      <c r="L55" s="984"/>
      <c r="M55" s="984"/>
      <c r="N55" s="984"/>
      <c r="O55" s="984"/>
      <c r="P55" s="984"/>
      <c r="Q55" s="985"/>
      <c r="R55" s="706">
        <f ca="1">SUM(C55:Q55)</f>
        <v>3359.9369096809073</v>
      </c>
    </row>
    <row r="56" spans="1:18" ht="15.75" thickBot="1">
      <c r="A56" s="803" t="s">
        <v>874</v>
      </c>
      <c r="B56" s="816"/>
      <c r="C56" s="707">
        <f ca="1">SUM(C54:C55)</f>
        <v>1100.4662192854685</v>
      </c>
      <c r="D56" s="707">
        <f t="shared" ref="D56:Q56" ca="1" si="7">SUM(D54:D55)</f>
        <v>0</v>
      </c>
      <c r="E56" s="707">
        <f t="shared" si="7"/>
        <v>2321.9277047447454</v>
      </c>
      <c r="F56" s="707">
        <f t="shared" si="7"/>
        <v>0.24909100864740649</v>
      </c>
      <c r="G56" s="707">
        <f t="shared" si="7"/>
        <v>101.48991898897795</v>
      </c>
      <c r="H56" s="707">
        <f t="shared" si="7"/>
        <v>0</v>
      </c>
      <c r="I56" s="707">
        <f t="shared" si="7"/>
        <v>0</v>
      </c>
      <c r="J56" s="707">
        <f t="shared" si="7"/>
        <v>0</v>
      </c>
      <c r="K56" s="707">
        <f t="shared" si="7"/>
        <v>5.1008251911675906</v>
      </c>
      <c r="L56" s="707">
        <f t="shared" si="7"/>
        <v>0</v>
      </c>
      <c r="M56" s="707">
        <f t="shared" si="7"/>
        <v>0</v>
      </c>
      <c r="N56" s="707">
        <f t="shared" si="7"/>
        <v>0</v>
      </c>
      <c r="O56" s="707">
        <f t="shared" si="7"/>
        <v>0</v>
      </c>
      <c r="P56" s="707">
        <f t="shared" si="7"/>
        <v>0</v>
      </c>
      <c r="Q56" s="708">
        <f t="shared" si="7"/>
        <v>0</v>
      </c>
      <c r="R56" s="709">
        <f ca="1">SUM(R54:R55)</f>
        <v>3529.233759219007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29459.448647856618</v>
      </c>
      <c r="D61" s="715">
        <f t="shared" ref="D61:Q61" ca="1" si="8">D46+D52+D56</f>
        <v>395.2240336134455</v>
      </c>
      <c r="E61" s="715">
        <f t="shared" ca="1" si="8"/>
        <v>74332.662555078845</v>
      </c>
      <c r="F61" s="715">
        <f t="shared" si="8"/>
        <v>630.1071543121999</v>
      </c>
      <c r="G61" s="715">
        <f t="shared" ca="1" si="8"/>
        <v>16813.433958786743</v>
      </c>
      <c r="H61" s="715">
        <f t="shared" si="8"/>
        <v>38837.765642376529</v>
      </c>
      <c r="I61" s="715">
        <f t="shared" si="8"/>
        <v>6433.3818408543129</v>
      </c>
      <c r="J61" s="715">
        <f t="shared" si="8"/>
        <v>0</v>
      </c>
      <c r="K61" s="715">
        <f t="shared" si="8"/>
        <v>328.19694233079622</v>
      </c>
      <c r="L61" s="715">
        <f t="shared" si="8"/>
        <v>0</v>
      </c>
      <c r="M61" s="715">
        <f t="shared" ca="1" si="8"/>
        <v>0</v>
      </c>
      <c r="N61" s="715">
        <f t="shared" si="8"/>
        <v>0</v>
      </c>
      <c r="O61" s="715">
        <f t="shared" ca="1" si="8"/>
        <v>0</v>
      </c>
      <c r="P61" s="715">
        <f t="shared" si="8"/>
        <v>0</v>
      </c>
      <c r="Q61" s="715">
        <f t="shared" si="8"/>
        <v>0</v>
      </c>
      <c r="R61" s="715">
        <f ca="1">R46+R52+R56</f>
        <v>167230.22077520948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0.21535102472389661</v>
      </c>
      <c r="D63" s="759">
        <f t="shared" ca="1" si="9"/>
        <v>0.23764705882352943</v>
      </c>
      <c r="E63" s="986">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0.35399999999999987</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3584.3642493668485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1164.1500000000001</v>
      </c>
      <c r="D76" s="996">
        <f>'lokale energieproductie'!C8</f>
        <v>1369.5882352941178</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276.65682352941184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3584.3642493668485</v>
      </c>
      <c r="C78" s="730">
        <f>SUM(C72:C77)</f>
        <v>1164.1500000000001</v>
      </c>
      <c r="D78" s="731">
        <f t="shared" ref="D78:H78" si="10">SUM(D76:D77)</f>
        <v>1369.5882352941178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276.65682352941184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1663.0714285714289</v>
      </c>
      <c r="D87" s="752">
        <f>'lokale energieproductie'!C17</f>
        <v>1956.55462184874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395.2240336134455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1663.0714285714289</v>
      </c>
      <c r="D90" s="730">
        <f t="shared" ref="D90:H90" si="12">SUM(D87:D89)</f>
        <v>1956.55462184874</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395.2240336134455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75318.713722443441</v>
      </c>
      <c r="C4" s="447">
        <f>huishoudens!C8</f>
        <v>0</v>
      </c>
      <c r="D4" s="447">
        <f>huishoudens!D8</f>
        <v>264634.23334542837</v>
      </c>
      <c r="E4" s="447">
        <f>huishoudens!E8</f>
        <v>1641.112730404667</v>
      </c>
      <c r="F4" s="447">
        <f>huishoudens!F8</f>
        <v>50032.762514239621</v>
      </c>
      <c r="G4" s="447">
        <f>huishoudens!G8</f>
        <v>0</v>
      </c>
      <c r="H4" s="447">
        <f>huishoudens!H8</f>
        <v>0</v>
      </c>
      <c r="I4" s="447">
        <f>huishoudens!I8</f>
        <v>0</v>
      </c>
      <c r="J4" s="447">
        <f>huishoudens!J8</f>
        <v>907.82704211321857</v>
      </c>
      <c r="K4" s="447">
        <f>huishoudens!K8</f>
        <v>0</v>
      </c>
      <c r="L4" s="447">
        <f>huishoudens!L8</f>
        <v>0</v>
      </c>
      <c r="M4" s="447">
        <f>huishoudens!M8</f>
        <v>0</v>
      </c>
      <c r="N4" s="447">
        <f>huishoudens!N8</f>
        <v>21065.343302085625</v>
      </c>
      <c r="O4" s="447">
        <f>huishoudens!O8</f>
        <v>110.99666666666667</v>
      </c>
      <c r="P4" s="448">
        <f>huishoudens!P8</f>
        <v>362.26666666666665</v>
      </c>
      <c r="Q4" s="449">
        <f>SUM(B4:P4)</f>
        <v>414073.25599004829</v>
      </c>
    </row>
    <row r="5" spans="1:17">
      <c r="A5" s="446" t="s">
        <v>149</v>
      </c>
      <c r="B5" s="447">
        <f ca="1">tertiair!B16</f>
        <v>50253.813112751617</v>
      </c>
      <c r="C5" s="447">
        <f ca="1">tertiair!C16</f>
        <v>900.00000000000023</v>
      </c>
      <c r="D5" s="447">
        <f ca="1">tertiair!D16</f>
        <v>87721.226765683619</v>
      </c>
      <c r="E5" s="447">
        <f>tertiair!E16</f>
        <v>398.41724019674479</v>
      </c>
      <c r="F5" s="447">
        <f ca="1">tertiair!F16</f>
        <v>10856.999501533268</v>
      </c>
      <c r="G5" s="447">
        <f>tertiair!G16</f>
        <v>0</v>
      </c>
      <c r="H5" s="447">
        <f>tertiair!H16</f>
        <v>0</v>
      </c>
      <c r="I5" s="447">
        <f>tertiair!I16</f>
        <v>0</v>
      </c>
      <c r="J5" s="447">
        <f>tertiair!J16</f>
        <v>0</v>
      </c>
      <c r="K5" s="447">
        <f>tertiair!K16</f>
        <v>0</v>
      </c>
      <c r="L5" s="447">
        <f ca="1">tertiair!L16</f>
        <v>0</v>
      </c>
      <c r="M5" s="447">
        <f>tertiair!M16</f>
        <v>0</v>
      </c>
      <c r="N5" s="447">
        <f ca="1">tertiair!N16</f>
        <v>3419.2632892626766</v>
      </c>
      <c r="O5" s="447">
        <f>tertiair!O16</f>
        <v>1.5633333333333335</v>
      </c>
      <c r="P5" s="448">
        <f>tertiair!P16</f>
        <v>19.066666666666666</v>
      </c>
      <c r="Q5" s="446">
        <f t="shared" ref="Q5:Q14" ca="1" si="0">SUM(B5:P5)</f>
        <v>153570.34990942795</v>
      </c>
    </row>
    <row r="6" spans="1:17">
      <c r="A6" s="446" t="s">
        <v>187</v>
      </c>
      <c r="B6" s="447">
        <f>'openbare verlichting'!B8</f>
        <v>1899.2449999999999</v>
      </c>
      <c r="C6" s="447"/>
      <c r="D6" s="447"/>
      <c r="E6" s="447"/>
      <c r="F6" s="447"/>
      <c r="G6" s="447"/>
      <c r="H6" s="447"/>
      <c r="I6" s="447"/>
      <c r="J6" s="447"/>
      <c r="K6" s="447"/>
      <c r="L6" s="447"/>
      <c r="M6" s="447"/>
      <c r="N6" s="447"/>
      <c r="O6" s="447"/>
      <c r="P6" s="448"/>
      <c r="Q6" s="446">
        <f t="shared" si="0"/>
        <v>1899.2449999999999</v>
      </c>
    </row>
    <row r="7" spans="1:17">
      <c r="A7" s="446" t="s">
        <v>105</v>
      </c>
      <c r="B7" s="447">
        <f>landbouw!B8</f>
        <v>116.479742539645</v>
      </c>
      <c r="C7" s="447">
        <f>landbouw!C8</f>
        <v>0</v>
      </c>
      <c r="D7" s="447">
        <f>landbouw!D8</f>
        <v>185.01476452385327</v>
      </c>
      <c r="E7" s="447">
        <f>landbouw!E8</f>
        <v>1.0973172187110418</v>
      </c>
      <c r="F7" s="447">
        <f>landbouw!F8</f>
        <v>380.11205613849415</v>
      </c>
      <c r="G7" s="447">
        <f>landbouw!G8</f>
        <v>0</v>
      </c>
      <c r="H7" s="447">
        <f>landbouw!H8</f>
        <v>0</v>
      </c>
      <c r="I7" s="447">
        <f>landbouw!I8</f>
        <v>0</v>
      </c>
      <c r="J7" s="447">
        <f>landbouw!J8</f>
        <v>14.409110709512968</v>
      </c>
      <c r="K7" s="447">
        <f>landbouw!K8</f>
        <v>0</v>
      </c>
      <c r="L7" s="447">
        <f>landbouw!L8</f>
        <v>0</v>
      </c>
      <c r="M7" s="447">
        <f>landbouw!M8</f>
        <v>0</v>
      </c>
      <c r="N7" s="447">
        <f>landbouw!N8</f>
        <v>0</v>
      </c>
      <c r="O7" s="447">
        <f>landbouw!O8</f>
        <v>0</v>
      </c>
      <c r="P7" s="448">
        <f>landbouw!P8</f>
        <v>0</v>
      </c>
      <c r="Q7" s="446">
        <f t="shared" si="0"/>
        <v>697.11299113021653</v>
      </c>
    </row>
    <row r="8" spans="1:17">
      <c r="A8" s="446" t="s">
        <v>665</v>
      </c>
      <c r="B8" s="447">
        <f>industrie!B18</f>
        <v>4187.6885180682439</v>
      </c>
      <c r="C8" s="447">
        <f>industrie!C18</f>
        <v>763.07142857142867</v>
      </c>
      <c r="D8" s="447">
        <f>industrie!D18</f>
        <v>4122.60907436669</v>
      </c>
      <c r="E8" s="447">
        <f>industrie!E18</f>
        <v>35.837655363229644</v>
      </c>
      <c r="F8" s="447">
        <f>industrie!F18</f>
        <v>1701.7886950801635</v>
      </c>
      <c r="G8" s="447">
        <f>industrie!G18</f>
        <v>0</v>
      </c>
      <c r="H8" s="447">
        <f>industrie!H18</f>
        <v>0</v>
      </c>
      <c r="I8" s="447">
        <f>industrie!I18</f>
        <v>0</v>
      </c>
      <c r="J8" s="447">
        <f>industrie!J18</f>
        <v>4.8738537614387409</v>
      </c>
      <c r="K8" s="447">
        <f>industrie!K18</f>
        <v>0</v>
      </c>
      <c r="L8" s="447">
        <f>industrie!L18</f>
        <v>0</v>
      </c>
      <c r="M8" s="447">
        <f>industrie!M18</f>
        <v>0</v>
      </c>
      <c r="N8" s="447">
        <f>industrie!N18</f>
        <v>282.61726811455992</v>
      </c>
      <c r="O8" s="447">
        <f>industrie!O18</f>
        <v>0</v>
      </c>
      <c r="P8" s="448">
        <f>industrie!P18</f>
        <v>0</v>
      </c>
      <c r="Q8" s="446">
        <f t="shared" si="0"/>
        <v>11098.486493325754</v>
      </c>
    </row>
    <row r="9" spans="1:17" s="452" customFormat="1">
      <c r="A9" s="450" t="s">
        <v>562</v>
      </c>
      <c r="B9" s="451">
        <f>transport!B14</f>
        <v>8.1163376320594107</v>
      </c>
      <c r="C9" s="451">
        <f>transport!C14</f>
        <v>0</v>
      </c>
      <c r="D9" s="451">
        <f>transport!D14</f>
        <v>10.717202313880387</v>
      </c>
      <c r="E9" s="451">
        <f>transport!E14</f>
        <v>699.33749872061173</v>
      </c>
      <c r="F9" s="451">
        <f>transport!F14</f>
        <v>0</v>
      </c>
      <c r="G9" s="451">
        <f>transport!G14</f>
        <v>141537.58508696657</v>
      </c>
      <c r="H9" s="451">
        <f>transport!H14</f>
        <v>25836.874862868728</v>
      </c>
      <c r="I9" s="451">
        <f>transport!I14</f>
        <v>0</v>
      </c>
      <c r="J9" s="451">
        <f>transport!J14</f>
        <v>0</v>
      </c>
      <c r="K9" s="451">
        <f>transport!K14</f>
        <v>0</v>
      </c>
      <c r="L9" s="451">
        <f>transport!L14</f>
        <v>0</v>
      </c>
      <c r="M9" s="451">
        <f>transport!M14</f>
        <v>7481.2789160063812</v>
      </c>
      <c r="N9" s="451">
        <f>transport!N14</f>
        <v>0</v>
      </c>
      <c r="O9" s="451">
        <f>transport!O14</f>
        <v>0</v>
      </c>
      <c r="P9" s="451">
        <f>transport!P14</f>
        <v>0</v>
      </c>
      <c r="Q9" s="450">
        <f>SUM(B9:P9)</f>
        <v>175573.90990450824</v>
      </c>
    </row>
    <row r="10" spans="1:17">
      <c r="A10" s="446" t="s">
        <v>552</v>
      </c>
      <c r="B10" s="447">
        <f>transport!B54</f>
        <v>19.664941367318544</v>
      </c>
      <c r="C10" s="447">
        <f>transport!C54</f>
        <v>0</v>
      </c>
      <c r="D10" s="447">
        <f>transport!D54</f>
        <v>0</v>
      </c>
      <c r="E10" s="447">
        <f>transport!E54</f>
        <v>0</v>
      </c>
      <c r="F10" s="447">
        <f>transport!F54</f>
        <v>0</v>
      </c>
      <c r="G10" s="447">
        <f>transport!G54</f>
        <v>3922.2113264286522</v>
      </c>
      <c r="H10" s="447">
        <f>transport!H54</f>
        <v>0</v>
      </c>
      <c r="I10" s="447">
        <f>transport!I54</f>
        <v>0</v>
      </c>
      <c r="J10" s="447">
        <f>transport!J54</f>
        <v>0</v>
      </c>
      <c r="K10" s="447">
        <f>transport!K54</f>
        <v>0</v>
      </c>
      <c r="L10" s="447">
        <f>transport!L54</f>
        <v>0</v>
      </c>
      <c r="M10" s="447">
        <f>transport!M54</f>
        <v>173.35756323859189</v>
      </c>
      <c r="N10" s="447">
        <f>transport!N54</f>
        <v>0</v>
      </c>
      <c r="O10" s="447">
        <f>transport!O54</f>
        <v>0</v>
      </c>
      <c r="P10" s="448">
        <f>transport!P54</f>
        <v>0</v>
      </c>
      <c r="Q10" s="446">
        <f t="shared" si="0"/>
        <v>4115.2338310345631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4993.6246588505301</v>
      </c>
      <c r="C14" s="454"/>
      <c r="D14" s="454">
        <f>'SEAP template'!E25</f>
        <v>11309.676843123401</v>
      </c>
      <c r="E14" s="454"/>
      <c r="F14" s="454"/>
      <c r="G14" s="454"/>
      <c r="H14" s="454"/>
      <c r="I14" s="454"/>
      <c r="J14" s="454"/>
      <c r="K14" s="454"/>
      <c r="L14" s="454"/>
      <c r="M14" s="454"/>
      <c r="N14" s="454"/>
      <c r="O14" s="454"/>
      <c r="P14" s="455"/>
      <c r="Q14" s="446">
        <f t="shared" si="0"/>
        <v>16303.301501973932</v>
      </c>
    </row>
    <row r="15" spans="1:17" s="459" customFormat="1">
      <c r="A15" s="456" t="s">
        <v>556</v>
      </c>
      <c r="B15" s="457">
        <f ca="1">SUM(B4:B14)</f>
        <v>136797.34603365284</v>
      </c>
      <c r="C15" s="457">
        <f t="shared" ref="C15:Q15" ca="1" si="1">SUM(C4:C14)</f>
        <v>1663.0714285714289</v>
      </c>
      <c r="D15" s="457">
        <f t="shared" ca="1" si="1"/>
        <v>367983.47799543978</v>
      </c>
      <c r="E15" s="457">
        <f t="shared" si="1"/>
        <v>2775.8024419039639</v>
      </c>
      <c r="F15" s="457">
        <f t="shared" ca="1" si="1"/>
        <v>62971.662766991547</v>
      </c>
      <c r="G15" s="457">
        <f t="shared" si="1"/>
        <v>145459.79641339523</v>
      </c>
      <c r="H15" s="457">
        <f t="shared" si="1"/>
        <v>25836.874862868728</v>
      </c>
      <c r="I15" s="457">
        <f t="shared" si="1"/>
        <v>0</v>
      </c>
      <c r="J15" s="457">
        <f t="shared" si="1"/>
        <v>927.11000658417038</v>
      </c>
      <c r="K15" s="457">
        <f t="shared" si="1"/>
        <v>0</v>
      </c>
      <c r="L15" s="457">
        <f t="shared" ca="1" si="1"/>
        <v>0</v>
      </c>
      <c r="M15" s="457">
        <f t="shared" si="1"/>
        <v>7654.6364792449731</v>
      </c>
      <c r="N15" s="457">
        <f t="shared" ca="1" si="1"/>
        <v>24767.223859462858</v>
      </c>
      <c r="O15" s="457">
        <f t="shared" si="1"/>
        <v>112.56</v>
      </c>
      <c r="P15" s="457">
        <f t="shared" si="1"/>
        <v>381.33333333333331</v>
      </c>
      <c r="Q15" s="457">
        <f t="shared" ca="1" si="1"/>
        <v>777330.89562144887</v>
      </c>
    </row>
    <row r="17" spans="1:17">
      <c r="A17" s="460" t="s">
        <v>557</v>
      </c>
      <c r="B17" s="764">
        <f ca="1">huishoudens!B10</f>
        <v>0.21535102472389664</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16219.962181014011</v>
      </c>
      <c r="C22" s="447">
        <f t="shared" ref="C22:C32" ca="1" si="3">C4*$C$17</f>
        <v>0</v>
      </c>
      <c r="D22" s="447">
        <f t="shared" ref="D22:D32" si="4">D4*$D$17</f>
        <v>53456.115135776534</v>
      </c>
      <c r="E22" s="447">
        <f t="shared" ref="E22:E32" si="5">E4*$E$17</f>
        <v>372.53258980185944</v>
      </c>
      <c r="F22" s="447">
        <f t="shared" ref="F22:F32" si="6">F4*$F$17</f>
        <v>13358.747591301979</v>
      </c>
      <c r="G22" s="447">
        <f t="shared" ref="G22:G32" si="7">G4*$G$17</f>
        <v>0</v>
      </c>
      <c r="H22" s="447">
        <f t="shared" ref="H22:H32" si="8">H4*$H$17</f>
        <v>0</v>
      </c>
      <c r="I22" s="447">
        <f t="shared" ref="I22:I32" si="9">I4*$I$17</f>
        <v>0</v>
      </c>
      <c r="J22" s="447">
        <f t="shared" ref="J22:J32" si="10">J4*$J$17</f>
        <v>321.37077290807935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83728.728270802458</v>
      </c>
    </row>
    <row r="23" spans="1:17">
      <c r="A23" s="446" t="s">
        <v>149</v>
      </c>
      <c r="B23" s="447">
        <f t="shared" ca="1" si="2"/>
        <v>10822.210150114255</v>
      </c>
      <c r="C23" s="447">
        <f t="shared" ca="1" si="3"/>
        <v>213.88235294117655</v>
      </c>
      <c r="D23" s="447">
        <f t="shared" ca="1" si="4"/>
        <v>17719.687806668091</v>
      </c>
      <c r="E23" s="447">
        <f t="shared" si="5"/>
        <v>90.440713524661064</v>
      </c>
      <c r="F23" s="447">
        <f t="shared" ca="1" si="6"/>
        <v>2898.8188669093829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31745.039890157568</v>
      </c>
    </row>
    <row r="24" spans="1:17">
      <c r="A24" s="446" t="s">
        <v>187</v>
      </c>
      <c r="B24" s="447">
        <f t="shared" ca="1" si="2"/>
        <v>409.00435695173707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409.00435695173707</v>
      </c>
    </row>
    <row r="25" spans="1:17">
      <c r="A25" s="446" t="s">
        <v>105</v>
      </c>
      <c r="B25" s="447">
        <f t="shared" ca="1" si="2"/>
        <v>25.084031915488207</v>
      </c>
      <c r="C25" s="447">
        <f t="shared" ca="1" si="3"/>
        <v>0</v>
      </c>
      <c r="D25" s="447">
        <f t="shared" si="4"/>
        <v>37.372982433818365</v>
      </c>
      <c r="E25" s="447">
        <f t="shared" si="5"/>
        <v>0.24909100864740649</v>
      </c>
      <c r="F25" s="447">
        <f t="shared" si="6"/>
        <v>101.48991898897795</v>
      </c>
      <c r="G25" s="447">
        <f t="shared" si="7"/>
        <v>0</v>
      </c>
      <c r="H25" s="447">
        <f t="shared" si="8"/>
        <v>0</v>
      </c>
      <c r="I25" s="447">
        <f t="shared" si="9"/>
        <v>0</v>
      </c>
      <c r="J25" s="447">
        <f t="shared" si="10"/>
        <v>5.1008251911675906</v>
      </c>
      <c r="K25" s="447">
        <f t="shared" si="11"/>
        <v>0</v>
      </c>
      <c r="L25" s="447">
        <f t="shared" si="12"/>
        <v>0</v>
      </c>
      <c r="M25" s="447">
        <f t="shared" si="13"/>
        <v>0</v>
      </c>
      <c r="N25" s="447">
        <f t="shared" si="14"/>
        <v>0</v>
      </c>
      <c r="O25" s="447">
        <f t="shared" si="15"/>
        <v>0</v>
      </c>
      <c r="P25" s="448">
        <f t="shared" si="16"/>
        <v>0</v>
      </c>
      <c r="Q25" s="446">
        <f t="shared" ca="1" si="17"/>
        <v>169.29684953809951</v>
      </c>
    </row>
    <row r="26" spans="1:17">
      <c r="A26" s="446" t="s">
        <v>665</v>
      </c>
      <c r="B26" s="447">
        <f t="shared" ca="1" si="2"/>
        <v>901.82301359049245</v>
      </c>
      <c r="C26" s="447">
        <f t="shared" ca="1" si="3"/>
        <v>181.34168067226895</v>
      </c>
      <c r="D26" s="447">
        <f t="shared" si="4"/>
        <v>832.76703302207147</v>
      </c>
      <c r="E26" s="447">
        <f t="shared" si="5"/>
        <v>8.1351477674531285</v>
      </c>
      <c r="F26" s="447">
        <f t="shared" si="6"/>
        <v>454.37758158640366</v>
      </c>
      <c r="G26" s="447">
        <f t="shared" si="7"/>
        <v>0</v>
      </c>
      <c r="H26" s="447">
        <f t="shared" si="8"/>
        <v>0</v>
      </c>
      <c r="I26" s="447">
        <f t="shared" si="9"/>
        <v>0</v>
      </c>
      <c r="J26" s="447">
        <f t="shared" si="10"/>
        <v>1.7253442315493142</v>
      </c>
      <c r="K26" s="447">
        <f t="shared" si="11"/>
        <v>0</v>
      </c>
      <c r="L26" s="447">
        <f t="shared" si="12"/>
        <v>0</v>
      </c>
      <c r="M26" s="447">
        <f t="shared" si="13"/>
        <v>0</v>
      </c>
      <c r="N26" s="447">
        <f t="shared" si="14"/>
        <v>0</v>
      </c>
      <c r="O26" s="447">
        <f t="shared" si="15"/>
        <v>0</v>
      </c>
      <c r="P26" s="448">
        <f t="shared" si="16"/>
        <v>0</v>
      </c>
      <c r="Q26" s="446">
        <f t="shared" ca="1" si="17"/>
        <v>2380.1698008702388</v>
      </c>
    </row>
    <row r="27" spans="1:17" s="452" customFormat="1">
      <c r="A27" s="450" t="s">
        <v>562</v>
      </c>
      <c r="B27" s="758">
        <f t="shared" ca="1" si="2"/>
        <v>1.7478616260691189</v>
      </c>
      <c r="C27" s="451">
        <f t="shared" ca="1" si="3"/>
        <v>0</v>
      </c>
      <c r="D27" s="451">
        <f t="shared" si="4"/>
        <v>2.1648748674038383</v>
      </c>
      <c r="E27" s="451">
        <f t="shared" si="5"/>
        <v>158.74961220957886</v>
      </c>
      <c r="F27" s="451">
        <f t="shared" si="6"/>
        <v>0</v>
      </c>
      <c r="G27" s="451">
        <f t="shared" si="7"/>
        <v>37790.53521822008</v>
      </c>
      <c r="H27" s="451">
        <f t="shared" si="8"/>
        <v>6433.3818408543129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44386.579407777448</v>
      </c>
    </row>
    <row r="28" spans="1:17">
      <c r="A28" s="446" t="s">
        <v>552</v>
      </c>
      <c r="B28" s="447">
        <f t="shared" ca="1" si="2"/>
        <v>4.2348652745873938</v>
      </c>
      <c r="C28" s="447">
        <f t="shared" ca="1" si="3"/>
        <v>0</v>
      </c>
      <c r="D28" s="447">
        <f t="shared" si="4"/>
        <v>0</v>
      </c>
      <c r="E28" s="447">
        <f t="shared" si="5"/>
        <v>0</v>
      </c>
      <c r="F28" s="447">
        <f t="shared" si="6"/>
        <v>0</v>
      </c>
      <c r="G28" s="447">
        <f t="shared" si="7"/>
        <v>1047.2304241564502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1051.4652894310377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1075.3821873699803</v>
      </c>
      <c r="C32" s="447">
        <f t="shared" ca="1" si="3"/>
        <v>0</v>
      </c>
      <c r="D32" s="447">
        <f t="shared" si="4"/>
        <v>2284.554722310927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3359.9369096809073</v>
      </c>
    </row>
    <row r="33" spans="1:17" s="459" customFormat="1">
      <c r="A33" s="456" t="s">
        <v>556</v>
      </c>
      <c r="B33" s="457">
        <f ca="1">SUM(B22:B32)</f>
        <v>29459.448647856621</v>
      </c>
      <c r="C33" s="457">
        <f t="shared" ref="C33:Q33" ca="1" si="18">SUM(C22:C32)</f>
        <v>395.2240336134455</v>
      </c>
      <c r="D33" s="457">
        <f t="shared" ca="1" si="18"/>
        <v>74332.662555078859</v>
      </c>
      <c r="E33" s="457">
        <f t="shared" si="18"/>
        <v>630.1071543121999</v>
      </c>
      <c r="F33" s="457">
        <f t="shared" ca="1" si="18"/>
        <v>16813.433958786743</v>
      </c>
      <c r="G33" s="457">
        <f t="shared" si="18"/>
        <v>38837.765642376529</v>
      </c>
      <c r="H33" s="457">
        <f t="shared" si="18"/>
        <v>6433.3818408543129</v>
      </c>
      <c r="I33" s="457">
        <f t="shared" si="18"/>
        <v>0</v>
      </c>
      <c r="J33" s="457">
        <f t="shared" si="18"/>
        <v>328.19694233079622</v>
      </c>
      <c r="K33" s="457">
        <f t="shared" si="18"/>
        <v>0</v>
      </c>
      <c r="L33" s="457">
        <f t="shared" ca="1" si="18"/>
        <v>0</v>
      </c>
      <c r="M33" s="457">
        <f t="shared" si="18"/>
        <v>0</v>
      </c>
      <c r="N33" s="457">
        <f t="shared" ca="1" si="18"/>
        <v>0</v>
      </c>
      <c r="O33" s="457">
        <f t="shared" si="18"/>
        <v>0</v>
      </c>
      <c r="P33" s="457">
        <f t="shared" si="18"/>
        <v>0</v>
      </c>
      <c r="Q33" s="457">
        <f t="shared" ca="1" si="18"/>
        <v>167230.22077520948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3584.3642493668485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1164.1500000000001</v>
      </c>
      <c r="D8" s="1013">
        <f>'SEAP template'!D76</f>
        <v>1369.5882352941178</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276.65682352941184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3584.3642493668485</v>
      </c>
      <c r="C10" s="1017">
        <f>SUM(C4:C9)</f>
        <v>1164.1500000000001</v>
      </c>
      <c r="D10" s="1017">
        <f t="shared" ref="D10:H10" si="0">SUM(D8:D9)</f>
        <v>1369.5882352941178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276.65682352941184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0.21535102472389664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1663.0714285714289</v>
      </c>
      <c r="D17" s="1014">
        <f>'SEAP template'!D87</f>
        <v>1956.55462184874</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395.2240336134455</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1663.0714285714289</v>
      </c>
      <c r="D20" s="1017">
        <f t="shared" ref="D20:H20" si="2">SUM(D17:D19)</f>
        <v>1956.55462184874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395.2240336134455</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0.21535102472389664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0.21535102472389664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0.21535102472389664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15643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331</v>
      </c>
      <c r="C14" s="327"/>
      <c r="D14" s="327"/>
      <c r="E14" s="327"/>
      <c r="F14" s="327"/>
    </row>
    <row r="15" spans="1:6">
      <c r="A15" s="1293" t="s">
        <v>177</v>
      </c>
      <c r="B15" s="1294">
        <v>0</v>
      </c>
      <c r="C15" s="327"/>
      <c r="D15" s="327"/>
      <c r="E15" s="327"/>
      <c r="F15" s="327"/>
    </row>
    <row r="16" spans="1:6">
      <c r="A16" s="1293" t="s">
        <v>6</v>
      </c>
      <c r="B16" s="1294">
        <v>2</v>
      </c>
      <c r="C16" s="327"/>
      <c r="D16" s="327"/>
      <c r="E16" s="327"/>
      <c r="F16" s="327"/>
    </row>
    <row r="17" spans="1:6">
      <c r="A17" s="1293" t="s">
        <v>7</v>
      </c>
      <c r="B17" s="1294">
        <v>0</v>
      </c>
      <c r="C17" s="327"/>
      <c r="D17" s="327"/>
      <c r="E17" s="327"/>
      <c r="F17" s="327"/>
    </row>
    <row r="18" spans="1:6">
      <c r="A18" s="1293" t="s">
        <v>8</v>
      </c>
      <c r="B18" s="1294">
        <v>1</v>
      </c>
      <c r="C18" s="327"/>
      <c r="D18" s="327"/>
      <c r="E18" s="327"/>
      <c r="F18" s="327"/>
    </row>
    <row r="19" spans="1:6">
      <c r="A19" s="1293" t="s">
        <v>9</v>
      </c>
      <c r="B19" s="1294">
        <v>1</v>
      </c>
      <c r="C19" s="327"/>
      <c r="D19" s="327"/>
      <c r="E19" s="327"/>
      <c r="F19" s="327"/>
    </row>
    <row r="20" spans="1:6">
      <c r="A20" s="1293" t="s">
        <v>10</v>
      </c>
      <c r="B20" s="1294">
        <v>1</v>
      </c>
      <c r="C20" s="327"/>
      <c r="D20" s="327"/>
      <c r="E20" s="327"/>
      <c r="F20" s="327"/>
    </row>
    <row r="21" spans="1:6">
      <c r="A21" s="1293" t="s">
        <v>11</v>
      </c>
      <c r="B21" s="1294">
        <v>0</v>
      </c>
      <c r="C21" s="327"/>
      <c r="D21" s="327"/>
      <c r="E21" s="327"/>
      <c r="F21" s="327"/>
    </row>
    <row r="22" spans="1:6">
      <c r="A22" s="1293" t="s">
        <v>12</v>
      </c>
      <c r="B22" s="1294">
        <v>2</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1</v>
      </c>
      <c r="C25" s="327"/>
      <c r="D25" s="327"/>
      <c r="E25" s="327"/>
      <c r="F25" s="327"/>
    </row>
    <row r="26" spans="1:6">
      <c r="A26" s="1293" t="s">
        <v>16</v>
      </c>
      <c r="B26" s="1294">
        <v>22</v>
      </c>
      <c r="C26" s="327"/>
      <c r="D26" s="327"/>
      <c r="E26" s="327"/>
      <c r="F26" s="327"/>
    </row>
    <row r="27" spans="1:6">
      <c r="A27" s="1293" t="s">
        <v>17</v>
      </c>
      <c r="B27" s="1294">
        <v>9</v>
      </c>
      <c r="C27" s="327"/>
      <c r="D27" s="327"/>
      <c r="E27" s="327"/>
      <c r="F27" s="327"/>
    </row>
    <row r="28" spans="1:6">
      <c r="A28" s="1293" t="s">
        <v>18</v>
      </c>
      <c r="B28" s="1295">
        <v>13</v>
      </c>
      <c r="C28" s="327"/>
      <c r="D28" s="327"/>
      <c r="E28" s="327"/>
      <c r="F28" s="327"/>
    </row>
    <row r="29" spans="1:6">
      <c r="A29" s="1293" t="s">
        <v>955</v>
      </c>
      <c r="B29" s="1295">
        <v>113</v>
      </c>
      <c r="C29" s="327"/>
      <c r="D29" s="327"/>
      <c r="E29" s="327"/>
      <c r="F29" s="327"/>
    </row>
    <row r="30" spans="1:6">
      <c r="A30" s="1288" t="s">
        <v>956</v>
      </c>
      <c r="B30" s="1296">
        <v>26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13919.320657644899</v>
      </c>
      <c r="E38" s="1294">
        <v>6</v>
      </c>
      <c r="F38" s="1294">
        <v>122620.177445052</v>
      </c>
    </row>
    <row r="39" spans="1:6">
      <c r="A39" s="1293" t="s">
        <v>29</v>
      </c>
      <c r="B39" s="1293" t="s">
        <v>30</v>
      </c>
      <c r="C39" s="1294">
        <v>13123</v>
      </c>
      <c r="D39" s="1294">
        <v>292778597.60544598</v>
      </c>
      <c r="E39" s="1294">
        <v>15667</v>
      </c>
      <c r="F39" s="1294">
        <v>72424010.791839302</v>
      </c>
    </row>
    <row r="40" spans="1:6">
      <c r="A40" s="1293" t="s">
        <v>29</v>
      </c>
      <c r="B40" s="1293" t="s">
        <v>28</v>
      </c>
      <c r="C40" s="1294">
        <v>2</v>
      </c>
      <c r="D40" s="1294">
        <v>607470.40500676201</v>
      </c>
      <c r="E40" s="1294">
        <v>2</v>
      </c>
      <c r="F40" s="1294">
        <v>271149.63536815997</v>
      </c>
    </row>
    <row r="41" spans="1:6">
      <c r="A41" s="1293" t="s">
        <v>31</v>
      </c>
      <c r="B41" s="1293" t="s">
        <v>32</v>
      </c>
      <c r="C41" s="1294">
        <v>135</v>
      </c>
      <c r="D41" s="1294">
        <v>3803082.0705948998</v>
      </c>
      <c r="E41" s="1294">
        <v>244</v>
      </c>
      <c r="F41" s="1294">
        <v>1805086.9498002101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142923.07972473101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249458.64603757201</v>
      </c>
      <c r="E47" s="1294">
        <v>9</v>
      </c>
      <c r="F47" s="1294">
        <v>319014.50733635097</v>
      </c>
    </row>
    <row r="48" spans="1:6">
      <c r="A48" s="1293" t="s">
        <v>31</v>
      </c>
      <c r="B48" s="1293" t="s">
        <v>28</v>
      </c>
      <c r="C48" s="1294">
        <v>25</v>
      </c>
      <c r="D48" s="1294">
        <v>911217.80079449003</v>
      </c>
      <c r="E48" s="1294">
        <v>32</v>
      </c>
      <c r="F48" s="1294">
        <v>468457.08350840601</v>
      </c>
    </row>
    <row r="49" spans="1:6">
      <c r="A49" s="1293" t="s">
        <v>31</v>
      </c>
      <c r="B49" s="1293" t="s">
        <v>39</v>
      </c>
      <c r="C49" s="1294">
        <v>0</v>
      </c>
      <c r="D49" s="1294">
        <v>0</v>
      </c>
      <c r="E49" s="1294">
        <v>0</v>
      </c>
      <c r="F49" s="1294">
        <v>0</v>
      </c>
    </row>
    <row r="50" spans="1:6">
      <c r="A50" s="1293" t="s">
        <v>31</v>
      </c>
      <c r="B50" s="1293" t="s">
        <v>40</v>
      </c>
      <c r="C50" s="1294">
        <v>9</v>
      </c>
      <c r="D50" s="1294">
        <v>1298715.9077499199</v>
      </c>
      <c r="E50" s="1294">
        <v>11</v>
      </c>
      <c r="F50" s="1294">
        <v>918056.89769854594</v>
      </c>
    </row>
    <row r="51" spans="1:6">
      <c r="A51" s="1293" t="s">
        <v>41</v>
      </c>
      <c r="B51" s="1293" t="s">
        <v>42</v>
      </c>
      <c r="C51" s="1294">
        <v>0</v>
      </c>
      <c r="D51" s="1294">
        <v>0</v>
      </c>
      <c r="E51" s="1294">
        <v>0</v>
      </c>
      <c r="F51" s="1294">
        <v>0</v>
      </c>
    </row>
    <row r="52" spans="1:6">
      <c r="A52" s="1293" t="s">
        <v>41</v>
      </c>
      <c r="B52" s="1293" t="s">
        <v>28</v>
      </c>
      <c r="C52" s="1294">
        <v>4</v>
      </c>
      <c r="D52" s="1294">
        <v>205116.146922232</v>
      </c>
      <c r="E52" s="1294">
        <v>9</v>
      </c>
      <c r="F52" s="1294">
        <v>116479.742539645</v>
      </c>
    </row>
    <row r="53" spans="1:6">
      <c r="A53" s="1293" t="s">
        <v>43</v>
      </c>
      <c r="B53" s="1293" t="s">
        <v>44</v>
      </c>
      <c r="C53" s="1294">
        <v>277</v>
      </c>
      <c r="D53" s="1294">
        <v>11309676.843123401</v>
      </c>
      <c r="E53" s="1294">
        <v>494</v>
      </c>
      <c r="F53" s="1294">
        <v>4993624.6588505302</v>
      </c>
    </row>
    <row r="54" spans="1:6">
      <c r="A54" s="1293" t="s">
        <v>45</v>
      </c>
      <c r="B54" s="1293" t="s">
        <v>46</v>
      </c>
      <c r="C54" s="1294">
        <v>0</v>
      </c>
      <c r="D54" s="1294">
        <v>0</v>
      </c>
      <c r="E54" s="1294">
        <v>1</v>
      </c>
      <c r="F54" s="1294">
        <v>1899245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97</v>
      </c>
      <c r="D57" s="1294">
        <v>8202004.2257912997</v>
      </c>
      <c r="E57" s="1294">
        <v>120</v>
      </c>
      <c r="F57" s="1294">
        <v>5277602.1040837504</v>
      </c>
    </row>
    <row r="58" spans="1:6">
      <c r="A58" s="1293" t="s">
        <v>48</v>
      </c>
      <c r="B58" s="1293" t="s">
        <v>50</v>
      </c>
      <c r="C58" s="1294">
        <v>87</v>
      </c>
      <c r="D58" s="1294">
        <v>19509010.2341877</v>
      </c>
      <c r="E58" s="1294">
        <v>105</v>
      </c>
      <c r="F58" s="1294">
        <v>8055953.7396348799</v>
      </c>
    </row>
    <row r="59" spans="1:6">
      <c r="A59" s="1293" t="s">
        <v>48</v>
      </c>
      <c r="B59" s="1293" t="s">
        <v>51</v>
      </c>
      <c r="C59" s="1294">
        <v>295</v>
      </c>
      <c r="D59" s="1294">
        <v>10903022.2221667</v>
      </c>
      <c r="E59" s="1294">
        <v>454</v>
      </c>
      <c r="F59" s="1294">
        <v>11765075.8067527</v>
      </c>
    </row>
    <row r="60" spans="1:6">
      <c r="A60" s="1293" t="s">
        <v>48</v>
      </c>
      <c r="B60" s="1293" t="s">
        <v>52</v>
      </c>
      <c r="C60" s="1294">
        <v>108</v>
      </c>
      <c r="D60" s="1294">
        <v>8890330.2193316594</v>
      </c>
      <c r="E60" s="1294">
        <v>121</v>
      </c>
      <c r="F60" s="1294">
        <v>4379018.3744152999</v>
      </c>
    </row>
    <row r="61" spans="1:6">
      <c r="A61" s="1293" t="s">
        <v>48</v>
      </c>
      <c r="B61" s="1293" t="s">
        <v>53</v>
      </c>
      <c r="C61" s="1294">
        <v>535</v>
      </c>
      <c r="D61" s="1294">
        <v>36787766.347703002</v>
      </c>
      <c r="E61" s="1294">
        <v>963</v>
      </c>
      <c r="F61" s="1294">
        <v>14848908.853101101</v>
      </c>
    </row>
    <row r="62" spans="1:6">
      <c r="A62" s="1293" t="s">
        <v>48</v>
      </c>
      <c r="B62" s="1293" t="s">
        <v>54</v>
      </c>
      <c r="C62" s="1294">
        <v>23</v>
      </c>
      <c r="D62" s="1294">
        <v>6774780.2038867697</v>
      </c>
      <c r="E62" s="1294">
        <v>35</v>
      </c>
      <c r="F62" s="1294">
        <v>1679746.4745414101</v>
      </c>
    </row>
    <row r="63" spans="1:6">
      <c r="A63" s="1293" t="s">
        <v>48</v>
      </c>
      <c r="B63" s="1293" t="s">
        <v>28</v>
      </c>
      <c r="C63" s="1294">
        <v>99</v>
      </c>
      <c r="D63" s="1294">
        <v>8180566.33150452</v>
      </c>
      <c r="E63" s="1294">
        <v>99</v>
      </c>
      <c r="F63" s="1294">
        <v>3617507.7602224699</v>
      </c>
    </row>
    <row r="64" spans="1:6">
      <c r="A64" s="1293" t="s">
        <v>55</v>
      </c>
      <c r="B64" s="1293" t="s">
        <v>56</v>
      </c>
      <c r="C64" s="1294">
        <v>0</v>
      </c>
      <c r="D64" s="1294">
        <v>0</v>
      </c>
      <c r="E64" s="1294">
        <v>0</v>
      </c>
      <c r="F64" s="1294">
        <v>0</v>
      </c>
    </row>
    <row r="65" spans="1:6">
      <c r="A65" s="1293" t="s">
        <v>55</v>
      </c>
      <c r="B65" s="1293" t="s">
        <v>28</v>
      </c>
      <c r="C65" s="1294">
        <v>6</v>
      </c>
      <c r="D65" s="1294">
        <v>252852.055378188</v>
      </c>
      <c r="E65" s="1294">
        <v>7</v>
      </c>
      <c r="F65" s="1294">
        <v>92104.335428844599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117572.556234102</v>
      </c>
      <c r="E68" s="1296">
        <v>6</v>
      </c>
      <c r="F68" s="1296">
        <v>31142.414578697801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120016192</v>
      </c>
      <c r="E73" s="445"/>
      <c r="F73" s="327"/>
    </row>
    <row r="74" spans="1:6">
      <c r="A74" s="1293" t="s">
        <v>63</v>
      </c>
      <c r="B74" s="1293" t="s">
        <v>749</v>
      </c>
      <c r="C74" s="1306" t="s">
        <v>743</v>
      </c>
      <c r="D74" s="1294">
        <v>6415801.6193618039</v>
      </c>
      <c r="E74" s="445"/>
      <c r="F74" s="327"/>
    </row>
    <row r="75" spans="1:6">
      <c r="A75" s="1293" t="s">
        <v>64</v>
      </c>
      <c r="B75" s="1293" t="s">
        <v>748</v>
      </c>
      <c r="C75" s="1306" t="s">
        <v>744</v>
      </c>
      <c r="D75" s="1294">
        <v>52447127</v>
      </c>
      <c r="E75" s="445"/>
      <c r="F75" s="327"/>
    </row>
    <row r="76" spans="1:6">
      <c r="A76" s="1293" t="s">
        <v>64</v>
      </c>
      <c r="B76" s="1293" t="s">
        <v>749</v>
      </c>
      <c r="C76" s="1306" t="s">
        <v>745</v>
      </c>
      <c r="D76" s="1294">
        <v>357715.61936180422</v>
      </c>
      <c r="E76" s="445"/>
      <c r="F76" s="327"/>
    </row>
    <row r="77" spans="1:6">
      <c r="A77" s="1293" t="s">
        <v>65</v>
      </c>
      <c r="B77" s="1293" t="s">
        <v>748</v>
      </c>
      <c r="C77" s="1306" t="s">
        <v>746</v>
      </c>
      <c r="D77" s="1294">
        <v>26840165</v>
      </c>
      <c r="E77" s="445"/>
      <c r="F77" s="327"/>
    </row>
    <row r="78" spans="1:6">
      <c r="A78" s="1288" t="s">
        <v>65</v>
      </c>
      <c r="B78" s="1288" t="s">
        <v>749</v>
      </c>
      <c r="C78" s="1288" t="s">
        <v>747</v>
      </c>
      <c r="D78" s="1296">
        <v>6827933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1083400.7612763916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2623.5532952359849</v>
      </c>
      <c r="C91" s="327"/>
      <c r="D91" s="327"/>
      <c r="E91" s="327"/>
      <c r="F91" s="327"/>
    </row>
    <row r="92" spans="1:6">
      <c r="A92" s="1288" t="s">
        <v>68</v>
      </c>
      <c r="B92" s="1289">
        <v>960.81095413086337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10619</v>
      </c>
      <c r="C97" s="327"/>
      <c r="D97" s="327"/>
      <c r="E97" s="327"/>
      <c r="F97" s="327"/>
    </row>
    <row r="98" spans="1:6">
      <c r="A98" s="1293" t="s">
        <v>71</v>
      </c>
      <c r="B98" s="1294">
        <v>10</v>
      </c>
      <c r="C98" s="327"/>
      <c r="D98" s="327"/>
      <c r="E98" s="327"/>
      <c r="F98" s="327"/>
    </row>
    <row r="99" spans="1:6">
      <c r="A99" s="1293" t="s">
        <v>72</v>
      </c>
      <c r="B99" s="1294">
        <v>37</v>
      </c>
      <c r="C99" s="327"/>
      <c r="D99" s="327"/>
      <c r="E99" s="327"/>
      <c r="F99" s="327"/>
    </row>
    <row r="100" spans="1:6">
      <c r="A100" s="1293" t="s">
        <v>73</v>
      </c>
      <c r="B100" s="1294">
        <v>1008</v>
      </c>
      <c r="C100" s="327"/>
      <c r="D100" s="327"/>
      <c r="E100" s="327"/>
      <c r="F100" s="327"/>
    </row>
    <row r="101" spans="1:6">
      <c r="A101" s="1293" t="s">
        <v>74</v>
      </c>
      <c r="B101" s="1294">
        <v>130</v>
      </c>
      <c r="C101" s="327"/>
      <c r="D101" s="327"/>
      <c r="E101" s="327"/>
      <c r="F101" s="327"/>
    </row>
    <row r="102" spans="1:6">
      <c r="A102" s="1293" t="s">
        <v>75</v>
      </c>
      <c r="B102" s="1294">
        <v>172</v>
      </c>
      <c r="C102" s="327"/>
      <c r="D102" s="327"/>
      <c r="E102" s="327"/>
      <c r="F102" s="327"/>
    </row>
    <row r="103" spans="1:6">
      <c r="A103" s="1293" t="s">
        <v>76</v>
      </c>
      <c r="B103" s="1294">
        <v>162</v>
      </c>
      <c r="C103" s="327"/>
      <c r="D103" s="327"/>
      <c r="E103" s="327"/>
      <c r="F103" s="327"/>
    </row>
    <row r="104" spans="1:6">
      <c r="A104" s="1293" t="s">
        <v>77</v>
      </c>
      <c r="B104" s="1294">
        <v>2355</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7</v>
      </c>
      <c r="D123" s="327"/>
      <c r="E123" s="327"/>
      <c r="F123" s="327"/>
    </row>
    <row r="124" spans="1:6">
      <c r="A124" s="1293" t="s">
        <v>88</v>
      </c>
      <c r="B124" s="1294">
        <v>3</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63</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136797.34603365287</v>
      </c>
      <c r="C3" s="44" t="s">
        <v>163</v>
      </c>
      <c r="D3" s="44"/>
      <c r="E3" s="157"/>
      <c r="F3" s="44"/>
      <c r="G3" s="44"/>
      <c r="H3" s="44"/>
      <c r="I3" s="44"/>
      <c r="J3" s="44"/>
      <c r="K3" s="97"/>
    </row>
    <row r="4" spans="1:11">
      <c r="A4" s="352" t="s">
        <v>164</v>
      </c>
      <c r="B4" s="50">
        <f>IF(ISERROR('SEAP template'!B78+'SEAP template'!C78),0,'SEAP template'!B78+'SEAP template'!C78)</f>
        <v>4748.5142493668482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276.65682352941184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0.21535102472389664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395.2240336134455</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1663.0714285714289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1899.2449999999999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1899.2449999999999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0.21535102472389664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409.00435695173707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72695.160427207462</v>
      </c>
      <c r="C5" s="18">
        <f>IF(ISERROR('Eigen informatie GS &amp; warmtenet'!B57),0,'Eigen informatie GS &amp; warmtenet'!B57)</f>
        <v>0</v>
      </c>
      <c r="D5" s="31">
        <f>(SUM(HH_hh_gas_kWh,HH_rest_gas_kWh)/1000)*0.902</f>
        <v>264634.23334542837</v>
      </c>
      <c r="E5" s="18">
        <f>B32*B41</f>
        <v>1641.112730404667</v>
      </c>
      <c r="F5" s="18">
        <f>B36*B45</f>
        <v>50032.762514239621</v>
      </c>
      <c r="G5" s="19"/>
      <c r="H5" s="18"/>
      <c r="I5" s="18"/>
      <c r="J5" s="18">
        <f>B35*B44+C35*C44</f>
        <v>907.82704211321857</v>
      </c>
      <c r="K5" s="18"/>
      <c r="L5" s="18"/>
      <c r="M5" s="18"/>
      <c r="N5" s="18">
        <f>B34*B43+C34*C43</f>
        <v>21065.343302085625</v>
      </c>
      <c r="O5" s="18">
        <f>B52*B53*B54</f>
        <v>110.99666666666667</v>
      </c>
      <c r="P5" s="18">
        <f>B60*B61*B62/1000-B60*B61*B62/1000/B63</f>
        <v>362.26666666666665</v>
      </c>
    </row>
    <row r="6" spans="1:16">
      <c r="A6" s="17" t="s">
        <v>622</v>
      </c>
      <c r="B6" s="766">
        <f>kWh_PV_kleiner_dan_10kW</f>
        <v>2623.5532952359849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75318.713722443441</v>
      </c>
      <c r="C8" s="22">
        <f>C5</f>
        <v>0</v>
      </c>
      <c r="D8" s="22">
        <f>D5</f>
        <v>264634.23334542837</v>
      </c>
      <c r="E8" s="22">
        <f>E5</f>
        <v>1641.112730404667</v>
      </c>
      <c r="F8" s="22">
        <f>F5</f>
        <v>50032.762514239621</v>
      </c>
      <c r="G8" s="22"/>
      <c r="H8" s="22"/>
      <c r="I8" s="22"/>
      <c r="J8" s="22">
        <f>J5</f>
        <v>907.82704211321857</v>
      </c>
      <c r="K8" s="22"/>
      <c r="L8" s="22">
        <f>L5</f>
        <v>0</v>
      </c>
      <c r="M8" s="22">
        <f>M5</f>
        <v>0</v>
      </c>
      <c r="N8" s="22">
        <f>N5</f>
        <v>21065.343302085625</v>
      </c>
      <c r="O8" s="22">
        <f>O5</f>
        <v>110.99666666666667</v>
      </c>
      <c r="P8" s="22">
        <f>P5</f>
        <v>362.26666666666665</v>
      </c>
    </row>
    <row r="9" spans="1:16">
      <c r="B9" s="20"/>
      <c r="C9" s="20"/>
      <c r="D9" s="258"/>
      <c r="E9" s="20"/>
      <c r="F9" s="20"/>
      <c r="G9" s="20"/>
      <c r="H9" s="20"/>
      <c r="I9" s="20"/>
      <c r="J9" s="20"/>
      <c r="K9" s="20"/>
      <c r="L9" s="20"/>
      <c r="M9" s="20"/>
      <c r="N9" s="20"/>
      <c r="O9" s="20"/>
      <c r="P9" s="20"/>
    </row>
    <row r="10" spans="1:16">
      <c r="A10" s="25" t="s">
        <v>207</v>
      </c>
      <c r="B10" s="26">
        <f ca="1">'EF ele_warmte'!B12</f>
        <v>0.21535102472389664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16219.962181014011</v>
      </c>
      <c r="C12" s="24">
        <f ca="1">C10*C8</f>
        <v>0</v>
      </c>
      <c r="D12" s="24">
        <f>D8*D10</f>
        <v>53456.115135776534</v>
      </c>
      <c r="E12" s="24">
        <f>E10*E8</f>
        <v>372.53258980185944</v>
      </c>
      <c r="F12" s="24">
        <f>F10*F8</f>
        <v>13358.747591301979</v>
      </c>
      <c r="G12" s="24"/>
      <c r="H12" s="24"/>
      <c r="I12" s="24"/>
      <c r="J12" s="24">
        <f>J10*J8</f>
        <v>321.37077290807935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15643</v>
      </c>
      <c r="C26" s="37"/>
      <c r="D26" s="228"/>
    </row>
    <row r="27" spans="1:5" s="16" customFormat="1">
      <c r="A27" s="230" t="s">
        <v>648</v>
      </c>
      <c r="B27" s="38">
        <f>SUM(HH_hh_gas_aantal,HH_rest_gas_aantal)</f>
        <v>13125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12468.75</v>
      </c>
      <c r="C31" s="35" t="s">
        <v>104</v>
      </c>
      <c r="D31" s="174"/>
    </row>
    <row r="32" spans="1:5">
      <c r="A32" s="171" t="s">
        <v>72</v>
      </c>
      <c r="B32" s="34">
        <f>IF((B21*($B$26-($B$27-0.05*$B$27)-$B$60))&lt;0,0,B21*($B$26-($B$27-0.05*$B$27)-$B$60))</f>
        <v>77.5413117758455</v>
      </c>
      <c r="C32" s="35" t="s">
        <v>104</v>
      </c>
      <c r="D32" s="174"/>
    </row>
    <row r="33" spans="1:6">
      <c r="A33" s="171" t="s">
        <v>73</v>
      </c>
      <c r="B33" s="34">
        <f>IF((B22*($B$26-($B$27-0.05*$B$27)-$B$60))&lt;0,0,B22*($B$26-($B$27-0.05*$B$27)-$B$60))</f>
        <v>521.94397176525149</v>
      </c>
      <c r="C33" s="35" t="s">
        <v>104</v>
      </c>
      <c r="D33" s="174"/>
    </row>
    <row r="34" spans="1:6">
      <c r="A34" s="171" t="s">
        <v>74</v>
      </c>
      <c r="B34" s="34">
        <f>IF((B24*($B$26-($B$27-0.05*$B$27)-$B$60))&lt;0,0,B24*($B$26-($B$27-0.05*$B$27)-$B$60))</f>
        <v>132.37599282173494</v>
      </c>
      <c r="C34" s="34">
        <f>B26*C24</f>
        <v>3199.0299117272971</v>
      </c>
      <c r="D34" s="233"/>
    </row>
    <row r="35" spans="1:6">
      <c r="A35" s="171" t="s">
        <v>76</v>
      </c>
      <c r="B35" s="34">
        <f>IF((B19*($B$26-($B$27-0.05*$B$27)-$B$60))&lt;0,0,B19*($B$26-($B$27-0.05*$B$27)-$B$60))</f>
        <v>49.213204973785082</v>
      </c>
      <c r="C35" s="34">
        <f>B35/2</f>
        <v>24.606602486892541</v>
      </c>
      <c r="D35" s="233"/>
    </row>
    <row r="36" spans="1:6">
      <c r="A36" s="171" t="s">
        <v>77</v>
      </c>
      <c r="B36" s="34">
        <f>IF((B18*($B$26-($B$27-0.05*$B$27)-$B$60))&lt;0,0,B18*($B$26-($B$27-0.05*$B$27)-$B$60))</f>
        <v>2374.1755186633823</v>
      </c>
      <c r="C36" s="35" t="s">
        <v>104</v>
      </c>
      <c r="D36" s="174"/>
    </row>
    <row r="37" spans="1:6">
      <c r="A37" s="171" t="s">
        <v>78</v>
      </c>
      <c r="B37" s="34">
        <f>B60</f>
        <v>19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49623.813112751617</v>
      </c>
      <c r="C5" s="18">
        <f>IF(ISERROR('Eigen informatie GS &amp; warmtenet'!B58),0,'Eigen informatie GS &amp; warmtenet'!B58)</f>
        <v>0</v>
      </c>
      <c r="D5" s="31">
        <f>SUM(D6:D12)</f>
        <v>89521.226765683619</v>
      </c>
      <c r="E5" s="18">
        <f>SUM(E6:E12)</f>
        <v>398.41724019674479</v>
      </c>
      <c r="F5" s="18">
        <f>SUM(F6:F12)</f>
        <v>10856.999501533268</v>
      </c>
      <c r="G5" s="19"/>
      <c r="H5" s="18"/>
      <c r="I5" s="18"/>
      <c r="J5" s="18">
        <f>SUM(J6:J12)</f>
        <v>0</v>
      </c>
      <c r="K5" s="18"/>
      <c r="L5" s="18"/>
      <c r="M5" s="18"/>
      <c r="N5" s="18">
        <f>SUM(N6:N12)</f>
        <v>3419.2632892626766</v>
      </c>
      <c r="O5" s="18">
        <f>B38*B39*B40</f>
        <v>1.5633333333333335</v>
      </c>
      <c r="P5" s="18">
        <f>B46*B47*B48/1000-B46*B47*B48/1000/B49</f>
        <v>19.066666666666666</v>
      </c>
      <c r="R5" s="33"/>
    </row>
    <row r="6" spans="1:18">
      <c r="A6" s="33" t="s">
        <v>53</v>
      </c>
      <c r="B6" s="38">
        <f>B26</f>
        <v>14848.9088531011</v>
      </c>
      <c r="C6" s="34"/>
      <c r="D6" s="38">
        <f>IF(ISERROR(TER_kantoor_gas_kWh/1000),0,TER_kantoor_gas_kWh/1000)*0.902</f>
        <v>33182.56524562811</v>
      </c>
      <c r="E6" s="34">
        <f>$C$26*'E Balans VL '!I12/100/3.6*1000000</f>
        <v>24.370068943147125</v>
      </c>
      <c r="F6" s="34">
        <f>$C$26*('E Balans VL '!L12+'E Balans VL '!N12)/100/3.6*1000000</f>
        <v>1750.3369779280029</v>
      </c>
      <c r="G6" s="35"/>
      <c r="H6" s="34"/>
      <c r="I6" s="34"/>
      <c r="J6" s="34">
        <f>$C$26*('E Balans VL '!D12+'E Balans VL '!E12)/100/3.6*1000000</f>
        <v>0</v>
      </c>
      <c r="K6" s="34"/>
      <c r="L6" s="34"/>
      <c r="M6" s="34"/>
      <c r="N6" s="34">
        <f>$C$26*'E Balans VL '!Y12/100/3.6*1000000</f>
        <v>3.0001517184291244</v>
      </c>
      <c r="O6" s="34"/>
      <c r="P6" s="34"/>
      <c r="R6" s="33"/>
    </row>
    <row r="7" spans="1:18">
      <c r="A7" s="33" t="s">
        <v>52</v>
      </c>
      <c r="B7" s="38">
        <f t="shared" ref="B7:B12" si="0">B27</f>
        <v>4379.0183744153001</v>
      </c>
      <c r="C7" s="34"/>
      <c r="D7" s="38">
        <f>IF(ISERROR(TER_horeca_gas_kWh/1000),0,TER_horeca_gas_kWh/1000)*0.902</f>
        <v>8019.0778578371574</v>
      </c>
      <c r="E7" s="34">
        <f>$C$27*'E Balans VL '!I9/100/3.6*1000000</f>
        <v>227.23936637711478</v>
      </c>
      <c r="F7" s="34">
        <f>$C$27*('E Balans VL '!L9+'E Balans VL '!N9)/100/3.6*1000000</f>
        <v>999.29517047305194</v>
      </c>
      <c r="G7" s="35"/>
      <c r="H7" s="34"/>
      <c r="I7" s="34"/>
      <c r="J7" s="34">
        <f>$C$27*('E Balans VL '!D9+'E Balans VL '!E9)/100/3.6*1000000</f>
        <v>0</v>
      </c>
      <c r="K7" s="34"/>
      <c r="L7" s="34"/>
      <c r="M7" s="34"/>
      <c r="N7" s="34">
        <f>$C$27*'E Balans VL '!Y9/100/3.6*1000000</f>
        <v>0.46242233356553536</v>
      </c>
      <c r="O7" s="34"/>
      <c r="P7" s="34"/>
      <c r="R7" s="33"/>
    </row>
    <row r="8" spans="1:18">
      <c r="A8" s="6" t="s">
        <v>51</v>
      </c>
      <c r="B8" s="38">
        <f t="shared" si="0"/>
        <v>11765.0758067527</v>
      </c>
      <c r="C8" s="34"/>
      <c r="D8" s="38">
        <f>IF(ISERROR(TER_handel_gas_kWh/1000),0,TER_handel_gas_kWh/1000)*0.902</f>
        <v>9834.5260443943644</v>
      </c>
      <c r="E8" s="34">
        <f>$C$28*'E Balans VL '!I13/100/3.6*1000000</f>
        <v>63.356378955026138</v>
      </c>
      <c r="F8" s="34">
        <f>$C$28*('E Balans VL '!L13+'E Balans VL '!N13)/100/3.6*1000000</f>
        <v>2399.2485835601196</v>
      </c>
      <c r="G8" s="35"/>
      <c r="H8" s="34"/>
      <c r="I8" s="34"/>
      <c r="J8" s="34">
        <f>$C$28*('E Balans VL '!D13+'E Balans VL '!E13)/100/3.6*1000000</f>
        <v>0</v>
      </c>
      <c r="K8" s="34"/>
      <c r="L8" s="34"/>
      <c r="M8" s="34"/>
      <c r="N8" s="34">
        <f>$C$28*'E Balans VL '!Y13/100/3.6*1000000</f>
        <v>58.501509028452496</v>
      </c>
      <c r="O8" s="34"/>
      <c r="P8" s="34"/>
      <c r="R8" s="33"/>
    </row>
    <row r="9" spans="1:18">
      <c r="A9" s="33" t="s">
        <v>50</v>
      </c>
      <c r="B9" s="38">
        <f t="shared" si="0"/>
        <v>8055.9537396348796</v>
      </c>
      <c r="C9" s="34"/>
      <c r="D9" s="38">
        <f>IF(ISERROR(TER_gezond_gas_kWh/1000),0,TER_gezond_gas_kWh/1000)*0.902</f>
        <v>17597.127231237304</v>
      </c>
      <c r="E9" s="34">
        <f>$C$29*'E Balans VL '!I10/100/3.6*1000000</f>
        <v>7.9835417679049465</v>
      </c>
      <c r="F9" s="34">
        <f>$C$29*('E Balans VL '!L10+'E Balans VL '!N10)/100/3.6*1000000</f>
        <v>2795.1837436951132</v>
      </c>
      <c r="G9" s="35"/>
      <c r="H9" s="34"/>
      <c r="I9" s="34"/>
      <c r="J9" s="34">
        <f>$C$29*('E Balans VL '!D10+'E Balans VL '!E10)/100/3.6*1000000</f>
        <v>0</v>
      </c>
      <c r="K9" s="34"/>
      <c r="L9" s="34"/>
      <c r="M9" s="34"/>
      <c r="N9" s="34">
        <f>$C$29*'E Balans VL '!Y10/100/3.6*1000000</f>
        <v>69.417455490507152</v>
      </c>
      <c r="O9" s="34"/>
      <c r="P9" s="34"/>
      <c r="R9" s="33"/>
    </row>
    <row r="10" spans="1:18">
      <c r="A10" s="33" t="s">
        <v>49</v>
      </c>
      <c r="B10" s="38">
        <f t="shared" si="0"/>
        <v>5277.6021040837504</v>
      </c>
      <c r="C10" s="34"/>
      <c r="D10" s="38">
        <f>IF(ISERROR(TER_ander_gas_kWh/1000),0,TER_ander_gas_kWh/1000)*0.902</f>
        <v>7398.2078116637522</v>
      </c>
      <c r="E10" s="34">
        <f>$C$30*'E Balans VL '!I14/100/3.6*1000000</f>
        <v>43.176059799063381</v>
      </c>
      <c r="F10" s="34">
        <f>$C$30*('E Balans VL '!L14+'E Balans VL '!N14)/100/3.6*1000000</f>
        <v>1542.9559951536789</v>
      </c>
      <c r="G10" s="35"/>
      <c r="H10" s="34"/>
      <c r="I10" s="34"/>
      <c r="J10" s="34">
        <f>$C$30*('E Balans VL '!D14+'E Balans VL '!E14)/100/3.6*1000000</f>
        <v>0</v>
      </c>
      <c r="K10" s="34"/>
      <c r="L10" s="34"/>
      <c r="M10" s="34"/>
      <c r="N10" s="34">
        <f>$C$30*'E Balans VL '!Y14/100/3.6*1000000</f>
        <v>3044.4839341495735</v>
      </c>
      <c r="O10" s="34"/>
      <c r="P10" s="34"/>
      <c r="R10" s="33"/>
    </row>
    <row r="11" spans="1:18">
      <c r="A11" s="33" t="s">
        <v>54</v>
      </c>
      <c r="B11" s="38">
        <f t="shared" si="0"/>
        <v>1679.7464745414102</v>
      </c>
      <c r="C11" s="34"/>
      <c r="D11" s="38">
        <f>IF(ISERROR(TER_onderwijs_gas_kWh/1000),0,TER_onderwijs_gas_kWh/1000)*0.902</f>
        <v>6110.851743905866</v>
      </c>
      <c r="E11" s="34">
        <f>$C$31*'E Balans VL '!I11/100/3.6*1000000</f>
        <v>1.035324851366912</v>
      </c>
      <c r="F11" s="34">
        <f>$C$31*('E Balans VL '!L11+'E Balans VL '!N11)/100/3.6*1000000</f>
        <v>649.41718999639704</v>
      </c>
      <c r="G11" s="35"/>
      <c r="H11" s="34"/>
      <c r="I11" s="34"/>
      <c r="J11" s="34">
        <f>$C$31*('E Balans VL '!D11+'E Balans VL '!E11)/100/3.6*1000000</f>
        <v>0</v>
      </c>
      <c r="K11" s="34"/>
      <c r="L11" s="34"/>
      <c r="M11" s="34"/>
      <c r="N11" s="34">
        <f>$C$31*'E Balans VL '!Y11/100/3.6*1000000</f>
        <v>5.4638553196994204</v>
      </c>
      <c r="O11" s="34"/>
      <c r="P11" s="34"/>
      <c r="R11" s="33"/>
    </row>
    <row r="12" spans="1:18">
      <c r="A12" s="33" t="s">
        <v>249</v>
      </c>
      <c r="B12" s="38">
        <f t="shared" si="0"/>
        <v>3617.5077602224701</v>
      </c>
      <c r="C12" s="34"/>
      <c r="D12" s="38">
        <f>IF(ISERROR(TER_rest_gas_kWh/1000),0,TER_rest_gas_kWh/1000)*0.902</f>
        <v>7378.8708310170778</v>
      </c>
      <c r="E12" s="34">
        <f>$C$32*'E Balans VL '!I8/100/3.6*1000000</f>
        <v>31.256499503121482</v>
      </c>
      <c r="F12" s="34">
        <f>$C$32*('E Balans VL '!L8+'E Balans VL '!N8)/100/3.6*1000000</f>
        <v>720.56184072690269</v>
      </c>
      <c r="G12" s="35"/>
      <c r="H12" s="34"/>
      <c r="I12" s="34"/>
      <c r="J12" s="34">
        <f>$C$32*('E Balans VL '!D8+'E Balans VL '!E8)/100/3.6*1000000</f>
        <v>0</v>
      </c>
      <c r="K12" s="34"/>
      <c r="L12" s="34"/>
      <c r="M12" s="34"/>
      <c r="N12" s="34">
        <f>$C$32*'E Balans VL '!Y8/100/3.6*1000000</f>
        <v>237.93396122244897</v>
      </c>
      <c r="O12" s="34"/>
      <c r="P12" s="34"/>
      <c r="R12" s="33"/>
    </row>
    <row r="13" spans="1:18">
      <c r="A13" s="17" t="s">
        <v>489</v>
      </c>
      <c r="B13" s="246">
        <f ca="1">'lokale energieproductie'!N40+'lokale energieproductie'!N33</f>
        <v>630.00000000000011</v>
      </c>
      <c r="C13" s="246">
        <f ca="1">'lokale energieproductie'!O40+'lokale energieproductie'!O33</f>
        <v>900.00000000000023</v>
      </c>
      <c r="D13" s="305">
        <f ca="1">('lokale energieproductie'!P33+'lokale energieproductie'!P40)*(-1)</f>
        <v>-1800.0000000000005</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50253.813112751617</v>
      </c>
      <c r="C16" s="22">
        <f t="shared" ca="1" si="1"/>
        <v>900.00000000000023</v>
      </c>
      <c r="D16" s="22">
        <f t="shared" ca="1" si="1"/>
        <v>87721.226765683619</v>
      </c>
      <c r="E16" s="22">
        <f t="shared" si="1"/>
        <v>398.41724019674479</v>
      </c>
      <c r="F16" s="22">
        <f t="shared" ca="1" si="1"/>
        <v>10856.999501533268</v>
      </c>
      <c r="G16" s="22">
        <f t="shared" si="1"/>
        <v>0</v>
      </c>
      <c r="H16" s="22">
        <f t="shared" si="1"/>
        <v>0</v>
      </c>
      <c r="I16" s="22">
        <f t="shared" si="1"/>
        <v>0</v>
      </c>
      <c r="J16" s="22">
        <f t="shared" si="1"/>
        <v>0</v>
      </c>
      <c r="K16" s="22">
        <f t="shared" si="1"/>
        <v>0</v>
      </c>
      <c r="L16" s="22">
        <f t="shared" ca="1" si="1"/>
        <v>0</v>
      </c>
      <c r="M16" s="22">
        <f t="shared" si="1"/>
        <v>0</v>
      </c>
      <c r="N16" s="22">
        <f t="shared" ca="1" si="1"/>
        <v>3419.2632892626766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0.21535102472389664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10822.210150114255</v>
      </c>
      <c r="C20" s="24">
        <f t="shared" ref="C20:P20" ca="1" si="2">C16*C18</f>
        <v>213.88235294117655</v>
      </c>
      <c r="D20" s="24">
        <f t="shared" ca="1" si="2"/>
        <v>17719.687806668091</v>
      </c>
      <c r="E20" s="24">
        <f t="shared" si="2"/>
        <v>90.440713524661064</v>
      </c>
      <c r="F20" s="24">
        <f t="shared" ca="1" si="2"/>
        <v>2898.8188669093829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14848.9088531011</v>
      </c>
      <c r="C26" s="40">
        <f>IF(ISERROR(B26*3.6/1000000/'E Balans VL '!Z12*100),0,B26*3.6/1000000/'E Balans VL '!Z12*100)</f>
        <v>0.31552866451489475</v>
      </c>
      <c r="D26" s="236" t="s">
        <v>685</v>
      </c>
      <c r="F26" s="6"/>
    </row>
    <row r="27" spans="1:18">
      <c r="A27" s="231" t="s">
        <v>52</v>
      </c>
      <c r="B27" s="34">
        <f>IF(ISERROR(TER_horeca_ele_kWh/1000),0,TER_horeca_ele_kWh/1000)</f>
        <v>4379.0183744153001</v>
      </c>
      <c r="C27" s="40">
        <f>IF(ISERROR(B27*3.6/1000000/'E Balans VL '!Z9*100),0,B27*3.6/1000000/'E Balans VL '!Z9*100)</f>
        <v>0.34466260886872202</v>
      </c>
      <c r="D27" s="236" t="s">
        <v>685</v>
      </c>
      <c r="F27" s="6"/>
    </row>
    <row r="28" spans="1:18">
      <c r="A28" s="171" t="s">
        <v>51</v>
      </c>
      <c r="B28" s="34">
        <f>IF(ISERROR(TER_handel_ele_kWh/1000),0,TER_handel_ele_kWh/1000)</f>
        <v>11765.0758067527</v>
      </c>
      <c r="C28" s="40">
        <f>IF(ISERROR(B28*3.6/1000000/'E Balans VL '!Z13*100),0,B28*3.6/1000000/'E Balans VL '!Z13*100)</f>
        <v>0.32954606976713408</v>
      </c>
      <c r="D28" s="236" t="s">
        <v>685</v>
      </c>
      <c r="F28" s="6"/>
    </row>
    <row r="29" spans="1:18">
      <c r="A29" s="231" t="s">
        <v>50</v>
      </c>
      <c r="B29" s="34">
        <f>IF(ISERROR(TER_gezond_ele_kWh/1000),0,TER_gezond_ele_kWh/1000)</f>
        <v>8055.9537396348796</v>
      </c>
      <c r="C29" s="40">
        <f>IF(ISERROR(B29*3.6/1000000/'E Balans VL '!Z10*100),0,B29*3.6/1000000/'E Balans VL '!Z10*100)</f>
        <v>1.0306000855294559</v>
      </c>
      <c r="D29" s="236" t="s">
        <v>685</v>
      </c>
      <c r="F29" s="6"/>
    </row>
    <row r="30" spans="1:18">
      <c r="A30" s="231" t="s">
        <v>49</v>
      </c>
      <c r="B30" s="34">
        <f>IF(ISERROR(TER_ander_ele_kWh/1000),0,TER_ander_ele_kWh/1000)</f>
        <v>5277.6021040837504</v>
      </c>
      <c r="C30" s="40">
        <f>IF(ISERROR(B30*3.6/1000000/'E Balans VL '!Z14*100),0,B30*3.6/1000000/'E Balans VL '!Z14*100)</f>
        <v>0.39472016753329608</v>
      </c>
      <c r="D30" s="236" t="s">
        <v>685</v>
      </c>
      <c r="F30" s="6"/>
    </row>
    <row r="31" spans="1:18">
      <c r="A31" s="231" t="s">
        <v>54</v>
      </c>
      <c r="B31" s="34">
        <f>IF(ISERROR(TER_onderwijs_ele_kWh/1000),0,TER_onderwijs_ele_kWh/1000)</f>
        <v>1679.7464745414102</v>
      </c>
      <c r="C31" s="40">
        <f>IF(ISERROR(B31*3.6/1000000/'E Balans VL '!Z11*100),0,B31*3.6/1000000/'E Balans VL '!Z11*100)</f>
        <v>0.35468064392725873</v>
      </c>
      <c r="D31" s="236" t="s">
        <v>685</v>
      </c>
    </row>
    <row r="32" spans="1:18">
      <c r="A32" s="231" t="s">
        <v>249</v>
      </c>
      <c r="B32" s="34">
        <f>IF(ISERROR(TER_rest_ele_kWh/1000),0,TER_rest_ele_kWh/1000)</f>
        <v>3617.5077602224701</v>
      </c>
      <c r="C32" s="40">
        <f>IF(ISERROR(B32*3.6/1000000/'E Balans VL '!Z8*100),0,B32*3.6/1000000/'E Balans VL '!Z8*100)</f>
        <v>2.9800783174913508E-2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3653.5385180682442</v>
      </c>
      <c r="C5" s="18">
        <f>IF(ISERROR('Eigen informatie GS &amp; warmtenet'!B59),0,'Eigen informatie GS &amp; warmtenet'!B59)</f>
        <v>0</v>
      </c>
      <c r="D5" s="31">
        <f>SUM(D6:D15)</f>
        <v>5648.7519315095478</v>
      </c>
      <c r="E5" s="18">
        <f>SUM(E6:E15)</f>
        <v>35.837655363229644</v>
      </c>
      <c r="F5" s="18">
        <f>SUM(F6:F15)</f>
        <v>1701.7886950801635</v>
      </c>
      <c r="G5" s="19"/>
      <c r="H5" s="18"/>
      <c r="I5" s="18"/>
      <c r="J5" s="18">
        <f>SUM(J6:J15)</f>
        <v>4.8738537614387409</v>
      </c>
      <c r="K5" s="18"/>
      <c r="L5" s="18"/>
      <c r="M5" s="18"/>
      <c r="N5" s="18">
        <f>SUM(N6:N15)</f>
        <v>282.61726811455992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142.92307972473102</v>
      </c>
      <c r="C8" s="34"/>
      <c r="D8" s="38">
        <f>IF( ISERROR(IND_metaal_Gas_kWH/1000),0,IND_metaal_Gas_kWH/1000)*0.902</f>
        <v>0</v>
      </c>
      <c r="E8" s="34">
        <f>C30*'E Balans VL '!I18/100/3.6*1000000</f>
        <v>1.3015747305484251</v>
      </c>
      <c r="F8" s="34">
        <f>C30*'E Balans VL '!L18/100/3.6*1000000+C30*'E Balans VL '!N18/100/3.6*1000000</f>
        <v>18.85046883918266</v>
      </c>
      <c r="G8" s="35"/>
      <c r="H8" s="34"/>
      <c r="I8" s="34"/>
      <c r="J8" s="41">
        <f>C30*'E Balans VL '!D18/100/3.6*1000000+C30*'E Balans VL '!E18/100/3.6*1000000</f>
        <v>2.3437309906462853</v>
      </c>
      <c r="K8" s="34"/>
      <c r="L8" s="34"/>
      <c r="M8" s="34"/>
      <c r="N8" s="34">
        <f>C30*'E Balans VL '!Y18/100/3.6*1000000</f>
        <v>0.49116984896612126</v>
      </c>
      <c r="O8" s="34"/>
      <c r="P8" s="34"/>
      <c r="R8" s="33"/>
    </row>
    <row r="9" spans="1:18">
      <c r="A9" s="6" t="s">
        <v>32</v>
      </c>
      <c r="B9" s="38">
        <f t="shared" si="0"/>
        <v>1805.08694980021</v>
      </c>
      <c r="C9" s="34"/>
      <c r="D9" s="38">
        <f>IF( ISERROR(IND_andere_gas_kWh/1000),0,IND_andere_gas_kWh/1000)*0.902</f>
        <v>3430.3800276765996</v>
      </c>
      <c r="E9" s="34">
        <f>C31*'E Balans VL '!I19/100/3.6*1000000</f>
        <v>10.433672317778209</v>
      </c>
      <c r="F9" s="34">
        <f>C31*'E Balans VL '!L19/100/3.6*1000000+C31*'E Balans VL '!N19/100/3.6*1000000</f>
        <v>1436.03352591302</v>
      </c>
      <c r="G9" s="35"/>
      <c r="H9" s="34"/>
      <c r="I9" s="34"/>
      <c r="J9" s="41">
        <f>C31*'E Balans VL '!D19/100/3.6*1000000+C31*'E Balans VL '!E19/100/3.6*1000000</f>
        <v>0.17074117511316322</v>
      </c>
      <c r="K9" s="34"/>
      <c r="L9" s="34"/>
      <c r="M9" s="34"/>
      <c r="N9" s="34">
        <f>C31*'E Balans VL '!Y19/100/3.6*1000000</f>
        <v>136.76265338279109</v>
      </c>
      <c r="O9" s="34"/>
      <c r="P9" s="34"/>
      <c r="R9" s="33"/>
    </row>
    <row r="10" spans="1:18">
      <c r="A10" s="6" t="s">
        <v>40</v>
      </c>
      <c r="B10" s="38">
        <f t="shared" si="0"/>
        <v>918.05689769854598</v>
      </c>
      <c r="C10" s="34"/>
      <c r="D10" s="38">
        <f>IF( ISERROR(IND_voed_gas_kWh/1000),0,IND_voed_gas_kWh/1000)*0.902</f>
        <v>1171.4417487904279</v>
      </c>
      <c r="E10" s="34">
        <f>C32*'E Balans VL '!I20/100/3.6*1000000</f>
        <v>9.0269010801365983</v>
      </c>
      <c r="F10" s="34">
        <f>C32*'E Balans VL '!L20/100/3.6*1000000+C32*'E Balans VL '!N20/100/3.6*1000000</f>
        <v>101.96220155964043</v>
      </c>
      <c r="G10" s="35"/>
      <c r="H10" s="34"/>
      <c r="I10" s="34"/>
      <c r="J10" s="41">
        <f>C32*'E Balans VL '!D20/100/3.6*1000000+C32*'E Balans VL '!E20/100/3.6*1000000</f>
        <v>3.6184790065833488E-3</v>
      </c>
      <c r="K10" s="34"/>
      <c r="L10" s="34"/>
      <c r="M10" s="34"/>
      <c r="N10" s="34">
        <f>C32*'E Balans VL '!Y20/100/3.6*1000000</f>
        <v>13.594263157464361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319.01450733635096</v>
      </c>
      <c r="C13" s="34"/>
      <c r="D13" s="38">
        <f>IF( ISERROR(IND_papier_gas_kWh/1000),0,IND_papier_gas_kWh/1000)*0.902</f>
        <v>225.01169872588997</v>
      </c>
      <c r="E13" s="34">
        <f>C35*'E Balans VL '!I23/100/3.6*1000000</f>
        <v>10.866096661007308</v>
      </c>
      <c r="F13" s="34">
        <f>C35*'E Balans VL '!L23/100/3.6*1000000+C35*'E Balans VL '!N23/100/3.6*1000000</f>
        <v>52.693709502642285</v>
      </c>
      <c r="G13" s="35"/>
      <c r="H13" s="34"/>
      <c r="I13" s="34"/>
      <c r="J13" s="41">
        <f>C35*'E Balans VL '!D23/100/3.6*1000000+C35*'E Balans VL '!E23/100/3.6*1000000</f>
        <v>0</v>
      </c>
      <c r="K13" s="34"/>
      <c r="L13" s="34"/>
      <c r="M13" s="34"/>
      <c r="N13" s="34">
        <f>C35*'E Balans VL '!Y23/100/3.6*1000000</f>
        <v>117.38878339389815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468.45708350840601</v>
      </c>
      <c r="C15" s="34"/>
      <c r="D15" s="38">
        <f>IF( ISERROR(IND_rest_gas_kWh/1000),0,IND_rest_gas_kWh/1000)*0.902</f>
        <v>821.91845631663</v>
      </c>
      <c r="E15" s="34">
        <f>C37*'E Balans VL '!I15/100/3.6*1000000</f>
        <v>4.2094105737591034</v>
      </c>
      <c r="F15" s="34">
        <f>C37*'E Balans VL '!L15/100/3.6*1000000+C37*'E Balans VL '!N15/100/3.6*1000000</f>
        <v>92.248789265678155</v>
      </c>
      <c r="G15" s="35"/>
      <c r="H15" s="34"/>
      <c r="I15" s="34"/>
      <c r="J15" s="41">
        <f>C37*'E Balans VL '!D15/100/3.6*1000000+C37*'E Balans VL '!E15/100/3.6*1000000</f>
        <v>2.3557631166727093</v>
      </c>
      <c r="K15" s="34"/>
      <c r="L15" s="34"/>
      <c r="M15" s="34"/>
      <c r="N15" s="34">
        <f>C37*'E Balans VL '!Y15/100/3.6*1000000</f>
        <v>14.380398331440251</v>
      </c>
      <c r="O15" s="34"/>
      <c r="P15" s="34"/>
      <c r="R15" s="33"/>
    </row>
    <row r="16" spans="1:18">
      <c r="A16" s="17" t="s">
        <v>489</v>
      </c>
      <c r="B16" s="246">
        <f>'lokale energieproductie'!N39+'lokale energieproductie'!N32</f>
        <v>534.15000000000009</v>
      </c>
      <c r="C16" s="246">
        <f>'lokale energieproductie'!O39+'lokale energieproductie'!O32</f>
        <v>763.07142857142867</v>
      </c>
      <c r="D16" s="305">
        <f>('lokale energieproductie'!P32+'lokale energieproductie'!P39)*(-1)</f>
        <v>-1526.1428571428573</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4187.6885180682439</v>
      </c>
      <c r="C18" s="22">
        <f>C5+C16</f>
        <v>763.07142857142867</v>
      </c>
      <c r="D18" s="22">
        <f>MAX((D5+D16),0)</f>
        <v>4122.60907436669</v>
      </c>
      <c r="E18" s="22">
        <f>MAX((E5+E16),0)</f>
        <v>35.837655363229644</v>
      </c>
      <c r="F18" s="22">
        <f>MAX((F5+F16),0)</f>
        <v>1701.7886950801635</v>
      </c>
      <c r="G18" s="22"/>
      <c r="H18" s="22"/>
      <c r="I18" s="22"/>
      <c r="J18" s="22">
        <f>MAX((J5+J16),0)</f>
        <v>4.8738537614387409</v>
      </c>
      <c r="K18" s="22"/>
      <c r="L18" s="22">
        <f>MAX((L5+L16),0)</f>
        <v>0</v>
      </c>
      <c r="M18" s="22"/>
      <c r="N18" s="22">
        <f>MAX((N5+N16),0)</f>
        <v>282.61726811455992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0.21535102472389664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901.82301359049245</v>
      </c>
      <c r="C22" s="24">
        <f ca="1">C18*C20</f>
        <v>181.34168067226895</v>
      </c>
      <c r="D22" s="24">
        <f>D18*D20</f>
        <v>832.76703302207147</v>
      </c>
      <c r="E22" s="24">
        <f>E18*E20</f>
        <v>8.1351477674531285</v>
      </c>
      <c r="F22" s="24">
        <f>F18*F20</f>
        <v>454.37758158640366</v>
      </c>
      <c r="G22" s="24"/>
      <c r="H22" s="24"/>
      <c r="I22" s="24"/>
      <c r="J22" s="24">
        <f>J18*J20</f>
        <v>1.7253442315493142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142.92307972473102</v>
      </c>
      <c r="C30" s="40">
        <f>IF(ISERROR(B30*3.6/1000000/'E Balans VL '!Z18*100),0,B30*3.6/1000000/'E Balans VL '!Z18*100)</f>
        <v>7.9527136682469753E-3</v>
      </c>
      <c r="D30" s="236" t="s">
        <v>685</v>
      </c>
    </row>
    <row r="31" spans="1:18">
      <c r="A31" s="6" t="s">
        <v>32</v>
      </c>
      <c r="B31" s="38">
        <f>IF( ISERROR(IND_ander_ele_kWh/1000),0,IND_ander_ele_kWh/1000)</f>
        <v>1805.08694980021</v>
      </c>
      <c r="C31" s="40">
        <f>IF(ISERROR(B31*3.6/1000000/'E Balans VL '!Z19*100),0,B31*3.6/1000000/'E Balans VL '!Z19*100)</f>
        <v>8.3913751591452243E-2</v>
      </c>
      <c r="D31" s="236" t="s">
        <v>685</v>
      </c>
    </row>
    <row r="32" spans="1:18">
      <c r="A32" s="171" t="s">
        <v>40</v>
      </c>
      <c r="B32" s="38">
        <f>IF( ISERROR(IND_voed_ele_kWh/1000),0,IND_voed_ele_kWh/1000)</f>
        <v>918.05689769854598</v>
      </c>
      <c r="C32" s="40">
        <f>IF(ISERROR(B32*3.6/1000000/'E Balans VL '!Z20*100),0,B32*3.6/1000000/'E Balans VL '!Z20*100)</f>
        <v>3.2451457239216989E-2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319.01450733635096</v>
      </c>
      <c r="C35" s="40">
        <f>IF(ISERROR(B35*3.6/1000000/'E Balans VL '!Z22*100),0,B35*3.6/1000000/'E Balans VL '!Z22*100)</f>
        <v>6.4112920069418225E-2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468.45708350840601</v>
      </c>
      <c r="C37" s="40">
        <f>IF(ISERROR(B37*3.6/1000000/'E Balans VL '!Z15*100),0,B37*3.6/1000000/'E Balans VL '!Z15*100)</f>
        <v>3.537542996243947E-3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116.479742539645</v>
      </c>
      <c r="C5" s="18">
        <f>'Eigen informatie GS &amp; warmtenet'!B60</f>
        <v>0</v>
      </c>
      <c r="D5" s="31">
        <f>IF(ISERROR(SUM(LB_lb_gas_kWh,LB_rest_gas_kWh)/1000),0,SUM(LB_lb_gas_kWh,LB_rest_gas_kWh)/1000)*0.902</f>
        <v>185.01476452385327</v>
      </c>
      <c r="E5" s="18">
        <f>B17*'E Balans VL '!I25/3.6*1000000/100</f>
        <v>1.0973172187110418</v>
      </c>
      <c r="F5" s="18">
        <f>B17*('E Balans VL '!L25/3.6*1000000+'E Balans VL '!N25/3.6*1000000)/100</f>
        <v>380.11205613849415</v>
      </c>
      <c r="G5" s="19"/>
      <c r="H5" s="18"/>
      <c r="I5" s="18"/>
      <c r="J5" s="18">
        <f>('E Balans VL '!D25+'E Balans VL '!E25)/3.6*1000000*landbouw!B17/100</f>
        <v>14.409110709512968</v>
      </c>
      <c r="K5" s="18"/>
      <c r="L5" s="18">
        <f>L6*(-1)</f>
        <v>0</v>
      </c>
      <c r="M5" s="18"/>
      <c r="N5" s="18">
        <f>N6*(-1)</f>
        <v>0</v>
      </c>
      <c r="O5" s="18"/>
      <c r="P5" s="18"/>
      <c r="R5" s="33"/>
    </row>
    <row r="6" spans="1:18">
      <c r="A6" s="17" t="s">
        <v>489</v>
      </c>
      <c r="B6" s="18" t="s">
        <v>204</v>
      </c>
      <c r="C6" s="18">
        <f>'lokale energieproductie'!O41+'lokale energieproductie'!O34</f>
        <v>0</v>
      </c>
      <c r="D6" s="305">
        <f>('lokale energieproductie'!P34+'lokale energieproductie'!P41)*(-1)</f>
        <v>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116.479742539645</v>
      </c>
      <c r="C8" s="22">
        <f>C5+C6</f>
        <v>0</v>
      </c>
      <c r="D8" s="22">
        <f>MAX((D5+D6),0)</f>
        <v>185.01476452385327</v>
      </c>
      <c r="E8" s="22">
        <f>MAX((E5+E6),0)</f>
        <v>1.0973172187110418</v>
      </c>
      <c r="F8" s="22">
        <f>MAX((F5+F6),0)</f>
        <v>380.11205613849415</v>
      </c>
      <c r="G8" s="22"/>
      <c r="H8" s="22"/>
      <c r="I8" s="22"/>
      <c r="J8" s="22">
        <f>MAX((J5+J6),0)</f>
        <v>14.409110709512968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0.21535102472389664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25.084031915488207</v>
      </c>
      <c r="C12" s="24">
        <f ca="1">C8*C10</f>
        <v>0</v>
      </c>
      <c r="D12" s="24">
        <f>D8*D10</f>
        <v>37.372982433818365</v>
      </c>
      <c r="E12" s="24">
        <f>E8*E10</f>
        <v>0.24909100864740649</v>
      </c>
      <c r="F12" s="24">
        <f>F8*F10</f>
        <v>101.48991898897795</v>
      </c>
      <c r="G12" s="24"/>
      <c r="H12" s="24"/>
      <c r="I12" s="24"/>
      <c r="J12" s="24">
        <f>J8*J10</f>
        <v>5.1008251911675906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1.5769495853081846E-2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2.8862087353454449</v>
      </c>
      <c r="C26" s="246">
        <f>B26*'GWP N2O_CH4'!B5</f>
        <v>60.610383442254346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0.29400777956849561</v>
      </c>
      <c r="C27" s="246">
        <f>B27*'GWP N2O_CH4'!B5</f>
        <v>6.1741633709384081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2.0073796345087176E-2</v>
      </c>
      <c r="C28" s="246">
        <f>B28*'GWP N2O_CH4'!B4</f>
        <v>6.2228768669770247</v>
      </c>
      <c r="D28" s="51"/>
    </row>
    <row r="29" spans="1:4">
      <c r="A29" s="42" t="s">
        <v>266</v>
      </c>
      <c r="B29" s="246">
        <f>B34*'ha_N2O bodem landbouw'!B4</f>
        <v>1.8255857667204944</v>
      </c>
      <c r="C29" s="246">
        <f>B29*'GWP N2O_CH4'!B4</f>
        <v>565.93158768335331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4.928506870874609E-4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2.9218815475413877E-5</v>
      </c>
      <c r="C5" s="433" t="s">
        <v>204</v>
      </c>
      <c r="D5" s="418">
        <f>SUM(D6:D11)</f>
        <v>3.858192832996939E-5</v>
      </c>
      <c r="E5" s="418">
        <f>SUM(E6:E11)</f>
        <v>2.5176149953942024E-3</v>
      </c>
      <c r="F5" s="431" t="s">
        <v>204</v>
      </c>
      <c r="G5" s="418">
        <f>SUM(G6:G11)</f>
        <v>0.50953530631307964</v>
      </c>
      <c r="H5" s="418">
        <f>SUM(H6:H11)</f>
        <v>9.3012749506327416E-2</v>
      </c>
      <c r="I5" s="433" t="s">
        <v>204</v>
      </c>
      <c r="J5" s="433" t="s">
        <v>204</v>
      </c>
      <c r="K5" s="433" t="s">
        <v>204</v>
      </c>
      <c r="L5" s="433" t="s">
        <v>204</v>
      </c>
      <c r="M5" s="418">
        <f>SUM(M6:M11)</f>
        <v>2.6932604097622971E-2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1.685067124656681E-5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1.9625664598876887E-5</v>
      </c>
      <c r="E6" s="421">
        <f>vkm_GW_PW*SUMIFS(TableVerdeelsleutelVkm[LPG],TableVerdeelsleutelVkm[Voertuigtype],"Lichte voertuigen")*SUMIFS(TableECFTransport[EnergieConsumptieFactor (PJ per km)],TableECFTransport[Index],CONCATENATE($A6,"_LPG_LPG"))</f>
        <v>1.2732626869805066E-3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0.19865291774025201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4.7875321745223909E-2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1.1032154772042824E-2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3.7554717137235664E-7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6.2123790038864875E-2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1.6670026609204184E-6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2.7643059974966516E-3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7.6884573516129496E-6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1.4624768799332888E-5</v>
      </c>
      <c r="E8" s="421">
        <f>vkm_NGW_PW*SUMIFS(TableVerdeelsleutelVkm[LPG],TableVerdeelsleutelVkm[Voertuigtype],"Lichte voertuigen")*SUMIFS(TableECFTransport[EnergieConsumptieFactor (PJ per km)],TableECFTransport[Index],CONCATENATE($A8,"_LPG_LPG"))</f>
        <v>8.9896934005647268E-4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0.13203860432702058</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3.400782607498655E-2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7.432898113971206E-3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2.0938784734494211E-8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4.4417073910305721E-3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1.1218627192009033E-7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1.9764116856404881E-4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3.8835297535008243E-6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4.3314949317596118E-6</v>
      </c>
      <c r="E10" s="421">
        <f>vkm_SW_PW*SUMIFS(TableVerdeelsleutelVkm[LPG],TableVerdeelsleutelVkm[Voertuigtype],"Lichte voertuigen")*SUMIFS(TableECFTransport[EnergieConsumptieFactor (PJ per km)],TableECFTransport[Index],CONCATENATE($A10,"_LPG_LPG"))</f>
        <v>3.4538296835722333E-4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5.0347840078931963E-2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1.1125996479174855E-2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2.7498936727093745E-3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3.9967116762644506E-7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6.1930446736979686E-2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1.8260180092555356E-6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2.7557103728388667E-3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8.1163376320594107</v>
      </c>
      <c r="C14" s="22"/>
      <c r="D14" s="22">
        <f t="shared" ref="D14:M14" si="0">((D5)*10^9/3600)+D12</f>
        <v>10.717202313880387</v>
      </c>
      <c r="E14" s="22">
        <f t="shared" si="0"/>
        <v>699.33749872061173</v>
      </c>
      <c r="F14" s="22"/>
      <c r="G14" s="22">
        <f t="shared" si="0"/>
        <v>141537.58508696657</v>
      </c>
      <c r="H14" s="22">
        <f t="shared" si="0"/>
        <v>25836.874862868728</v>
      </c>
      <c r="I14" s="22"/>
      <c r="J14" s="22"/>
      <c r="K14" s="22"/>
      <c r="L14" s="22"/>
      <c r="M14" s="22">
        <f t="shared" si="0"/>
        <v>7481.2789160063812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0.21535102472389664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1.7478616260691189</v>
      </c>
      <c r="C18" s="24"/>
      <c r="D18" s="24">
        <f t="shared" ref="D18:M18" si="1">D14*D16</f>
        <v>2.1648748674038383</v>
      </c>
      <c r="E18" s="24">
        <f t="shared" si="1"/>
        <v>158.74961220957886</v>
      </c>
      <c r="F18" s="24"/>
      <c r="G18" s="24">
        <f t="shared" si="1"/>
        <v>37790.53521822008</v>
      </c>
      <c r="H18" s="24">
        <f t="shared" si="1"/>
        <v>6433.3818408543129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7.079378892234676E-5</v>
      </c>
      <c r="C50" s="316">
        <f t="shared" ref="C50:P50" si="2">SUM(C51:C52)</f>
        <v>0</v>
      </c>
      <c r="D50" s="316">
        <f t="shared" si="2"/>
        <v>0</v>
      </c>
      <c r="E50" s="316">
        <f t="shared" si="2"/>
        <v>0</v>
      </c>
      <c r="F50" s="316">
        <f t="shared" si="2"/>
        <v>0</v>
      </c>
      <c r="G50" s="316">
        <f t="shared" si="2"/>
        <v>1.4119960775143148E-2</v>
      </c>
      <c r="H50" s="316">
        <f t="shared" si="2"/>
        <v>0</v>
      </c>
      <c r="I50" s="316">
        <f t="shared" si="2"/>
        <v>0</v>
      </c>
      <c r="J50" s="316">
        <f t="shared" si="2"/>
        <v>0</v>
      </c>
      <c r="K50" s="316">
        <f t="shared" si="2"/>
        <v>0</v>
      </c>
      <c r="L50" s="316">
        <f t="shared" si="2"/>
        <v>0</v>
      </c>
      <c r="M50" s="316">
        <f t="shared" si="2"/>
        <v>6.2408722765893083E-4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7.079378892234676E-5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1.4119960775143148E-2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6.2408722765893083E-4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19.664941367318544</v>
      </c>
      <c r="C54" s="22">
        <f t="shared" ref="C54:P54" si="3">(C50)*10^9/3600</f>
        <v>0</v>
      </c>
      <c r="D54" s="22">
        <f t="shared" si="3"/>
        <v>0</v>
      </c>
      <c r="E54" s="22">
        <f t="shared" si="3"/>
        <v>0</v>
      </c>
      <c r="F54" s="22">
        <f t="shared" si="3"/>
        <v>0</v>
      </c>
      <c r="G54" s="22">
        <f t="shared" si="3"/>
        <v>3922.2113264286522</v>
      </c>
      <c r="H54" s="22">
        <f t="shared" si="3"/>
        <v>0</v>
      </c>
      <c r="I54" s="22">
        <f t="shared" si="3"/>
        <v>0</v>
      </c>
      <c r="J54" s="22">
        <f t="shared" si="3"/>
        <v>0</v>
      </c>
      <c r="K54" s="22">
        <f t="shared" si="3"/>
        <v>0</v>
      </c>
      <c r="L54" s="22">
        <f t="shared" si="3"/>
        <v>0</v>
      </c>
      <c r="M54" s="22">
        <f t="shared" si="3"/>
        <v>173.35756323859189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0.21535102472389664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4.2348652745873938</v>
      </c>
      <c r="C58" s="24">
        <f t="shared" ref="C58:P58" ca="1" si="4">C54*C56</f>
        <v>0</v>
      </c>
      <c r="D58" s="24">
        <f t="shared" si="4"/>
        <v>0</v>
      </c>
      <c r="E58" s="24">
        <f t="shared" si="4"/>
        <v>0</v>
      </c>
      <c r="F58" s="24">
        <f t="shared" si="4"/>
        <v>0</v>
      </c>
      <c r="G58" s="24">
        <f t="shared" si="4"/>
        <v>1047.2304241564502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3584.3642493668485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1164.1500000000001</v>
      </c>
      <c r="C8" s="544">
        <f>B50</f>
        <v>1369.5882352941178</v>
      </c>
      <c r="D8" s="967"/>
      <c r="E8" s="967">
        <f>E50</f>
        <v>0</v>
      </c>
      <c r="F8" s="968"/>
      <c r="G8" s="545"/>
      <c r="H8" s="967">
        <f>I50</f>
        <v>0</v>
      </c>
      <c r="I8" s="967">
        <f>G50+F50</f>
        <v>0</v>
      </c>
      <c r="J8" s="967">
        <f>H50+D50+C50</f>
        <v>0</v>
      </c>
      <c r="K8" s="967"/>
      <c r="L8" s="967"/>
      <c r="M8" s="967"/>
      <c r="N8" s="546"/>
      <c r="O8" s="547">
        <f>C8*$C$12+D8*$D$12+E8*$E$12+F8*$F$12+G8*$G$12+H8*$H$12+I8*$I$12+J8*$J$12</f>
        <v>276.65682352941184</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4748.5142493668482</v>
      </c>
      <c r="C10" s="556">
        <f t="shared" ref="C10:L10" si="0">SUM(C8:C9)</f>
        <v>1369.5882352941178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276.65682352941184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1663.0714285714289</v>
      </c>
      <c r="C17" s="568">
        <f>B51</f>
        <v>1956.55462184874</v>
      </c>
      <c r="D17" s="569"/>
      <c r="E17" s="569">
        <f>E51</f>
        <v>0</v>
      </c>
      <c r="F17" s="570"/>
      <c r="G17" s="571"/>
      <c r="H17" s="568">
        <f>I51</f>
        <v>0</v>
      </c>
      <c r="I17" s="569">
        <f>G51+F51</f>
        <v>0</v>
      </c>
      <c r="J17" s="569">
        <f>H51+D51+C51</f>
        <v>0</v>
      </c>
      <c r="K17" s="569"/>
      <c r="L17" s="569"/>
      <c r="M17" s="569"/>
      <c r="N17" s="974"/>
      <c r="O17" s="572">
        <f>C17*$C$22+E17*$E$22+H17*$H$22+I17*$I$22+J17*$J$22+D17*$D$22+F17*$F$22+G17*$G$22+K17*$K$22+L17*$L$22</f>
        <v>395.2240336134455</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1663.0714285714289</v>
      </c>
      <c r="C20" s="555">
        <f>SUM(C17:C19)</f>
        <v>1956.55462184874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395.2240336134455</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11008</v>
      </c>
      <c r="C28" s="775">
        <v>2930</v>
      </c>
      <c r="D28" s="628"/>
      <c r="E28" s="627"/>
      <c r="F28" s="627"/>
      <c r="G28" s="627" t="s">
        <v>959</v>
      </c>
      <c r="H28" s="627" t="s">
        <v>960</v>
      </c>
      <c r="I28" s="627"/>
      <c r="J28" s="774"/>
      <c r="K28" s="774"/>
      <c r="L28" s="627" t="s">
        <v>961</v>
      </c>
      <c r="M28" s="627">
        <v>65</v>
      </c>
      <c r="N28" s="627">
        <v>292.5</v>
      </c>
      <c r="O28" s="627">
        <v>417.85714285714289</v>
      </c>
      <c r="P28" s="627">
        <v>835.71428571428578</v>
      </c>
      <c r="Q28" s="627">
        <v>0</v>
      </c>
      <c r="R28" s="627">
        <v>0</v>
      </c>
      <c r="S28" s="627">
        <v>0</v>
      </c>
      <c r="T28" s="627">
        <v>0</v>
      </c>
      <c r="U28" s="627">
        <v>0</v>
      </c>
      <c r="V28" s="627">
        <v>0</v>
      </c>
      <c r="W28" s="627"/>
      <c r="X28" s="627">
        <v>16000</v>
      </c>
      <c r="Y28" s="627" t="s">
        <v>32</v>
      </c>
      <c r="Z28" s="629" t="s">
        <v>378</v>
      </c>
    </row>
    <row r="29" spans="1:26" s="581" customFormat="1" ht="25.5" hidden="1">
      <c r="A29" s="580"/>
      <c r="B29" s="775">
        <v>11008</v>
      </c>
      <c r="C29" s="775">
        <v>2930</v>
      </c>
      <c r="D29" s="628"/>
      <c r="E29" s="627"/>
      <c r="F29" s="627"/>
      <c r="G29" s="627" t="s">
        <v>959</v>
      </c>
      <c r="H29" s="627" t="s">
        <v>960</v>
      </c>
      <c r="I29" s="627"/>
      <c r="J29" s="774"/>
      <c r="K29" s="774"/>
      <c r="L29" s="627" t="s">
        <v>961</v>
      </c>
      <c r="M29" s="627">
        <v>53.7</v>
      </c>
      <c r="N29" s="627">
        <v>241.65000000000003</v>
      </c>
      <c r="O29" s="627">
        <v>345.21428571428578</v>
      </c>
      <c r="P29" s="627">
        <v>690.42857142857156</v>
      </c>
      <c r="Q29" s="627">
        <v>0</v>
      </c>
      <c r="R29" s="627">
        <v>0</v>
      </c>
      <c r="S29" s="627">
        <v>0</v>
      </c>
      <c r="T29" s="627">
        <v>0</v>
      </c>
      <c r="U29" s="627">
        <v>0</v>
      </c>
      <c r="V29" s="627">
        <v>0</v>
      </c>
      <c r="W29" s="627"/>
      <c r="X29" s="627">
        <v>16000</v>
      </c>
      <c r="Y29" s="627" t="s">
        <v>32</v>
      </c>
      <c r="Z29" s="629" t="s">
        <v>378</v>
      </c>
    </row>
    <row r="30" spans="1:26" s="581" customFormat="1" ht="51" hidden="1">
      <c r="A30" s="580"/>
      <c r="B30" s="775">
        <v>11008</v>
      </c>
      <c r="C30" s="775">
        <v>2930</v>
      </c>
      <c r="D30" s="628"/>
      <c r="E30" s="627"/>
      <c r="F30" s="627"/>
      <c r="G30" s="627" t="s">
        <v>959</v>
      </c>
      <c r="H30" s="627" t="s">
        <v>960</v>
      </c>
      <c r="I30" s="627"/>
      <c r="J30" s="774"/>
      <c r="K30" s="774"/>
      <c r="L30" s="627" t="s">
        <v>961</v>
      </c>
      <c r="M30" s="627">
        <v>140</v>
      </c>
      <c r="N30" s="627">
        <v>630.00000000000011</v>
      </c>
      <c r="O30" s="627">
        <v>900.00000000000023</v>
      </c>
      <c r="P30" s="627">
        <v>1800.0000000000005</v>
      </c>
      <c r="Q30" s="627">
        <v>0</v>
      </c>
      <c r="R30" s="627">
        <v>0</v>
      </c>
      <c r="S30" s="627">
        <v>0</v>
      </c>
      <c r="T30" s="627">
        <v>0</v>
      </c>
      <c r="U30" s="627">
        <v>0</v>
      </c>
      <c r="V30" s="627">
        <v>0</v>
      </c>
      <c r="W30" s="627"/>
      <c r="X30" s="627">
        <v>1500</v>
      </c>
      <c r="Y30" s="627" t="s">
        <v>50</v>
      </c>
      <c r="Z30" s="629" t="s">
        <v>149</v>
      </c>
    </row>
    <row r="31" spans="1:26" s="563" customFormat="1" hidden="1">
      <c r="A31" s="583" t="s">
        <v>269</v>
      </c>
      <c r="B31" s="584"/>
      <c r="C31" s="584"/>
      <c r="D31" s="584"/>
      <c r="E31" s="584"/>
      <c r="F31" s="584"/>
      <c r="G31" s="584"/>
      <c r="H31" s="584"/>
      <c r="I31" s="584"/>
      <c r="J31" s="584"/>
      <c r="K31" s="584"/>
      <c r="L31" s="585"/>
      <c r="M31" s="585">
        <f>SUM(M28:M30)</f>
        <v>258.7</v>
      </c>
      <c r="N31" s="585">
        <f>SUM(N28:N30)</f>
        <v>1164.1500000000001</v>
      </c>
      <c r="O31" s="585">
        <f>SUM(O28:O30)</f>
        <v>1663.0714285714289</v>
      </c>
      <c r="P31" s="585">
        <f>SUM(P28:P30)</f>
        <v>3326.1428571428578</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118.7</v>
      </c>
      <c r="N32" s="585">
        <f>SUMIF($Z$28:$Z$30,"industrie",N28:N30)</f>
        <v>534.15000000000009</v>
      </c>
      <c r="O32" s="585">
        <f>SUMIF($Z$28:$Z$30,"industrie",O28:O30)</f>
        <v>763.07142857142867</v>
      </c>
      <c r="P32" s="585">
        <f>SUMIF($Z$28:$Z$30,"industrie",P28:P30)</f>
        <v>1526.1428571428573</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140</v>
      </c>
      <c r="N33" s="585">
        <f ca="1">SUMIF($Z$28:AD30,"tertiair",N28:N30)</f>
        <v>630.00000000000011</v>
      </c>
      <c r="O33" s="585">
        <f ca="1">SUMIF($Z$28:AE30,"tertiair",O28:O30)</f>
        <v>900.00000000000023</v>
      </c>
      <c r="P33" s="585">
        <f ca="1">SUMIF($Z$28:AF30,"tertiair",P28:P30)</f>
        <v>1800.0000000000005</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0</v>
      </c>
      <c r="N34" s="590">
        <f>SUMIF($Z$28:$Z$30,"landbouw",N28:N30)</f>
        <v>0</v>
      </c>
      <c r="O34" s="590">
        <f>SUMIF($Z$28:$Z$30,"landbouw",O28:O30)</f>
        <v>0</v>
      </c>
      <c r="P34" s="590">
        <f>SUMIF($Z$28:$Z$30,"landbouw",P28:P30)</f>
        <v>0</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1369.5882352941178</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1956.55462184874</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2021-11-11T13:29:06Z</dcterms:modified>
</cp:coreProperties>
</file>