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6E33E30-54AE-4E5E-8F0E-FBE51A69E7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P5" i="13"/>
  <c r="P8" i="13" s="1"/>
  <c r="B37" i="13"/>
  <c r="B36" i="13"/>
  <c r="B32" i="13"/>
  <c r="B35" i="13"/>
  <c r="C35" i="13" s="1"/>
  <c r="B34" i="13"/>
  <c r="B33" i="13"/>
  <c r="C34" i="13"/>
  <c r="B67" i="22"/>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<sst xmlns="http://schemas.openxmlformats.org/spreadsheetml/2006/main" count="2574" uniqueCount="980">
  <si>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</si>
  <si>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</si>
  <si>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</si>
  <si>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</si>
  <si>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</si>
  <si>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</si>
  <si>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</si>
  <si>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</si>
  <si>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</si>
  <si>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</si>
  <si>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</si>
  <si>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</si>
  <si>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</si>
  <si>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</si>
  <si>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</si>
  <si>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</si>
  <si>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</si>
  <si>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</si>
  <si>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</si>
  <si>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</si>
  <si>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</si>
  <si>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</si>
  <si>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</si>
  <si>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</si>
  <si>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</si>
  <si>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</si>
  <si>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</si>
  <si>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</si>
  <si>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</si>
  <si>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</si>
  <si>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</si>
  <si>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</si>
  <si>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</si>
  <si>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</si>
  <si>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</si>
  <si>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</si>
  <si>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</si>
  <si>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</si>
  <si>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</si>
  <si>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</si>
  <si>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</si>
  <si>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</si>
  <si>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</si>
  <si>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</si>
  <si>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</si>
  <si>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</si>
  <si>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</si>
  <si>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</si>
  <si>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</si>
  <si>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</si>
  <si>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</si>
  <si>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</si>
  <si>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</si>
  <si>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</si>
  <si>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</si>
  <si>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</si>
  <si>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</si>
  <si>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</si>
  <si>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</si>
  <si>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</si>
  <si>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</si>
  <si>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</si>
  <si>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</si>
  <si>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</si>
  <si>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</si>
  <si>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</si>
  <si>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</si>
  <si>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</si>
  <si>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</si>
  <si>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</si>
  <si>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</si>
  <si>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</si>
  <si>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</si>
  <si>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</si>
  <si>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</si>
  <si>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</si>
  <si>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</si>
  <si>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</si>
  <si>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</si>
  <si>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</si>
  <si>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</si>
  <si>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</si>
  <si>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</si>
  <si>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</si>
  <si>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</si>
  <si>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</si>
  <si>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</si>
  <si>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</si>
  <si>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</si>
  <si>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</si>
  <si>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</si>
  <si>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</si>
  <si>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</si>
  <si>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</si>
  <si>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</si>
  <si>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</si>
  <si>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</si>
  <si>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</si>
  <si>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</si>
  <si>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</si>
  <si>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</si>
  <si>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</si>
  <si>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</si>
  <si>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</si>
  <si>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</si>
  <si>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</si>
  <si>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</si>
  <si>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</si>
  <si>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</si>
  <si>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</si>
  <si>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</si>
  <si>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</si>
  <si>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</si>
  <si>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</si>
  <si>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</si>
  <si>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</si>
  <si>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</si>
  <si>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</si>
  <si>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</si>
  <si>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</si>
  <si>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</si>
  <si>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</si>
  <si>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</si>
  <si>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</si>
  <si>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</si>
  <si>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</si>
  <si>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</si>
  <si>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</si>
  <si>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</si>
  <si>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</si>
  <si>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</si>
  <si>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</si>
  <si>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</si>
  <si>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</si>
  <si>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</si>
  <si>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</si>
  <si>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</si>
  <si>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</si>
  <si>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</si>
  <si>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</si>
  <si>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</si>
  <si>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</si>
  <si>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</si>
  <si>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</si>
  <si>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</si>
  <si>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</si>
  <si>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</si>
  <si>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</si>
  <si>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</si>
  <si>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</si>
  <si>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</si>
  <si>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</si>
  <si>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</si>
  <si>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</si>
  <si>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</si>
  <si>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</si>
  <si>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</si>
  <si>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</si>
  <si>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</si>
  <si>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</si>
  <si>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</si>
  <si>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</si>
  <si>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</si>
  <si>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</si>
  <si>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</si>
  <si>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</si>
  <si>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</si>
  <si>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</si>
  <si>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</si>
  <si>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</si>
  <si>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</si>
  <si>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</si>
  <si>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</si>
  <si>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</si>
  <si>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</si>
  <si>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</si>
  <si>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</si>
  <si>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</si>
  <si>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</si>
  <si>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</si>
  <si>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</si>
  <si>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</si>
  <si>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</si>
  <si>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</si>
  <si>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</si>
  <si>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</si>
  <si>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</si>
  <si>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</si>
  <si>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</si>
  <si>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</si>
  <si>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</si>
  <si>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</si>
  <si>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</si>
  <si>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</si>
  <si>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</si>
  <si>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</si>
  <si>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</si>
  <si>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</si>
  <si>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</si>
  <si>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</si>
  <si>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</si>
  <si>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</si>
  <si>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</si>
  <si>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</si>
  <si>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</si>
  <si>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</si>
  <si>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</si>
  <si>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</si>
  <si>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</si>
  <si>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</si>
  <si>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</si>
  <si>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</si>
  <si>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</si>
  <si>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</si>
  <si>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</si>
  <si>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</si>
  <si>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</si>
  <si>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</si>
  <si>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</si>
  <si>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</si>
  <si>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</si>
  <si>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</si>
  <si>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</si>
  <si>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</si>
  <si>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</si>
  <si>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</si>
  <si>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</si>
  <si>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</si>
  <si>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</si>
  <si>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</si>
  <si>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</si>
  <si>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</si>
  <si>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</si>
  <si>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</si>
  <si>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</si>
  <si>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</si>
  <si>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</si>
  <si>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</si>
  <si>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</si>
  <si>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</si>
  <si>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</si>
  <si>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</si>
  <si>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</si>
  <si>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</si>
  <si>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</si>
  <si>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</si>
  <si>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</si>
  <si>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</si>
  <si>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</si>
  <si>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</si>
  <si>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</si>
  <si>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</si>
  <si>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</si>
  <si>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</si>
  <si>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</si>
  <si>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</si>
  <si>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</si>
  <si>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</si>
  <si>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</si>
  <si>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</si>
  <si>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</si>
  <si>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</si>
  <si>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</si>
  <si>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</si>
  <si>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</si>
  <si>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</si>
  <si>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</si>
  <si>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</si>
  <si>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</si>
  <si>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</si>
  <si>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</si>
  <si>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</si>
  <si>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</si>
  <si>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</si>
  <si>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</si>
  <si>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</si>
  <si>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</si>
  <si>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</si>
  <si>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</si>
  <si>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</si>
  <si>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</si>
  <si>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</si>
  <si>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</si>
  <si>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</si>
  <si>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</si>
  <si>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</si>
  <si>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</si>
  <si>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</si>
  <si>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</si>
  <si>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</si>
  <si>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</si>
  <si>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</si>
  <si>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</si>
  <si>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</si>
  <si>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</si>
  <si>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</si>
  <si>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</si>
  <si>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</si>
  <si>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</si>
  <si>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</si>
  <si>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</si>
  <si>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</si>
  <si>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</si>
  <si>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</si>
  <si>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</si>
  <si>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</si>
  <si>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</si>
  <si>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</si>
  <si>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</si>
  <si>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</si>
  <si>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</si>
  <si>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</si>
  <si>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</si>
  <si>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</si>
  <si>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</si>
  <si>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</si>
  <si>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</si>
  <si>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</si>
  <si>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</si>
  <si>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</si>
  <si>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</si>
  <si>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</si>
  <si>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</si>
  <si>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</si>
  <si>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</si>
  <si>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</si>
  <si>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</si>
  <si>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</si>
  <si>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</si>
  <si>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</si>
  <si>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</si>
  <si>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</si>
  <si>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</si>
  <si>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</si>
  <si>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</si>
  <si>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</si>
  <si>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</si>
  <si>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</si>
  <si>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</si>
  <si>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</si>
  <si>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</si>
  <si>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</si>
  <si>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</si>
  <si>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</si>
  <si>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</si>
  <si>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</si>
  <si>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</si>
  <si>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</si>
  <si>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</si>
  <si>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</si>
  <si>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</si>
  <si>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</si>
  <si>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</si>
  <si>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</si>
  <si>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</si>
  <si>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</si>
  <si>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</si>
  <si>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</si>
  <si>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</si>
  <si>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</si>
  <si>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</si>
  <si>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</si>
  <si>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</si>
  <si>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</si>
  <si>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</si>
  <si>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</si>
  <si>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</si>
  <si>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</si>
  <si>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</si>
  <si>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</si>
  <si>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</si>
  <si>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</si>
  <si>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</si>
  <si>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</si>
  <si>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</si>
  <si>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</si>
  <si>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</si>
  <si>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</si>
  <si>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</si>
  <si>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</si>
  <si>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</si>
  <si>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</si>
  <si>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</si>
  <si>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</si>
  <si>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</si>
  <si>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</si>
  <si>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</si>
  <si>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</si>
  <si>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</si>
  <si>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</si>
  <si>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</si>
  <si>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</si>
  <si>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</si>
  <si>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</si>
  <si>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</si>
  <si>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</si>
  <si>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</si>
  <si>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</si>
  <si>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</si>
  <si>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</si>
  <si>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</si>
  <si>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</si>
  <si>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</si>
  <si>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</si>
  <si>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</si>
  <si>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</si>
  <si>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</si>
  <si>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</si>
  <si>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</si>
  <si>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</si>
  <si>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</si>
  <si>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</si>
  <si>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</si>
  <si>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</si>
  <si>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</si>
  <si>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</si>
  <si>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</si>
  <si>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</si>
  <si>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</si>
  <si>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</si>
  <si>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</si>
  <si>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</si>
  <si>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</si>
  <si>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</si>
  <si>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</si>
  <si>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</si>
  <si>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</si>
  <si>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</si>
  <si>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</si>
  <si>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</si>
  <si>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</si>
  <si>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</si>
  <si>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</si>
  <si>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</si>
  <si>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</si>
  <si>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</si>
  <si>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</si>
  <si>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</si>
  <si>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</si>
  <si>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</si>
  <si>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</si>
  <si>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</si>
  <si>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</si>
  <si>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</si>
  <si>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</si>
  <si>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</si>
  <si>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</si>
  <si>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</si>
  <si>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</si>
  <si>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</si>
  <si>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</si>
  <si>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</si>
  <si>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</si>
  <si>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</si>
  <si>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</si>
  <si>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</si>
  <si>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</si>
  <si>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</si>
  <si>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</si>
  <si>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</si>
  <si>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</si>
  <si>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</si>
  <si>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</si>
  <si>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</si>
  <si>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</si>
  <si>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</si>
  <si>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</si>
  <si>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</si>
  <si>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</si>
  <si>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</si>
  <si>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</si>
  <si>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</si>
  <si>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</si>
  <si>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</si>
  <si>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</si>
  <si>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</si>
  <si>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</si>
  <si>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</si>
  <si>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</si>
  <si>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</si>
  <si>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</si>
  <si>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</si>
  <si>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</si>
  <si>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</si>
  <si>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</si>
  <si>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</si>
  <si>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</si>
  <si>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</si>
  <si>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</si>
  <si>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</si>
  <si>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</si>
  <si>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</si>
  <si>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</si>
  <si>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</si>
  <si>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</si>
  <si>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</si>
  <si>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</si>
  <si>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</si>
  <si>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</si>
  <si>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</si>
  <si>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</si>
  <si>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</si>
  <si>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</si>
  <si>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</si>
  <si>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</si>
  <si>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</si>
  <si>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</si>
  <si>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</si>
  <si>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</si>
  <si>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</si>
  <si>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</si>
  <si>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</si>
  <si>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</si>
  <si>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</si>
  <si>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</si>
  <si>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</si>
  <si>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</si>
  <si>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</si>
  <si>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</si>
  <si>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</si>
  <si>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</si>
  <si>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</si>
  <si>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</si>
  <si>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</si>
  <si>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</si>
  <si>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</si>
  <si>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</si>
  <si>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</si>
  <si>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</si>
  <si>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</si>
  <si>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</si>
  <si>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</si>
  <si>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</si>
  <si>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</si>
  <si>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</si>
  <si>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</si>
  <si>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</si>
  <si>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</si>
  <si>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</si>
  <si>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</si>
  <si>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</si>
  <si>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</si>
  <si>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</si>
  <si>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</si>
  <si>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</si>
  <si>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</si>
  <si>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</si>
  <si>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</si>
  <si>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</si>
  <si>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</si>
  <si>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</si>
  <si>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</si>
  <si>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</si>
  <si>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</si>
  <si>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</si>
  <si>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</si>
  <si>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</si>
  <si>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</si>
  <si>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</si>
  <si>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</si>
  <si>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</si>
  <si>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</si>
  <si>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</si>
  <si>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</si>
  <si>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</si>
  <si>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</si>
  <si>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</si>
  <si>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</si>
  <si>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</si>
  <si>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</si>
  <si>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</si>
  <si>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</si>
  <si>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</si>
  <si>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</si>
  <si>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</si>
  <si>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</si>
  <si>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</si>
  <si>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</si>
  <si>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</si>
  <si>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</si>
  <si>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</si>
  <si>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</si>
  <si>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</si>
  <si>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</si>
  <si>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</si>
  <si>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</si>
  <si>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</si>
  <si>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</si>
  <si>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</si>
  <si>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</si>
  <si>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</si>
  <si>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</si>
  <si>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</si>
  <si>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</si>
  <si>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</si>
  <si>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</si>
  <si>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</si>
  <si>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</si>
  <si>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</si>
  <si>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</si>
  <si>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</si>
  <si>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</si>
  <si>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</si>
  <si>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</si>
  <si>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</si>
  <si>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</si>
  <si>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</si>
  <si>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</si>
  <si>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</si>
  <si>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</si>
  <si>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</si>
  <si>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</si>
  <si>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</si>
  <si>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</si>
  <si>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</si>
  <si>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</si>
  <si>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</si>
  <si>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</si>
  <si>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</si>
  <si>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</si>
  <si>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</si>
  <si>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</si>
  <si>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</si>
  <si>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</si>
  <si>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</si>
  <si>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</si>
  <si>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</si>
  <si>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</si>
  <si>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</si>
  <si>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</si>
  <si>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</si>
  <si>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</si>
  <si>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</si>
  <si>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</si>
  <si>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</si>
  <si>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</si>
  <si>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</si>
  <si>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</si>
  <si>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</si>
  <si>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</si>
  <si>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</si>
  <si>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</si>
  <si>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</si>
  <si>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</si>
  <si>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</si>
  <si>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</si>
  <si>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</si>
  <si>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</si>
  <si>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</si>
  <si>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</si>
  <si>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</si>
  <si>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</si>
  <si>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</si>
  <si>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</si>
  <si>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</si>
  <si>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</si>
  <si>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</si>
  <si>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</si>
  <si>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</si>
  <si>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</si>
  <si>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</si>
  <si>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</si>
  <si>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</si>
  <si>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</si>
  <si>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</si>
  <si>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</si>
  <si>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</si>
  <si>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</si>
  <si>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</si>
  <si>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</si>
  <si>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</si>
  <si>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</si>
  <si>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</si>
  <si>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</si>
  <si>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</si>
  <si>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</si>
  <si>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</si>
  <si>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</si>
  <si>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</si>
  <si>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</si>
  <si>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</si>
  <si>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</si>
  <si>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</si>
  <si>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</si>
  <si>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</si>
  <si>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</si>
  <si>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</si>
  <si>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</si>
  <si>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</si>
  <si>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</si>
  <si>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</si>
  <si>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</si>
  <si>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</si>
  <si>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</si>
  <si>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</si>
  <si>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</si>
  <si>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</si>
  <si>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</si>
  <si>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</si>
  <si>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</si>
  <si>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</si>
  <si>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</si>
  <si>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</si>
  <si>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</si>
  <si>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</si>
  <si>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</si>
  <si>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</si>
  <si>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</si>
  <si>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</si>
  <si>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</si>
  <si>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</si>
  <si>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</si>
  <si>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</si>
  <si>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</si>
  <si>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</si>
  <si>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</si>
  <si>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</si>
  <si>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</si>
  <si>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</si>
  <si>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</si>
  <si>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</si>
  <si>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</si>
  <si>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</si>
  <si>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</si>
  <si>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</si>
  <si>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</si>
  <si>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</si>
  <si>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</si>
  <si>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</si>
  <si>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</si>
  <si>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</si>
  <si>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</si>
  <si>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</si>
  <si>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</si>
  <si>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</si>
  <si>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</si>
  <si>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</si>
  <si>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</si>
  <si>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</si>
  <si>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</si>
  <si>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</si>
  <si>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</si>
  <si>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</si>
  <si>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</si>
  <si>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</si>
  <si>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</si>
  <si>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</si>
  <si>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</si>
  <si>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</si>
  <si>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</si>
  <si>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</si>
  <si>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</si>
  <si>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</si>
  <si>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</si>
  <si>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</si>
  <si>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</si>
  <si>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</si>
  <si>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</si>
  <si>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</si>
  <si>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</si>
  <si>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</si>
  <si>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</si>
  <si>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</si>
  <si>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</si>
  <si>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</si>
  <si>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</si>
  <si>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</si>
  <si>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</si>
  <si>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</si>
  <si>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</si>
  <si>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</si>
  <si>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</si>
  <si>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</si>
  <si>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</si>
  <si>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</si>
  <si>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</si>
  <si>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</si>
  <si>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</si>
  <si>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</si>
  <si>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</si>
  <si>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</si>
  <si>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</si>
  <si>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</si>
  <si>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</si>
  <si>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</si>
  <si>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</si>
  <si>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</si>
  <si>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</si>
  <si>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</si>
  <si>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</si>
  <si>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</si>
  <si>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</si>
  <si>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</si>
  <si>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</si>
  <si>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</si>
  <si>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</si>
  <si>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</si>
  <si>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</si>
  <si>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</si>
  <si>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</si>
  <si>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</si>
  <si>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</si>
  <si>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</si>
  <si>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</si>
  <si>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</si>
  <si>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</si>
  <si>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</si>
  <si>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</si>
  <si>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</si>
  <si>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</si>
  <si>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</si>
  <si>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</si>
  <si>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</si>
  <si>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</si>
  <si>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</si>
  <si>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</si>
  <si>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</si>
  <si>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</si>
  <si>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</si>
  <si>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</si>
  <si>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</si>
  <si>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</si>
  <si>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</si>
  <si>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</si>
  <si>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</si>
  <si>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</si>
  <si>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</si>
  <si>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</si>
  <si>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</si>
  <si>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</si>
  <si>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</si>
  <si>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</si>
  <si>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</si>
  <si>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</si>
  <si>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</si>
  <si>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</si>
  <si>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</si>
  <si>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</si>
  <si>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</si>
  <si>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</si>
  <si>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</si>
  <si>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</si>
  <si>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</si>
  <si>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</si>
  <si>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</si>
  <si>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</si>
  <si>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</si>
  <si>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</si>
  <si>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</si>
  <si>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</si>
  <si>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</si>
  <si>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</si>
  <si>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</si>
  <si>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</si>
  <si>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</si>
  <si>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</si>
  <si>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</si>
  <si>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</si>
  <si>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</si>
  <si>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</si>
  <si>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</si>
  <si>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</si>
  <si>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</si>
  <si>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</si>
  <si>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</si>
  <si>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</si>
  <si>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</si>
  <si>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</si>
  <si>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</si>
  <si>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</si>
  <si>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</si>
  <si>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</si>
  <si>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</si>
  <si>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</si>
  <si>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</si>
  <si>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</si>
  <si>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</si>
  <si>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</si>
  <si>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</si>
  <si>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</si>
  <si>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</si>
  <si>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</si>
  <si>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</si>
  <si>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</si>
  <si>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</si>
  <si>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</si>
  <si>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</si>
  <si>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</si>
  <si>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</si>
  <si>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</si>
  <si>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</si>
  <si>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</si>
  <si>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</si>
  <si>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</si>
  <si>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</si>
  <si>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</si>
  <si>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</si>
  <si>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</si>
  <si>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</si>
  <si>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</si>
  <si>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</si>
  <si>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</si>
  <si>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</si>
  <si>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</si>
  <si>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</si>
  <si>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</si>
  <si>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</si>
  <si>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</si>
  <si>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</si>
  <si>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</si>
  <si>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</si>
  <si>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</si>
  <si>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</si>
  <si>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</si>
  <si>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</si>
  <si>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</si>
  <si>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</si>
  <si>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</si>
  <si>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</si>
  <si>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</si>
  <si>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</si>
  <si>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</si>
  <si>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</si>
  <si>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</si>
  <si>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</si>
  <si>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</si>
  <si>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</si>
  <si>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</si>
  <si>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</si>
  <si>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</si>
  <si>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</si>
  <si>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</si>
  <si>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</si>
  <si>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</si>
  <si>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</si>
  <si>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</si>
  <si>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</si>
  <si>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</si>
  <si>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</si>
  <si>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</si>
  <si>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</si>
  <si>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</si>
  <si>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</si>
  <si>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</si>
  <si>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</si>
  <si>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</si>
  <si>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</si>
  <si>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</si>
  <si>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</si>
  <si>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</si>
  <si>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</si>
  <si>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</si>
  <si>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</si>
  <si>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</si>
  <si>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</si>
  <si>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</si>
  <si>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</si>
  <si>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</si>
  <si>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</si>
  <si>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</si>
  <si>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</si>
  <si>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</si>
  <si>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</si>
  <si>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</si>
  <si>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</si>
  <si>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</si>
  <si>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</si>
  <si>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</si>
  <si>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</si>
  <si>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</si>
  <si>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73006</t>
  </si>
  <si>
    <t>BILZEN</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</si>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</sst>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6A5B8F4-4CD7-40D9-B147-11CD8E8C6B7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73006</v>
      </c>
      <c r="B6" s="384"/>
      <c r="C6" s="385"/>
    </row>
    <row r="7" spans="1:7" s="382" customFormat="1" ht="15.75" customHeight="1">
      <c r="A7" s="386" t="str">
        <f>txtMunicipality</f>
        <v>BILZEN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30350.725000000002</v>
      </c>
      <c r="D10" s="674">
        <f ca="1">tertiair!C16</f>
        <v>0</v>
      </c>
      <c r="E10" s="674">
        <f ca="1">tertiair!D16</f>
        <v>21810.997714000001</v>
      </c>
      <c r="F10" s="674">
        <f>tertiair!E16</f>
        <v>451.2137903143348</v>
      </c>
      <c r="G10" s="674">
        <f ca="1">tertiair!F16</f>
        <v>5727.4694937403892</v>
      </c>
      <c r="H10" s="674">
        <f>tertiair!G16</f>
        <v>0</v>
      </c>
      <c r="I10" s="674">
        <f>tertiair!H16</f>
        <v>0</v>
      </c>
      <c r="J10" s="674">
        <f>tertiair!I16</f>
        <v>0</v>
      </c>
      <c r="K10" s="674">
        <f>tertiair!J16</f>
        <v>0</v>
      </c>
      <c r="L10" s="674">
        <f>tertiair!K16</f>
        <v>0</v>
      </c>
      <c r="M10" s="674">
        <f ca="1">tertiair!L16</f>
        <v>0</v>
      </c>
      <c r="N10" s="674">
        <f>tertiair!M16</f>
        <v>0</v>
      </c>
      <c r="O10" s="674">
        <f ca="1">tertiair!N16</f>
        <v>1601.7878533569803</v>
      </c>
      <c r="P10" s="674">
        <f>tertiair!O16</f>
        <v>1.5633333333333335</v>
      </c>
      <c r="Q10" s="675">
        <f>tertiair!P16</f>
        <v>0</v>
      </c>
      <c r="R10" s="677">
        <f ca="1">SUM(C10:Q10)</f>
        <v>59943.757184745045</v>
      </c>
      <c r="S10" s="67"/>
    </row>
    <row r="11" spans="1:19" s="443" customFormat="1">
      <c r="A11" s="789" t="s">
        <v>214</v>
      </c>
      <c r="B11" s="794"/>
      <c r="C11" s="674">
        <f>huishoudens!B8</f>
        <v>55624.216736493567</v>
      </c>
      <c r="D11" s="674">
        <f>huishoudens!C8</f>
        <v>0</v>
      </c>
      <c r="E11" s="674">
        <f>huishoudens!D8</f>
        <v>70474.297299999991</v>
      </c>
      <c r="F11" s="674">
        <f>huishoudens!E8</f>
        <v>3672.9055162189466</v>
      </c>
      <c r="G11" s="674">
        <f>huishoudens!F8</f>
        <v>125372.4100444034</v>
      </c>
      <c r="H11" s="674">
        <f>huishoudens!G8</f>
        <v>0</v>
      </c>
      <c r="I11" s="674">
        <f>huishoudens!H8</f>
        <v>0</v>
      </c>
      <c r="J11" s="674">
        <f>huishoudens!I8</f>
        <v>0</v>
      </c>
      <c r="K11" s="674">
        <f>huishoudens!J8</f>
        <v>2823.0688191356794</v>
      </c>
      <c r="L11" s="674">
        <f>huishoudens!K8</f>
        <v>0</v>
      </c>
      <c r="M11" s="674">
        <f>huishoudens!L8</f>
        <v>0</v>
      </c>
      <c r="N11" s="674">
        <f>huishoudens!M8</f>
        <v>0</v>
      </c>
      <c r="O11" s="674">
        <f>huishoudens!N8</f>
        <v>15856.775432107952</v>
      </c>
      <c r="P11" s="674">
        <f>huishoudens!O8</f>
        <v>196.98000000000002</v>
      </c>
      <c r="Q11" s="675">
        <f>huishoudens!P8</f>
        <v>495.73333333333335</v>
      </c>
      <c r="R11" s="677">
        <f>SUM(C11:Q11)</f>
        <v>274516.38718169287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16135.307000000003</v>
      </c>
      <c r="D13" s="674">
        <f>industrie!C18</f>
        <v>6621.4285714285716</v>
      </c>
      <c r="E13" s="674">
        <f>industrie!D18</f>
        <v>104448.78593714286</v>
      </c>
      <c r="F13" s="674">
        <f>industrie!E18</f>
        <v>175.56431456539647</v>
      </c>
      <c r="G13" s="674">
        <f>industrie!F18</f>
        <v>6772.2310167346322</v>
      </c>
      <c r="H13" s="674">
        <f>industrie!G18</f>
        <v>0</v>
      </c>
      <c r="I13" s="674">
        <f>industrie!H18</f>
        <v>0</v>
      </c>
      <c r="J13" s="674">
        <f>industrie!I18</f>
        <v>0</v>
      </c>
      <c r="K13" s="674">
        <f>industrie!J18</f>
        <v>32.989125391540732</v>
      </c>
      <c r="L13" s="674">
        <f>industrie!K18</f>
        <v>0</v>
      </c>
      <c r="M13" s="674">
        <f>industrie!L18</f>
        <v>0</v>
      </c>
      <c r="N13" s="674">
        <f>industrie!M18</f>
        <v>0</v>
      </c>
      <c r="O13" s="674">
        <f>industrie!N18</f>
        <v>626.39964433511614</v>
      </c>
      <c r="P13" s="674">
        <f>industrie!O18</f>
        <v>0</v>
      </c>
      <c r="Q13" s="675">
        <f>industrie!P18</f>
        <v>0</v>
      </c>
      <c r="R13" s="677">
        <f>SUM(C13:Q13)</f>
        <v>134812.70560959811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102110.24873649357</v>
      </c>
      <c r="D16" s="707">
        <f t="shared" ref="D16:R16" ca="1" si="0">SUM(D9:D15)</f>
        <v>6621.4285714285716</v>
      </c>
      <c r="E16" s="707">
        <f t="shared" ca="1" si="0"/>
        <v>196734.08095114285</v>
      </c>
      <c r="F16" s="707">
        <f t="shared" si="0"/>
        <v>4299.6836210986776</v>
      </c>
      <c r="G16" s="707">
        <f t="shared" ca="1" si="0"/>
        <v>137872.11055487843</v>
      </c>
      <c r="H16" s="707">
        <f t="shared" si="0"/>
        <v>0</v>
      </c>
      <c r="I16" s="707">
        <f t="shared" si="0"/>
        <v>0</v>
      </c>
      <c r="J16" s="707">
        <f t="shared" si="0"/>
        <v>0</v>
      </c>
      <c r="K16" s="707">
        <f t="shared" si="0"/>
        <v>2856.0579445272201</v>
      </c>
      <c r="L16" s="707">
        <f t="shared" si="0"/>
        <v>0</v>
      </c>
      <c r="M16" s="707">
        <f t="shared" ca="1" si="0"/>
        <v>0</v>
      </c>
      <c r="N16" s="707">
        <f t="shared" si="0"/>
        <v>0</v>
      </c>
      <c r="O16" s="707">
        <f t="shared" ca="1" si="0"/>
        <v>18084.962929800051</v>
      </c>
      <c r="P16" s="707">
        <f t="shared" si="0"/>
        <v>198.54333333333335</v>
      </c>
      <c r="Q16" s="707">
        <f t="shared" si="0"/>
        <v>495.73333333333335</v>
      </c>
      <c r="R16" s="707">
        <f t="shared" ca="1" si="0"/>
        <v>469272.849976036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14.357909884312894</v>
      </c>
      <c r="D19" s="674">
        <f>transport!C54</f>
        <v>0</v>
      </c>
      <c r="E19" s="674">
        <f>transport!D54</f>
        <v>0</v>
      </c>
      <c r="F19" s="674">
        <f>transport!E54</f>
        <v>0</v>
      </c>
      <c r="G19" s="674">
        <f>transport!F54</f>
        <v>0</v>
      </c>
      <c r="H19" s="674">
        <f>transport!G54</f>
        <v>3114.804398020181</v>
      </c>
      <c r="I19" s="674">
        <f>transport!H54</f>
        <v>0</v>
      </c>
      <c r="J19" s="674">
        <f>transport!I54</f>
        <v>0</v>
      </c>
      <c r="K19" s="674">
        <f>transport!J54</f>
        <v>0</v>
      </c>
      <c r="L19" s="674">
        <f>transport!K54</f>
        <v>0</v>
      </c>
      <c r="M19" s="674">
        <f>transport!L54</f>
        <v>0</v>
      </c>
      <c r="N19" s="674">
        <f>transport!M54</f>
        <v>133.36395958385867</v>
      </c>
      <c r="O19" s="674">
        <f>transport!N54</f>
        <v>0</v>
      </c>
      <c r="P19" s="674">
        <f>transport!O54</f>
        <v>0</v>
      </c>
      <c r="Q19" s="675">
        <f>transport!P54</f>
        <v>0</v>
      </c>
      <c r="R19" s="677">
        <f>SUM(C19:Q19)</f>
        <v>3262.5262674883525</v>
      </c>
      <c r="S19" s="67"/>
    </row>
    <row r="20" spans="1:19" s="443" customFormat="1">
      <c r="A20" s="789" t="s">
        <v>296</v>
      </c>
      <c r="B20" s="794"/>
      <c r="C20" s="674">
        <f>transport!B14</f>
        <v>2.2731905050857009</v>
      </c>
      <c r="D20" s="674">
        <f>transport!C14</f>
        <v>0</v>
      </c>
      <c r="E20" s="674">
        <f>transport!D14</f>
        <v>7.8414612519649767</v>
      </c>
      <c r="F20" s="674">
        <f>transport!E14</f>
        <v>841.4206498602224</v>
      </c>
      <c r="G20" s="674">
        <f>transport!F14</f>
        <v>0</v>
      </c>
      <c r="H20" s="674">
        <f>transport!G14</f>
        <v>153806.39517906276</v>
      </c>
      <c r="I20" s="674">
        <f>transport!H14</f>
        <v>26022.373688333544</v>
      </c>
      <c r="J20" s="674">
        <f>transport!I14</f>
        <v>0</v>
      </c>
      <c r="K20" s="674">
        <f>transport!J14</f>
        <v>0</v>
      </c>
      <c r="L20" s="674">
        <f>transport!K14</f>
        <v>0</v>
      </c>
      <c r="M20" s="674">
        <f>transport!L14</f>
        <v>0</v>
      </c>
      <c r="N20" s="674">
        <f>transport!M14</f>
        <v>7823.5342712565944</v>
      </c>
      <c r="O20" s="674">
        <f>transport!N14</f>
        <v>0</v>
      </c>
      <c r="P20" s="674">
        <f>transport!O14</f>
        <v>0</v>
      </c>
      <c r="Q20" s="675">
        <f>transport!P14</f>
        <v>0</v>
      </c>
      <c r="R20" s="677">
        <f>SUM(C20:Q20)</f>
        <v>188503.83844027016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16.631100389398597</v>
      </c>
      <c r="D22" s="792">
        <f t="shared" ref="D22:R22" si="1">SUM(D18:D21)</f>
        <v>0</v>
      </c>
      <c r="E22" s="792">
        <f t="shared" si="1"/>
        <v>7.8414612519649767</v>
      </c>
      <c r="F22" s="792">
        <f t="shared" si="1"/>
        <v>841.4206498602224</v>
      </c>
      <c r="G22" s="792">
        <f t="shared" si="1"/>
        <v>0</v>
      </c>
      <c r="H22" s="792">
        <f t="shared" si="1"/>
        <v>156921.19957708294</v>
      </c>
      <c r="I22" s="792">
        <f t="shared" si="1"/>
        <v>26022.373688333544</v>
      </c>
      <c r="J22" s="792">
        <f t="shared" si="1"/>
        <v>0</v>
      </c>
      <c r="K22" s="792">
        <f t="shared" si="1"/>
        <v>0</v>
      </c>
      <c r="L22" s="792">
        <f t="shared" si="1"/>
        <v>0</v>
      </c>
      <c r="M22" s="792">
        <f t="shared" si="1"/>
        <v>0</v>
      </c>
      <c r="N22" s="792">
        <f t="shared" si="1"/>
        <v>7956.8982308404529</v>
      </c>
      <c r="O22" s="792">
        <f t="shared" si="1"/>
        <v>0</v>
      </c>
      <c r="P22" s="792">
        <f t="shared" si="1"/>
        <v>0</v>
      </c>
      <c r="Q22" s="792">
        <f t="shared" si="1"/>
        <v>0</v>
      </c>
      <c r="R22" s="792">
        <f t="shared" si="1"/>
        <v>191766.3647077585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3043.1469999999999</v>
      </c>
      <c r="D24" s="674">
        <f>+landbouw!C8</f>
        <v>0</v>
      </c>
      <c r="E24" s="674">
        <f>+landbouw!D8</f>
        <v>2790.7320760000002</v>
      </c>
      <c r="F24" s="674">
        <f>+landbouw!E8</f>
        <v>31.868494198459203</v>
      </c>
      <c r="G24" s="674">
        <f>+landbouw!F8</f>
        <v>13026.981460635201</v>
      </c>
      <c r="H24" s="674">
        <f>+landbouw!G8</f>
        <v>0</v>
      </c>
      <c r="I24" s="674">
        <f>+landbouw!H8</f>
        <v>0</v>
      </c>
      <c r="J24" s="674">
        <f>+landbouw!I8</f>
        <v>0</v>
      </c>
      <c r="K24" s="674">
        <f>+landbouw!J8</f>
        <v>271.78030329188357</v>
      </c>
      <c r="L24" s="674">
        <f>+landbouw!K8</f>
        <v>0</v>
      </c>
      <c r="M24" s="674">
        <f>+landbouw!L8</f>
        <v>0</v>
      </c>
      <c r="N24" s="674">
        <f>+landbouw!M8</f>
        <v>0</v>
      </c>
      <c r="O24" s="674">
        <f>+landbouw!N8</f>
        <v>0</v>
      </c>
      <c r="P24" s="674">
        <f>+landbouw!O8</f>
        <v>0</v>
      </c>
      <c r="Q24" s="675">
        <f>+landbouw!P8</f>
        <v>0</v>
      </c>
      <c r="R24" s="677">
        <f>SUM(C24:Q24)</f>
        <v>19164.509334125541</v>
      </c>
      <c r="S24" s="67"/>
    </row>
    <row r="25" spans="1:19" s="443" customFormat="1" ht="15" thickBot="1">
      <c r="A25" s="811" t="s">
        <v>889</v>
      </c>
      <c r="B25" s="966"/>
      <c r="C25" s="967">
        <f>IF(Onbekend_ele_kWh="---",0,Onbekend_ele_kWh)/1000+IF(REST_rest_ele_kWh="---",0,REST_rest_ele_kWh)/1000</f>
        <v>8091.3329999999996</v>
      </c>
      <c r="D25" s="967"/>
      <c r="E25" s="967">
        <f>IF(onbekend_gas_kWh="---",0,onbekend_gas_kWh)/1000+IF(REST_rest_gas_kWh="---",0,REST_rest_gas_kWh)/1000</f>
        <v>3475.5749999999998</v>
      </c>
      <c r="F25" s="967"/>
      <c r="G25" s="967"/>
      <c r="H25" s="967"/>
      <c r="I25" s="967"/>
      <c r="J25" s="967"/>
      <c r="K25" s="967"/>
      <c r="L25" s="967"/>
      <c r="M25" s="967"/>
      <c r="N25" s="967"/>
      <c r="O25" s="967"/>
      <c r="P25" s="967"/>
      <c r="Q25" s="968"/>
      <c r="R25" s="677">
        <f>SUM(C25:Q25)</f>
        <v>11566.907999999999</v>
      </c>
      <c r="S25" s="67"/>
    </row>
    <row r="26" spans="1:19" s="443" customFormat="1" ht="15.75" thickBot="1">
      <c r="A26" s="680" t="s">
        <v>890</v>
      </c>
      <c r="B26" s="797"/>
      <c r="C26" s="792">
        <f>SUM(C24:C25)</f>
        <v>11134.48</v>
      </c>
      <c r="D26" s="792">
        <f t="shared" ref="D26:R26" si="2">SUM(D24:D25)</f>
        <v>0</v>
      </c>
      <c r="E26" s="792">
        <f t="shared" si="2"/>
        <v>6266.3070760000001</v>
      </c>
      <c r="F26" s="792">
        <f t="shared" si="2"/>
        <v>31.868494198459203</v>
      </c>
      <c r="G26" s="792">
        <f t="shared" si="2"/>
        <v>13026.981460635201</v>
      </c>
      <c r="H26" s="792">
        <f t="shared" si="2"/>
        <v>0</v>
      </c>
      <c r="I26" s="792">
        <f t="shared" si="2"/>
        <v>0</v>
      </c>
      <c r="J26" s="792">
        <f t="shared" si="2"/>
        <v>0</v>
      </c>
      <c r="K26" s="792">
        <f t="shared" si="2"/>
        <v>271.78030329188357</v>
      </c>
      <c r="L26" s="792">
        <f t="shared" si="2"/>
        <v>0</v>
      </c>
      <c r="M26" s="792">
        <f t="shared" si="2"/>
        <v>0</v>
      </c>
      <c r="N26" s="792">
        <f t="shared" si="2"/>
        <v>0</v>
      </c>
      <c r="O26" s="792">
        <f t="shared" si="2"/>
        <v>0</v>
      </c>
      <c r="P26" s="792">
        <f t="shared" si="2"/>
        <v>0</v>
      </c>
      <c r="Q26" s="792">
        <f t="shared" si="2"/>
        <v>0</v>
      </c>
      <c r="R26" s="792">
        <f t="shared" si="2"/>
        <v>30731.417334125541</v>
      </c>
      <c r="S26" s="67"/>
    </row>
    <row r="27" spans="1:19" s="443" customFormat="1" ht="17.25" thickTop="1" thickBot="1">
      <c r="A27" s="681" t="s">
        <v>109</v>
      </c>
      <c r="B27" s="784"/>
      <c r="C27" s="682">
        <f ca="1">C22+C16+C26</f>
        <v>113261.35983688296</v>
      </c>
      <c r="D27" s="682">
        <f t="shared" ref="D27:R27" ca="1" si="3">D22+D16+D26</f>
        <v>6621.4285714285716</v>
      </c>
      <c r="E27" s="682">
        <f t="shared" ca="1" si="3"/>
        <v>203008.22948839481</v>
      </c>
      <c r="F27" s="682">
        <f t="shared" si="3"/>
        <v>5172.9727651573594</v>
      </c>
      <c r="G27" s="682">
        <f t="shared" ca="1" si="3"/>
        <v>150899.09201551363</v>
      </c>
      <c r="H27" s="682">
        <f t="shared" si="3"/>
        <v>156921.19957708294</v>
      </c>
      <c r="I27" s="682">
        <f t="shared" si="3"/>
        <v>26022.373688333544</v>
      </c>
      <c r="J27" s="682">
        <f t="shared" si="3"/>
        <v>0</v>
      </c>
      <c r="K27" s="682">
        <f t="shared" si="3"/>
        <v>3127.8382478191038</v>
      </c>
      <c r="L27" s="682">
        <f t="shared" si="3"/>
        <v>0</v>
      </c>
      <c r="M27" s="682">
        <f t="shared" ca="1" si="3"/>
        <v>0</v>
      </c>
      <c r="N27" s="682">
        <f t="shared" si="3"/>
        <v>7956.8982308404529</v>
      </c>
      <c r="O27" s="682">
        <f t="shared" ca="1" si="3"/>
        <v>18084.962929800051</v>
      </c>
      <c r="P27" s="682">
        <f t="shared" si="3"/>
        <v>198.54333333333335</v>
      </c>
      <c r="Q27" s="682">
        <f t="shared" si="3"/>
        <v>495.73333333333335</v>
      </c>
      <c r="R27" s="682">
        <f t="shared" ca="1" si="3"/>
        <v>691770.63201792003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6315.4967743324978</v>
      </c>
      <c r="D40" s="674">
        <f ca="1">tertiair!C20</f>
        <v>0</v>
      </c>
      <c r="E40" s="674">
        <f ca="1">tertiair!D20</f>
        <v>4405.8215382280005</v>
      </c>
      <c r="F40" s="674">
        <f>tertiair!E20</f>
        <v>102.42553040135401</v>
      </c>
      <c r="G40" s="674">
        <f ca="1">tertiair!F20</f>
        <v>1529.234354828684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12352.978197790537</v>
      </c>
    </row>
    <row r="41" spans="1:18">
      <c r="A41" s="802" t="s">
        <v>214</v>
      </c>
      <c r="B41" s="809"/>
      <c r="C41" s="674">
        <f ca="1">huishoudens!B12</f>
        <v>11574.503125513371</v>
      </c>
      <c r="D41" s="674">
        <f ca="1">huishoudens!C12</f>
        <v>0</v>
      </c>
      <c r="E41" s="674">
        <f>huishoudens!D12</f>
        <v>14235.808054599998</v>
      </c>
      <c r="F41" s="674">
        <f>huishoudens!E12</f>
        <v>833.74955218170089</v>
      </c>
      <c r="G41" s="674">
        <f>huishoudens!F12</f>
        <v>33474.433481855711</v>
      </c>
      <c r="H41" s="674">
        <f>huishoudens!G12</f>
        <v>0</v>
      </c>
      <c r="I41" s="674">
        <f>huishoudens!H12</f>
        <v>0</v>
      </c>
      <c r="J41" s="674">
        <f>huishoudens!I12</f>
        <v>0</v>
      </c>
      <c r="K41" s="674">
        <f>huishoudens!J12</f>
        <v>999.3663619740305</v>
      </c>
      <c r="L41" s="674">
        <f>huishoudens!K12</f>
        <v>0</v>
      </c>
      <c r="M41" s="674">
        <f>huishoudens!L12</f>
        <v>0</v>
      </c>
      <c r="N41" s="674">
        <f>huishoudens!M12</f>
        <v>0</v>
      </c>
      <c r="O41" s="674">
        <f>huishoudens!N12</f>
        <v>0</v>
      </c>
      <c r="P41" s="674">
        <f>huishoudens!O12</f>
        <v>0</v>
      </c>
      <c r="Q41" s="749">
        <f>huishoudens!P12</f>
        <v>0</v>
      </c>
      <c r="R41" s="830">
        <f t="shared" ca="1" si="4"/>
        <v>61117.860576124811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3357.49736822974</v>
      </c>
      <c r="D43" s="674">
        <f ca="1">industrie!C22</f>
        <v>1573.5630252100839</v>
      </c>
      <c r="E43" s="674">
        <f>industrie!D22</f>
        <v>21098.654759302859</v>
      </c>
      <c r="F43" s="674">
        <f>industrie!E22</f>
        <v>39.853099406345002</v>
      </c>
      <c r="G43" s="674">
        <f>industrie!F22</f>
        <v>1808.1856814681469</v>
      </c>
      <c r="H43" s="674">
        <f>industrie!G22</f>
        <v>0</v>
      </c>
      <c r="I43" s="674">
        <f>industrie!H22</f>
        <v>0</v>
      </c>
      <c r="J43" s="674">
        <f>industrie!I22</f>
        <v>0</v>
      </c>
      <c r="K43" s="674">
        <f>industrie!J22</f>
        <v>11.678150388605419</v>
      </c>
      <c r="L43" s="674">
        <f>industrie!K22</f>
        <v>0</v>
      </c>
      <c r="M43" s="674">
        <f>industrie!L22</f>
        <v>0</v>
      </c>
      <c r="N43" s="674">
        <f>industrie!M22</f>
        <v>0</v>
      </c>
      <c r="O43" s="674">
        <f>industrie!N22</f>
        <v>0</v>
      </c>
      <c r="P43" s="674">
        <f>industrie!O22</f>
        <v>0</v>
      </c>
      <c r="Q43" s="749">
        <f>industrie!P22</f>
        <v>0</v>
      </c>
      <c r="R43" s="829">
        <f t="shared" ca="1" si="4"/>
        <v>27889.432084005781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21247.497268075607</v>
      </c>
      <c r="D46" s="707">
        <f t="shared" ref="D46:Q46" ca="1" si="5">SUM(D39:D45)</f>
        <v>1573.5630252100839</v>
      </c>
      <c r="E46" s="707">
        <f t="shared" ca="1" si="5"/>
        <v>39740.284352130853</v>
      </c>
      <c r="F46" s="707">
        <f t="shared" si="5"/>
        <v>976.02818198939985</v>
      </c>
      <c r="G46" s="707">
        <f t="shared" ca="1" si="5"/>
        <v>36811.853518152537</v>
      </c>
      <c r="H46" s="707">
        <f t="shared" si="5"/>
        <v>0</v>
      </c>
      <c r="I46" s="707">
        <f t="shared" si="5"/>
        <v>0</v>
      </c>
      <c r="J46" s="707">
        <f t="shared" si="5"/>
        <v>0</v>
      </c>
      <c r="K46" s="707">
        <f t="shared" si="5"/>
        <v>1011.0445123626359</v>
      </c>
      <c r="L46" s="707">
        <f t="shared" si="5"/>
        <v>0</v>
      </c>
      <c r="M46" s="707">
        <f t="shared" ca="1" si="5"/>
        <v>0</v>
      </c>
      <c r="N46" s="707">
        <f t="shared" si="5"/>
        <v>0</v>
      </c>
      <c r="O46" s="707">
        <f t="shared" ca="1" si="5"/>
        <v>0</v>
      </c>
      <c r="P46" s="707">
        <f t="shared" si="5"/>
        <v>0</v>
      </c>
      <c r="Q46" s="707">
        <f t="shared" si="5"/>
        <v>0</v>
      </c>
      <c r="R46" s="707">
        <f ca="1">SUM(R39:R45)</f>
        <v>101360.27085792112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2.9876496709892355</v>
      </c>
      <c r="D49" s="674">
        <f ca="1">transport!C58</f>
        <v>0</v>
      </c>
      <c r="E49" s="674">
        <f>transport!D58</f>
        <v>0</v>
      </c>
      <c r="F49" s="674">
        <f>transport!E58</f>
        <v>0</v>
      </c>
      <c r="G49" s="674">
        <f>transport!F58</f>
        <v>0</v>
      </c>
      <c r="H49" s="674">
        <f>transport!G58</f>
        <v>831.65277427138835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834.64042394237754</v>
      </c>
    </row>
    <row r="50" spans="1:18">
      <c r="A50" s="805" t="s">
        <v>296</v>
      </c>
      <c r="B50" s="815"/>
      <c r="C50" s="973">
        <f ca="1">transport!B18</f>
        <v>0.47301431192539894</v>
      </c>
      <c r="D50" s="973">
        <f>transport!C18</f>
        <v>0</v>
      </c>
      <c r="E50" s="973">
        <f>transport!D18</f>
        <v>1.5839751728969254</v>
      </c>
      <c r="F50" s="973">
        <f>transport!E18</f>
        <v>191.0024875182705</v>
      </c>
      <c r="G50" s="973">
        <f>transport!F18</f>
        <v>0</v>
      </c>
      <c r="H50" s="973">
        <f>transport!G18</f>
        <v>41066.307512809763</v>
      </c>
      <c r="I50" s="973">
        <f>transport!H18</f>
        <v>6479.5710483950525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47738.938038207911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3.4606639829146344</v>
      </c>
      <c r="D52" s="707">
        <f t="shared" ref="D52:Q52" ca="1" si="6">SUM(D48:D51)</f>
        <v>0</v>
      </c>
      <c r="E52" s="707">
        <f t="shared" si="6"/>
        <v>1.5839751728969254</v>
      </c>
      <c r="F52" s="707">
        <f t="shared" si="6"/>
        <v>191.0024875182705</v>
      </c>
      <c r="G52" s="707">
        <f t="shared" si="6"/>
        <v>0</v>
      </c>
      <c r="H52" s="707">
        <f t="shared" si="6"/>
        <v>41897.96028708115</v>
      </c>
      <c r="I52" s="707">
        <f t="shared" si="6"/>
        <v>6479.5710483950525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48573.57846215029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633.22985076368411</v>
      </c>
      <c r="D54" s="973">
        <f ca="1">+landbouw!C12</f>
        <v>0</v>
      </c>
      <c r="E54" s="973">
        <f>+landbouw!D12</f>
        <v>563.72787935200006</v>
      </c>
      <c r="F54" s="973">
        <f>+landbouw!E12</f>
        <v>7.2341481830502392</v>
      </c>
      <c r="G54" s="973">
        <f>+landbouw!F12</f>
        <v>3478.2040499895988</v>
      </c>
      <c r="H54" s="973">
        <f>+landbouw!G12</f>
        <v>0</v>
      </c>
      <c r="I54" s="973">
        <f>+landbouw!H12</f>
        <v>0</v>
      </c>
      <c r="J54" s="973">
        <f>+landbouw!I12</f>
        <v>0</v>
      </c>
      <c r="K54" s="973">
        <f>+landbouw!J12</f>
        <v>96.210227365326773</v>
      </c>
      <c r="L54" s="973">
        <f>+landbouw!K12</f>
        <v>0</v>
      </c>
      <c r="M54" s="973">
        <f>+landbouw!L12</f>
        <v>0</v>
      </c>
      <c r="N54" s="973">
        <f>+landbouw!M12</f>
        <v>0</v>
      </c>
      <c r="O54" s="973">
        <f>+landbouw!N12</f>
        <v>0</v>
      </c>
      <c r="P54" s="973">
        <f>+landbouw!O12</f>
        <v>0</v>
      </c>
      <c r="Q54" s="974">
        <f>+landbouw!P12</f>
        <v>0</v>
      </c>
      <c r="R54" s="706">
        <f ca="1">SUM(C54:Q54)</f>
        <v>4778.6061556536606</v>
      </c>
    </row>
    <row r="55" spans="1:18" ht="15" thickBot="1">
      <c r="A55" s="805" t="s">
        <v>889</v>
      </c>
      <c r="B55" s="815"/>
      <c r="C55" s="973">
        <f ca="1">C25*'EF ele_warmte'!B12</f>
        <v>1683.6760064726652</v>
      </c>
      <c r="D55" s="973"/>
      <c r="E55" s="973">
        <f>E25*EF_CO2_aardgas</f>
        <v>702.06614999999999</v>
      </c>
      <c r="F55" s="973"/>
      <c r="G55" s="973"/>
      <c r="H55" s="973"/>
      <c r="I55" s="973"/>
      <c r="J55" s="973"/>
      <c r="K55" s="973"/>
      <c r="L55" s="973"/>
      <c r="M55" s="973"/>
      <c r="N55" s="973"/>
      <c r="O55" s="973"/>
      <c r="P55" s="973"/>
      <c r="Q55" s="974"/>
      <c r="R55" s="706">
        <f ca="1">SUM(C55:Q55)</f>
        <v>2385.7421564726651</v>
      </c>
    </row>
    <row r="56" spans="1:18" ht="15.75" thickBot="1">
      <c r="A56" s="803" t="s">
        <v>890</v>
      </c>
      <c r="B56" s="816"/>
      <c r="C56" s="707">
        <f ca="1">SUM(C54:C55)</f>
        <v>2316.9058572363492</v>
      </c>
      <c r="D56" s="707">
        <f t="shared" ref="D56:Q56" ca="1" si="7">SUM(D54:D55)</f>
        <v>0</v>
      </c>
      <c r="E56" s="707">
        <f t="shared" si="7"/>
        <v>1265.7940293520001</v>
      </c>
      <c r="F56" s="707">
        <f t="shared" si="7"/>
        <v>7.2341481830502392</v>
      </c>
      <c r="G56" s="707">
        <f t="shared" si="7"/>
        <v>3478.2040499895988</v>
      </c>
      <c r="H56" s="707">
        <f t="shared" si="7"/>
        <v>0</v>
      </c>
      <c r="I56" s="707">
        <f t="shared" si="7"/>
        <v>0</v>
      </c>
      <c r="J56" s="707">
        <f t="shared" si="7"/>
        <v>0</v>
      </c>
      <c r="K56" s="707">
        <f t="shared" si="7"/>
        <v>96.210227365326773</v>
      </c>
      <c r="L56" s="707">
        <f t="shared" si="7"/>
        <v>0</v>
      </c>
      <c r="M56" s="707">
        <f t="shared" si="7"/>
        <v>0</v>
      </c>
      <c r="N56" s="707">
        <f t="shared" si="7"/>
        <v>0</v>
      </c>
      <c r="O56" s="707">
        <f t="shared" si="7"/>
        <v>0</v>
      </c>
      <c r="P56" s="707">
        <f t="shared" si="7"/>
        <v>0</v>
      </c>
      <c r="Q56" s="708">
        <f t="shared" si="7"/>
        <v>0</v>
      </c>
      <c r="R56" s="709">
        <f ca="1">SUM(R54:R55)</f>
        <v>7164.3483121263253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23567.863789294872</v>
      </c>
      <c r="D61" s="715">
        <f t="shared" ref="D61:Q61" ca="1" si="8">D46+D52+D56</f>
        <v>1573.5630252100839</v>
      </c>
      <c r="E61" s="715">
        <f t="shared" ca="1" si="8"/>
        <v>41007.662356655754</v>
      </c>
      <c r="F61" s="715">
        <f t="shared" si="8"/>
        <v>1174.2648176907205</v>
      </c>
      <c r="G61" s="715">
        <f t="shared" ca="1" si="8"/>
        <v>40290.057568142132</v>
      </c>
      <c r="H61" s="715">
        <f t="shared" si="8"/>
        <v>41897.96028708115</v>
      </c>
      <c r="I61" s="715">
        <f t="shared" si="8"/>
        <v>6479.5710483950525</v>
      </c>
      <c r="J61" s="715">
        <f t="shared" si="8"/>
        <v>0</v>
      </c>
      <c r="K61" s="715">
        <f t="shared" si="8"/>
        <v>1107.2547397279627</v>
      </c>
      <c r="L61" s="715">
        <f t="shared" si="8"/>
        <v>0</v>
      </c>
      <c r="M61" s="715">
        <f t="shared" ca="1" si="8"/>
        <v>0</v>
      </c>
      <c r="N61" s="715">
        <f t="shared" si="8"/>
        <v>0</v>
      </c>
      <c r="O61" s="715">
        <f t="shared" ca="1" si="8"/>
        <v>0</v>
      </c>
      <c r="P61" s="715">
        <f t="shared" si="8"/>
        <v>0</v>
      </c>
      <c r="Q61" s="715">
        <f t="shared" si="8"/>
        <v>0</v>
      </c>
      <c r="R61" s="715">
        <f ca="1">R46+R52+R56</f>
        <v>157098.19763219773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0.20808388512407849</v>
      </c>
      <c r="D63" s="759">
        <f t="shared" ca="1" si="9"/>
        <v>0.23764705882352938</v>
      </c>
      <c r="E63" s="975">
        <f t="shared" ca="1" si="9"/>
        <v>0.20200000000000001</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6968.5785172095993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4635</v>
      </c>
      <c r="D76" s="985">
        <f>'lokale energieproductie'!C8</f>
        <v>5452.9411764705883</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1101.4941176470588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6968.5785172095993</v>
      </c>
      <c r="C78" s="730">
        <f>SUM(C72:C77)</f>
        <v>4635</v>
      </c>
      <c r="D78" s="731">
        <f t="shared" ref="D78:H78" si="10">SUM(D76:D77)</f>
        <v>5452.9411764705883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1101.4941176470588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6621.4285714285716</v>
      </c>
      <c r="D87" s="752">
        <f>'lokale energieproductie'!C17</f>
        <v>7789.9159663865539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1573.5630252100839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6621.4285714285716</v>
      </c>
      <c r="D90" s="730">
        <f t="shared" ref="D90:H90" si="12">SUM(D87:D89)</f>
        <v>7789.9159663865539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1573.5630252100839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55624.216736493567</v>
      </c>
      <c r="C4" s="447">
        <f>huishoudens!C8</f>
        <v>0</v>
      </c>
      <c r="D4" s="447">
        <f>huishoudens!D8</f>
        <v>70474.297299999991</v>
      </c>
      <c r="E4" s="447">
        <f>huishoudens!E8</f>
        <v>3672.9055162189466</v>
      </c>
      <c r="F4" s="447">
        <f>huishoudens!F8</f>
        <v>125372.4100444034</v>
      </c>
      <c r="G4" s="447">
        <f>huishoudens!G8</f>
        <v>0</v>
      </c>
      <c r="H4" s="447">
        <f>huishoudens!H8</f>
        <v>0</v>
      </c>
      <c r="I4" s="447">
        <f>huishoudens!I8</f>
        <v>0</v>
      </c>
      <c r="J4" s="447">
        <f>huishoudens!J8</f>
        <v>2823.0688191356794</v>
      </c>
      <c r="K4" s="447">
        <f>huishoudens!K8</f>
        <v>0</v>
      </c>
      <c r="L4" s="447">
        <f>huishoudens!L8</f>
        <v>0</v>
      </c>
      <c r="M4" s="447">
        <f>huishoudens!M8</f>
        <v>0</v>
      </c>
      <c r="N4" s="447">
        <f>huishoudens!N8</f>
        <v>15856.775432107952</v>
      </c>
      <c r="O4" s="447">
        <f>huishoudens!O8</f>
        <v>196.98000000000002</v>
      </c>
      <c r="P4" s="448">
        <f>huishoudens!P8</f>
        <v>495.73333333333335</v>
      </c>
      <c r="Q4" s="449">
        <f>SUM(B4:P4)</f>
        <v>274516.38718169287</v>
      </c>
    </row>
    <row r="5" spans="1:17">
      <c r="A5" s="446" t="s">
        <v>149</v>
      </c>
      <c r="B5" s="447">
        <f ca="1">tertiair!B16</f>
        <v>28335.254000000001</v>
      </c>
      <c r="C5" s="447">
        <f ca="1">tertiair!C16</f>
        <v>0</v>
      </c>
      <c r="D5" s="447">
        <f ca="1">tertiair!D16</f>
        <v>21810.997714000001</v>
      </c>
      <c r="E5" s="447">
        <f>tertiair!E16</f>
        <v>451.2137903143348</v>
      </c>
      <c r="F5" s="447">
        <f ca="1">tertiair!F16</f>
        <v>5727.4694937403892</v>
      </c>
      <c r="G5" s="447">
        <f>tertiair!G16</f>
        <v>0</v>
      </c>
      <c r="H5" s="447">
        <f>tertiair!H16</f>
        <v>0</v>
      </c>
      <c r="I5" s="447">
        <f>tertiair!I16</f>
        <v>0</v>
      </c>
      <c r="J5" s="447">
        <f>tertiair!J16</f>
        <v>0</v>
      </c>
      <c r="K5" s="447">
        <f>tertiair!K16</f>
        <v>0</v>
      </c>
      <c r="L5" s="447">
        <f ca="1">tertiair!L16</f>
        <v>0</v>
      </c>
      <c r="M5" s="447">
        <f>tertiair!M16</f>
        <v>0</v>
      </c>
      <c r="N5" s="447">
        <f ca="1">tertiair!N16</f>
        <v>1601.7878533569803</v>
      </c>
      <c r="O5" s="447">
        <f>tertiair!O16</f>
        <v>1.5633333333333335</v>
      </c>
      <c r="P5" s="448">
        <f>tertiair!P16</f>
        <v>0</v>
      </c>
      <c r="Q5" s="446">
        <f t="shared" ref="Q5:Q14" ca="1" si="0">SUM(B5:P5)</f>
        <v>57928.28618474504</v>
      </c>
    </row>
    <row r="6" spans="1:17">
      <c r="A6" s="446" t="s">
        <v>187</v>
      </c>
      <c r="B6" s="447">
        <f>'openbare verlichting'!B8</f>
        <v>2015.471</v>
      </c>
      <c r="C6" s="447"/>
      <c r="D6" s="447"/>
      <c r="E6" s="447"/>
      <c r="F6" s="447"/>
      <c r="G6" s="447"/>
      <c r="H6" s="447"/>
      <c r="I6" s="447"/>
      <c r="J6" s="447"/>
      <c r="K6" s="447"/>
      <c r="L6" s="447"/>
      <c r="M6" s="447"/>
      <c r="N6" s="447"/>
      <c r="O6" s="447"/>
      <c r="P6" s="448"/>
      <c r="Q6" s="446">
        <f t="shared" si="0"/>
        <v>2015.471</v>
      </c>
    </row>
    <row r="7" spans="1:17">
      <c r="A7" s="446" t="s">
        <v>105</v>
      </c>
      <c r="B7" s="447">
        <f>landbouw!B8</f>
        <v>3043.1469999999999</v>
      </c>
      <c r="C7" s="447">
        <f>landbouw!C8</f>
        <v>0</v>
      </c>
      <c r="D7" s="447">
        <f>landbouw!D8</f>
        <v>2790.7320760000002</v>
      </c>
      <c r="E7" s="447">
        <f>landbouw!E8</f>
        <v>31.868494198459203</v>
      </c>
      <c r="F7" s="447">
        <f>landbouw!F8</f>
        <v>13026.981460635201</v>
      </c>
      <c r="G7" s="447">
        <f>landbouw!G8</f>
        <v>0</v>
      </c>
      <c r="H7" s="447">
        <f>landbouw!H8</f>
        <v>0</v>
      </c>
      <c r="I7" s="447">
        <f>landbouw!I8</f>
        <v>0</v>
      </c>
      <c r="J7" s="447">
        <f>landbouw!J8</f>
        <v>271.78030329188357</v>
      </c>
      <c r="K7" s="447">
        <f>landbouw!K8</f>
        <v>0</v>
      </c>
      <c r="L7" s="447">
        <f>landbouw!L8</f>
        <v>0</v>
      </c>
      <c r="M7" s="447">
        <f>landbouw!M8</f>
        <v>0</v>
      </c>
      <c r="N7" s="447">
        <f>landbouw!N8</f>
        <v>0</v>
      </c>
      <c r="O7" s="447">
        <f>landbouw!O8</f>
        <v>0</v>
      </c>
      <c r="P7" s="448">
        <f>landbouw!P8</f>
        <v>0</v>
      </c>
      <c r="Q7" s="446">
        <f t="shared" si="0"/>
        <v>19164.509334125541</v>
      </c>
    </row>
    <row r="8" spans="1:17">
      <c r="A8" s="446" t="s">
        <v>637</v>
      </c>
      <c r="B8" s="447">
        <f>industrie!B18</f>
        <v>16135.307000000003</v>
      </c>
      <c r="C8" s="447">
        <f>industrie!C18</f>
        <v>6621.4285714285716</v>
      </c>
      <c r="D8" s="447">
        <f>industrie!D18</f>
        <v>104448.78593714286</v>
      </c>
      <c r="E8" s="447">
        <f>industrie!E18</f>
        <v>175.56431456539647</v>
      </c>
      <c r="F8" s="447">
        <f>industrie!F18</f>
        <v>6772.2310167346322</v>
      </c>
      <c r="G8" s="447">
        <f>industrie!G18</f>
        <v>0</v>
      </c>
      <c r="H8" s="447">
        <f>industrie!H18</f>
        <v>0</v>
      </c>
      <c r="I8" s="447">
        <f>industrie!I18</f>
        <v>0</v>
      </c>
      <c r="J8" s="447">
        <f>industrie!J18</f>
        <v>32.989125391540732</v>
      </c>
      <c r="K8" s="447">
        <f>industrie!K18</f>
        <v>0</v>
      </c>
      <c r="L8" s="447">
        <f>industrie!L18</f>
        <v>0</v>
      </c>
      <c r="M8" s="447">
        <f>industrie!M18</f>
        <v>0</v>
      </c>
      <c r="N8" s="447">
        <f>industrie!N18</f>
        <v>626.39964433511614</v>
      </c>
      <c r="O8" s="447">
        <f>industrie!O18</f>
        <v>0</v>
      </c>
      <c r="P8" s="448">
        <f>industrie!P18</f>
        <v>0</v>
      </c>
      <c r="Q8" s="446">
        <f t="shared" si="0"/>
        <v>134812.70560959811</v>
      </c>
    </row>
    <row r="9" spans="1:17" s="452" customFormat="1">
      <c r="A9" s="450" t="s">
        <v>556</v>
      </c>
      <c r="B9" s="451">
        <f>transport!B14</f>
        <v>2.2731905050857009</v>
      </c>
      <c r="C9" s="451">
        <f>transport!C14</f>
        <v>0</v>
      </c>
      <c r="D9" s="451">
        <f>transport!D14</f>
        <v>7.8414612519649767</v>
      </c>
      <c r="E9" s="451">
        <f>transport!E14</f>
        <v>841.4206498602224</v>
      </c>
      <c r="F9" s="451">
        <f>transport!F14</f>
        <v>0</v>
      </c>
      <c r="G9" s="451">
        <f>transport!G14</f>
        <v>153806.39517906276</v>
      </c>
      <c r="H9" s="451">
        <f>transport!H14</f>
        <v>26022.373688333544</v>
      </c>
      <c r="I9" s="451">
        <f>transport!I14</f>
        <v>0</v>
      </c>
      <c r="J9" s="451">
        <f>transport!J14</f>
        <v>0</v>
      </c>
      <c r="K9" s="451">
        <f>transport!K14</f>
        <v>0</v>
      </c>
      <c r="L9" s="451">
        <f>transport!L14</f>
        <v>0</v>
      </c>
      <c r="M9" s="451">
        <f>transport!M14</f>
        <v>7823.5342712565944</v>
      </c>
      <c r="N9" s="451">
        <f>transport!N14</f>
        <v>0</v>
      </c>
      <c r="O9" s="451">
        <f>transport!O14</f>
        <v>0</v>
      </c>
      <c r="P9" s="451">
        <f>transport!P14</f>
        <v>0</v>
      </c>
      <c r="Q9" s="450">
        <f>SUM(B9:P9)</f>
        <v>188503.83844027016</v>
      </c>
    </row>
    <row r="10" spans="1:17">
      <c r="A10" s="446" t="s">
        <v>546</v>
      </c>
      <c r="B10" s="447">
        <f>transport!B54</f>
        <v>14.357909884312894</v>
      </c>
      <c r="C10" s="447">
        <f>transport!C54</f>
        <v>0</v>
      </c>
      <c r="D10" s="447">
        <f>transport!D54</f>
        <v>0</v>
      </c>
      <c r="E10" s="447">
        <f>transport!E54</f>
        <v>0</v>
      </c>
      <c r="F10" s="447">
        <f>transport!F54</f>
        <v>0</v>
      </c>
      <c r="G10" s="447">
        <f>transport!G54</f>
        <v>3114.804398020181</v>
      </c>
      <c r="H10" s="447">
        <f>transport!H54</f>
        <v>0</v>
      </c>
      <c r="I10" s="447">
        <f>transport!I54</f>
        <v>0</v>
      </c>
      <c r="J10" s="447">
        <f>transport!J54</f>
        <v>0</v>
      </c>
      <c r="K10" s="447">
        <f>transport!K54</f>
        <v>0</v>
      </c>
      <c r="L10" s="447">
        <f>transport!L54</f>
        <v>0</v>
      </c>
      <c r="M10" s="447">
        <f>transport!M54</f>
        <v>133.36395958385867</v>
      </c>
      <c r="N10" s="447">
        <f>transport!N54</f>
        <v>0</v>
      </c>
      <c r="O10" s="447">
        <f>transport!O54</f>
        <v>0</v>
      </c>
      <c r="P10" s="448">
        <f>transport!P54</f>
        <v>0</v>
      </c>
      <c r="Q10" s="446">
        <f t="shared" si="0"/>
        <v>3262.5262674883525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8091.3329999999996</v>
      </c>
      <c r="C14" s="454"/>
      <c r="D14" s="454">
        <f>'SEAP template'!E25</f>
        <v>3475.5749999999998</v>
      </c>
      <c r="E14" s="454"/>
      <c r="F14" s="454"/>
      <c r="G14" s="454"/>
      <c r="H14" s="454"/>
      <c r="I14" s="454"/>
      <c r="J14" s="454"/>
      <c r="K14" s="454"/>
      <c r="L14" s="454"/>
      <c r="M14" s="454"/>
      <c r="N14" s="454"/>
      <c r="O14" s="454"/>
      <c r="P14" s="455"/>
      <c r="Q14" s="446">
        <f t="shared" si="0"/>
        <v>11566.907999999999</v>
      </c>
    </row>
    <row r="15" spans="1:17" s="459" customFormat="1">
      <c r="A15" s="456" t="s">
        <v>550</v>
      </c>
      <c r="B15" s="457">
        <f ca="1">SUM(B4:B14)</f>
        <v>113261.35983688297</v>
      </c>
      <c r="C15" s="457">
        <f t="shared" ref="C15:Q15" ca="1" si="1">SUM(C4:C14)</f>
        <v>6621.4285714285716</v>
      </c>
      <c r="D15" s="457">
        <f t="shared" ca="1" si="1"/>
        <v>203008.22948839481</v>
      </c>
      <c r="E15" s="457">
        <f t="shared" si="1"/>
        <v>5172.9727651573594</v>
      </c>
      <c r="F15" s="457">
        <f t="shared" ca="1" si="1"/>
        <v>150899.09201551363</v>
      </c>
      <c r="G15" s="457">
        <f t="shared" si="1"/>
        <v>156921.19957708294</v>
      </c>
      <c r="H15" s="457">
        <f t="shared" si="1"/>
        <v>26022.373688333544</v>
      </c>
      <c r="I15" s="457">
        <f t="shared" si="1"/>
        <v>0</v>
      </c>
      <c r="J15" s="457">
        <f t="shared" si="1"/>
        <v>3127.8382478191038</v>
      </c>
      <c r="K15" s="457">
        <f t="shared" si="1"/>
        <v>0</v>
      </c>
      <c r="L15" s="457">
        <f t="shared" ca="1" si="1"/>
        <v>0</v>
      </c>
      <c r="M15" s="457">
        <f t="shared" si="1"/>
        <v>7956.8982308404529</v>
      </c>
      <c r="N15" s="457">
        <f t="shared" ca="1" si="1"/>
        <v>18084.962929800051</v>
      </c>
      <c r="O15" s="457">
        <f t="shared" si="1"/>
        <v>198.54333333333335</v>
      </c>
      <c r="P15" s="457">
        <f t="shared" si="1"/>
        <v>495.73333333333335</v>
      </c>
      <c r="Q15" s="457">
        <f t="shared" ca="1" si="1"/>
        <v>691770.63201792014</v>
      </c>
    </row>
    <row r="17" spans="1:17">
      <c r="A17" s="460" t="s">
        <v>551</v>
      </c>
      <c r="B17" s="764">
        <f ca="1">huishoudens!B10</f>
        <v>0.20808388512407849</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11574.503125513371</v>
      </c>
      <c r="C22" s="447">
        <f t="shared" ref="C22:C32" ca="1" si="3">C4*$C$17</f>
        <v>0</v>
      </c>
      <c r="D22" s="447">
        <f t="shared" ref="D22:D32" si="4">D4*$D$17</f>
        <v>14235.808054599998</v>
      </c>
      <c r="E22" s="447">
        <f t="shared" ref="E22:E32" si="5">E4*$E$17</f>
        <v>833.74955218170089</v>
      </c>
      <c r="F22" s="447">
        <f t="shared" ref="F22:F32" si="6">F4*$F$17</f>
        <v>33474.433481855711</v>
      </c>
      <c r="G22" s="447">
        <f t="shared" ref="G22:G32" si="7">G4*$G$17</f>
        <v>0</v>
      </c>
      <c r="H22" s="447">
        <f t="shared" ref="H22:H32" si="8">H4*$H$17</f>
        <v>0</v>
      </c>
      <c r="I22" s="447">
        <f t="shared" ref="I22:I32" si="9">I4*$I$17</f>
        <v>0</v>
      </c>
      <c r="J22" s="447">
        <f t="shared" ref="J22:J32" si="10">J4*$J$17</f>
        <v>999.3663619740305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61117.860576124811</v>
      </c>
    </row>
    <row r="23" spans="1:17">
      <c r="A23" s="446" t="s">
        <v>149</v>
      </c>
      <c r="B23" s="447">
        <f t="shared" ca="1" si="2"/>
        <v>5896.1097382975859</v>
      </c>
      <c r="C23" s="447">
        <f t="shared" ca="1" si="3"/>
        <v>0</v>
      </c>
      <c r="D23" s="447">
        <f t="shared" ca="1" si="4"/>
        <v>4405.8215382280005</v>
      </c>
      <c r="E23" s="447">
        <f t="shared" si="5"/>
        <v>102.42553040135401</v>
      </c>
      <c r="F23" s="447">
        <f t="shared" ca="1" si="6"/>
        <v>1529.234354828684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11933.591161755623</v>
      </c>
    </row>
    <row r="24" spans="1:17">
      <c r="A24" s="446" t="s">
        <v>187</v>
      </c>
      <c r="B24" s="447">
        <f t="shared" ca="1" si="2"/>
        <v>419.3870360349116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419.3870360349116</v>
      </c>
    </row>
    <row r="25" spans="1:17">
      <c r="A25" s="446" t="s">
        <v>105</v>
      </c>
      <c r="B25" s="447">
        <f t="shared" ca="1" si="2"/>
        <v>633.22985076368411</v>
      </c>
      <c r="C25" s="447">
        <f t="shared" ca="1" si="3"/>
        <v>0</v>
      </c>
      <c r="D25" s="447">
        <f t="shared" si="4"/>
        <v>563.72787935200006</v>
      </c>
      <c r="E25" s="447">
        <f t="shared" si="5"/>
        <v>7.2341481830502392</v>
      </c>
      <c r="F25" s="447">
        <f t="shared" si="6"/>
        <v>3478.2040499895988</v>
      </c>
      <c r="G25" s="447">
        <f t="shared" si="7"/>
        <v>0</v>
      </c>
      <c r="H25" s="447">
        <f t="shared" si="8"/>
        <v>0</v>
      </c>
      <c r="I25" s="447">
        <f t="shared" si="9"/>
        <v>0</v>
      </c>
      <c r="J25" s="447">
        <f t="shared" si="10"/>
        <v>96.210227365326773</v>
      </c>
      <c r="K25" s="447">
        <f t="shared" si="11"/>
        <v>0</v>
      </c>
      <c r="L25" s="447">
        <f t="shared" si="12"/>
        <v>0</v>
      </c>
      <c r="M25" s="447">
        <f t="shared" si="13"/>
        <v>0</v>
      </c>
      <c r="N25" s="447">
        <f t="shared" si="14"/>
        <v>0</v>
      </c>
      <c r="O25" s="447">
        <f t="shared" si="15"/>
        <v>0</v>
      </c>
      <c r="P25" s="448">
        <f t="shared" si="16"/>
        <v>0</v>
      </c>
      <c r="Q25" s="446">
        <f t="shared" ca="1" si="17"/>
        <v>4778.6061556536606</v>
      </c>
    </row>
    <row r="26" spans="1:17">
      <c r="A26" s="446" t="s">
        <v>637</v>
      </c>
      <c r="B26" s="447">
        <f t="shared" ca="1" si="2"/>
        <v>3357.49736822974</v>
      </c>
      <c r="C26" s="447">
        <f t="shared" ca="1" si="3"/>
        <v>1573.5630252100839</v>
      </c>
      <c r="D26" s="447">
        <f t="shared" si="4"/>
        <v>21098.654759302859</v>
      </c>
      <c r="E26" s="447">
        <f t="shared" si="5"/>
        <v>39.853099406345002</v>
      </c>
      <c r="F26" s="447">
        <f t="shared" si="6"/>
        <v>1808.1856814681469</v>
      </c>
      <c r="G26" s="447">
        <f t="shared" si="7"/>
        <v>0</v>
      </c>
      <c r="H26" s="447">
        <f t="shared" si="8"/>
        <v>0</v>
      </c>
      <c r="I26" s="447">
        <f t="shared" si="9"/>
        <v>0</v>
      </c>
      <c r="J26" s="447">
        <f t="shared" si="10"/>
        <v>11.678150388605419</v>
      </c>
      <c r="K26" s="447">
        <f t="shared" si="11"/>
        <v>0</v>
      </c>
      <c r="L26" s="447">
        <f t="shared" si="12"/>
        <v>0</v>
      </c>
      <c r="M26" s="447">
        <f t="shared" si="13"/>
        <v>0</v>
      </c>
      <c r="N26" s="447">
        <f t="shared" si="14"/>
        <v>0</v>
      </c>
      <c r="O26" s="447">
        <f t="shared" si="15"/>
        <v>0</v>
      </c>
      <c r="P26" s="448">
        <f t="shared" si="16"/>
        <v>0</v>
      </c>
      <c r="Q26" s="446">
        <f t="shared" ca="1" si="17"/>
        <v>27889.432084005781</v>
      </c>
    </row>
    <row r="27" spans="1:17" s="452" customFormat="1">
      <c r="A27" s="450" t="s">
        <v>556</v>
      </c>
      <c r="B27" s="758">
        <f t="shared" ca="1" si="2"/>
        <v>0.47301431192539894</v>
      </c>
      <c r="C27" s="451">
        <f t="shared" ca="1" si="3"/>
        <v>0</v>
      </c>
      <c r="D27" s="451">
        <f t="shared" si="4"/>
        <v>1.5839751728969254</v>
      </c>
      <c r="E27" s="451">
        <f t="shared" si="5"/>
        <v>191.0024875182705</v>
      </c>
      <c r="F27" s="451">
        <f t="shared" si="6"/>
        <v>0</v>
      </c>
      <c r="G27" s="451">
        <f t="shared" si="7"/>
        <v>41066.307512809763</v>
      </c>
      <c r="H27" s="451">
        <f t="shared" si="8"/>
        <v>6479.5710483950525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47738.938038207911</v>
      </c>
    </row>
    <row r="28" spans="1:17">
      <c r="A28" s="446" t="s">
        <v>546</v>
      </c>
      <c r="B28" s="447">
        <f t="shared" ca="1" si="2"/>
        <v>2.9876496709892355</v>
      </c>
      <c r="C28" s="447">
        <f t="shared" ca="1" si="3"/>
        <v>0</v>
      </c>
      <c r="D28" s="447">
        <f t="shared" si="4"/>
        <v>0</v>
      </c>
      <c r="E28" s="447">
        <f t="shared" si="5"/>
        <v>0</v>
      </c>
      <c r="F28" s="447">
        <f t="shared" si="6"/>
        <v>0</v>
      </c>
      <c r="G28" s="447">
        <f t="shared" si="7"/>
        <v>831.65277427138835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834.64042394237754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1683.6760064726652</v>
      </c>
      <c r="C32" s="447">
        <f t="shared" ca="1" si="3"/>
        <v>0</v>
      </c>
      <c r="D32" s="447">
        <f t="shared" si="4"/>
        <v>702.06614999999999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2385.7421564726651</v>
      </c>
    </row>
    <row r="33" spans="1:17" s="459" customFormat="1">
      <c r="A33" s="456" t="s">
        <v>550</v>
      </c>
      <c r="B33" s="457">
        <f ca="1">SUM(B22:B32)</f>
        <v>23567.863789294872</v>
      </c>
      <c r="C33" s="457">
        <f t="shared" ref="C33:Q33" ca="1" si="19">SUM(C22:C32)</f>
        <v>1573.5630252100839</v>
      </c>
      <c r="D33" s="457">
        <f t="shared" ca="1" si="19"/>
        <v>41007.662356655761</v>
      </c>
      <c r="E33" s="457">
        <f t="shared" si="19"/>
        <v>1174.2648176907205</v>
      </c>
      <c r="F33" s="457">
        <f t="shared" ca="1" si="19"/>
        <v>40290.057568142132</v>
      </c>
      <c r="G33" s="457">
        <f t="shared" si="19"/>
        <v>41897.96028708115</v>
      </c>
      <c r="H33" s="457">
        <f t="shared" si="19"/>
        <v>6479.5710483950525</v>
      </c>
      <c r="I33" s="457">
        <f t="shared" si="19"/>
        <v>0</v>
      </c>
      <c r="J33" s="457">
        <f t="shared" si="19"/>
        <v>1107.2547397279627</v>
      </c>
      <c r="K33" s="457">
        <f t="shared" si="19"/>
        <v>0</v>
      </c>
      <c r="L33" s="457">
        <f t="shared" ca="1" si="19"/>
        <v>0</v>
      </c>
      <c r="M33" s="457">
        <f t="shared" si="19"/>
        <v>0</v>
      </c>
      <c r="N33" s="457">
        <f t="shared" ca="1" si="19"/>
        <v>0</v>
      </c>
      <c r="O33" s="457">
        <f t="shared" si="19"/>
        <v>0</v>
      </c>
      <c r="P33" s="457">
        <f t="shared" si="19"/>
        <v>0</v>
      </c>
      <c r="Q33" s="457">
        <f t="shared" ca="1" si="19"/>
        <v>157098.19763219776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6968.5785172095993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4635</v>
      </c>
      <c r="D8" s="1006">
        <f>'SEAP template'!D76</f>
        <v>5452.9411764705883</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1101.4941176470588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6968.5785172095993</v>
      </c>
      <c r="C10" s="1010">
        <f>SUM(C4:C9)</f>
        <v>4635</v>
      </c>
      <c r="D10" s="1010">
        <f t="shared" ref="D10:H10" si="0">SUM(D8:D9)</f>
        <v>5452.9411764705883</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1101.4941176470588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0.20808388512407849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6621.4285714285716</v>
      </c>
      <c r="D17" s="1007">
        <f>'SEAP template'!D87</f>
        <v>7789.9159663865539</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1573.5630252100839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6621.4285714285716</v>
      </c>
      <c r="D20" s="1010">
        <f t="shared" ref="D20:H20" si="2">SUM(D17:D19)</f>
        <v>7789.9159663865539</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1573.5630252100839</v>
      </c>
    </row>
    <row r="22" spans="1:16">
      <c r="A22" s="460" t="s">
        <v>910</v>
      </c>
      <c r="B22" s="764" t="s">
        <v>904</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0.20808388512407849</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0.20808388512407849</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0.20808388512407849</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3590</v>
      </c>
      <c r="C14" s="326"/>
      <c r="D14" s="326"/>
      <c r="E14" s="326"/>
      <c r="F14" s="326"/>
    </row>
    <row r="15" spans="1:6">
      <c r="A15" s="1280" t="s">
        <v>177</v>
      </c>
      <c r="B15" s="1281">
        <v>27</v>
      </c>
      <c r="C15" s="326"/>
      <c r="D15" s="326"/>
      <c r="E15" s="326"/>
      <c r="F15" s="326"/>
    </row>
    <row r="16" spans="1:6">
      <c r="A16" s="1280" t="s">
        <v>6</v>
      </c>
      <c r="B16" s="1281">
        <v>1113</v>
      </c>
      <c r="C16" s="326"/>
      <c r="D16" s="326"/>
      <c r="E16" s="326"/>
      <c r="F16" s="326"/>
    </row>
    <row r="17" spans="1:6">
      <c r="A17" s="1280" t="s">
        <v>7</v>
      </c>
      <c r="B17" s="1281">
        <v>851</v>
      </c>
      <c r="C17" s="326"/>
      <c r="D17" s="326"/>
      <c r="E17" s="326"/>
      <c r="F17" s="326"/>
    </row>
    <row r="18" spans="1:6">
      <c r="A18" s="1280" t="s">
        <v>8</v>
      </c>
      <c r="B18" s="1281">
        <v>1239</v>
      </c>
      <c r="C18" s="326"/>
      <c r="D18" s="326"/>
      <c r="E18" s="326"/>
      <c r="F18" s="326"/>
    </row>
    <row r="19" spans="1:6">
      <c r="A19" s="1280" t="s">
        <v>9</v>
      </c>
      <c r="B19" s="1281">
        <v>1158</v>
      </c>
      <c r="C19" s="326"/>
      <c r="D19" s="326"/>
      <c r="E19" s="326"/>
      <c r="F19" s="326"/>
    </row>
    <row r="20" spans="1:6">
      <c r="A20" s="1280" t="s">
        <v>10</v>
      </c>
      <c r="B20" s="1281">
        <v>756</v>
      </c>
      <c r="C20" s="326"/>
      <c r="D20" s="326"/>
      <c r="E20" s="326"/>
      <c r="F20" s="326"/>
    </row>
    <row r="21" spans="1:6">
      <c r="A21" s="1280" t="s">
        <v>11</v>
      </c>
      <c r="B21" s="1281">
        <v>3167</v>
      </c>
      <c r="C21" s="326"/>
      <c r="D21" s="326"/>
      <c r="E21" s="326"/>
      <c r="F21" s="326"/>
    </row>
    <row r="22" spans="1:6">
      <c r="A22" s="1280" t="s">
        <v>12</v>
      </c>
      <c r="B22" s="1281">
        <v>5578</v>
      </c>
      <c r="C22" s="326"/>
      <c r="D22" s="326"/>
      <c r="E22" s="326"/>
      <c r="F22" s="326"/>
    </row>
    <row r="23" spans="1:6">
      <c r="A23" s="1280" t="s">
        <v>13</v>
      </c>
      <c r="B23" s="1281">
        <v>128</v>
      </c>
      <c r="C23" s="326"/>
      <c r="D23" s="326"/>
      <c r="E23" s="326"/>
      <c r="F23" s="326"/>
    </row>
    <row r="24" spans="1:6">
      <c r="A24" s="1280" t="s">
        <v>14</v>
      </c>
      <c r="B24" s="1281">
        <v>9</v>
      </c>
      <c r="C24" s="326"/>
      <c r="D24" s="326"/>
      <c r="E24" s="326"/>
      <c r="F24" s="326"/>
    </row>
    <row r="25" spans="1:6">
      <c r="A25" s="1280" t="s">
        <v>15</v>
      </c>
      <c r="B25" s="1281">
        <v>1057</v>
      </c>
      <c r="C25" s="326"/>
      <c r="D25" s="326"/>
      <c r="E25" s="326"/>
      <c r="F25" s="326"/>
    </row>
    <row r="26" spans="1:6">
      <c r="A26" s="1280" t="s">
        <v>16</v>
      </c>
      <c r="B26" s="1281">
        <v>153</v>
      </c>
      <c r="C26" s="326"/>
      <c r="D26" s="326"/>
      <c r="E26" s="326"/>
      <c r="F26" s="326"/>
    </row>
    <row r="27" spans="1:6">
      <c r="A27" s="1280" t="s">
        <v>17</v>
      </c>
      <c r="B27" s="1281">
        <v>0</v>
      </c>
      <c r="C27" s="326"/>
      <c r="D27" s="326"/>
      <c r="E27" s="326"/>
      <c r="F27" s="326"/>
    </row>
    <row r="28" spans="1:6">
      <c r="A28" s="1280" t="s">
        <v>18</v>
      </c>
      <c r="B28" s="1282">
        <v>24559</v>
      </c>
      <c r="C28" s="326"/>
      <c r="D28" s="326"/>
      <c r="E28" s="326"/>
      <c r="F28" s="326"/>
    </row>
    <row r="29" spans="1:6">
      <c r="A29" s="1280" t="s">
        <v>972</v>
      </c>
      <c r="B29" s="1282">
        <v>162</v>
      </c>
      <c r="C29" s="326"/>
      <c r="D29" s="326"/>
      <c r="E29" s="326"/>
      <c r="F29" s="326"/>
    </row>
    <row r="30" spans="1:6">
      <c r="A30" s="1275" t="s">
        <v>973</v>
      </c>
      <c r="B30" s="1283">
        <v>33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454326</v>
      </c>
    </row>
    <row r="37" spans="1:6">
      <c r="A37" s="1280" t="s">
        <v>24</v>
      </c>
      <c r="B37" s="1280" t="s">
        <v>27</v>
      </c>
      <c r="C37" s="1281">
        <v>0</v>
      </c>
      <c r="D37" s="1281">
        <v>0</v>
      </c>
      <c r="E37" s="1281">
        <v>0</v>
      </c>
      <c r="F37" s="1281">
        <v>0</v>
      </c>
    </row>
    <row r="38" spans="1:6">
      <c r="A38" s="1280" t="s">
        <v>24</v>
      </c>
      <c r="B38" s="1280" t="s">
        <v>28</v>
      </c>
      <c r="C38" s="1281">
        <v>2</v>
      </c>
      <c r="D38" s="1281">
        <v>2131928</v>
      </c>
      <c r="E38" s="1281">
        <v>0</v>
      </c>
      <c r="F38" s="1281">
        <v>0</v>
      </c>
    </row>
    <row r="39" spans="1:6">
      <c r="A39" s="1280" t="s">
        <v>29</v>
      </c>
      <c r="B39" s="1280" t="s">
        <v>30</v>
      </c>
      <c r="C39" s="1281">
        <v>5047</v>
      </c>
      <c r="D39" s="1281">
        <v>78131150</v>
      </c>
      <c r="E39" s="1281">
        <v>12721</v>
      </c>
      <c r="F39" s="1281">
        <v>51682086</v>
      </c>
    </row>
    <row r="40" spans="1:6">
      <c r="A40" s="1280" t="s">
        <v>29</v>
      </c>
      <c r="B40" s="1280" t="s">
        <v>28</v>
      </c>
      <c r="C40" s="1281">
        <v>0</v>
      </c>
      <c r="D40" s="1281">
        <v>0</v>
      </c>
      <c r="E40" s="1281">
        <v>0</v>
      </c>
      <c r="F40" s="1281">
        <v>0</v>
      </c>
    </row>
    <row r="41" spans="1:6">
      <c r="A41" s="1280" t="s">
        <v>31</v>
      </c>
      <c r="B41" s="1280" t="s">
        <v>32</v>
      </c>
      <c r="C41" s="1281">
        <v>46</v>
      </c>
      <c r="D41" s="1281">
        <v>1067862</v>
      </c>
      <c r="E41" s="1281">
        <v>169</v>
      </c>
      <c r="F41" s="1281">
        <v>8126801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4229417</v>
      </c>
      <c r="E44" s="1281">
        <v>21</v>
      </c>
      <c r="F44" s="1281">
        <v>1135961</v>
      </c>
    </row>
    <row r="45" spans="1:6">
      <c r="A45" s="1280" t="s">
        <v>31</v>
      </c>
      <c r="B45" s="1280" t="s">
        <v>36</v>
      </c>
      <c r="C45" s="1281">
        <v>0</v>
      </c>
      <c r="D45" s="1281">
        <v>0</v>
      </c>
      <c r="E45" s="1281">
        <v>15</v>
      </c>
      <c r="F45" s="1281">
        <v>658610</v>
      </c>
    </row>
    <row r="46" spans="1:6">
      <c r="A46" s="1280" t="s">
        <v>31</v>
      </c>
      <c r="B46" s="1280" t="s">
        <v>37</v>
      </c>
      <c r="C46" s="1281">
        <v>0</v>
      </c>
      <c r="D46" s="1281">
        <v>0</v>
      </c>
      <c r="E46" s="1281">
        <v>0</v>
      </c>
      <c r="F46" s="1281">
        <v>0</v>
      </c>
    </row>
    <row r="47" spans="1:6">
      <c r="A47" s="1280" t="s">
        <v>31</v>
      </c>
      <c r="B47" s="1280" t="s">
        <v>38</v>
      </c>
      <c r="C47" s="1281">
        <v>3</v>
      </c>
      <c r="D47" s="1281">
        <v>18458</v>
      </c>
      <c r="E47" s="1281">
        <v>8</v>
      </c>
      <c r="F47" s="1281">
        <v>95125</v>
      </c>
    </row>
    <row r="48" spans="1:6">
      <c r="A48" s="1280" t="s">
        <v>31</v>
      </c>
      <c r="B48" s="1280" t="s">
        <v>28</v>
      </c>
      <c r="C48" s="1281">
        <v>2</v>
      </c>
      <c r="D48" s="1281">
        <v>124508294</v>
      </c>
      <c r="E48" s="1281">
        <v>0</v>
      </c>
      <c r="F48" s="1281">
        <v>0</v>
      </c>
    </row>
    <row r="49" spans="1:6">
      <c r="A49" s="1280" t="s">
        <v>31</v>
      </c>
      <c r="B49" s="1280" t="s">
        <v>39</v>
      </c>
      <c r="C49" s="1281">
        <v>0</v>
      </c>
      <c r="D49" s="1281">
        <v>0</v>
      </c>
      <c r="E49" s="1281">
        <v>4</v>
      </c>
      <c r="F49" s="1281">
        <v>250994</v>
      </c>
    </row>
    <row r="50" spans="1:6">
      <c r="A50" s="1280" t="s">
        <v>31</v>
      </c>
      <c r="B50" s="1280" t="s">
        <v>40</v>
      </c>
      <c r="C50" s="1281">
        <v>5</v>
      </c>
      <c r="D50" s="1281">
        <v>654509</v>
      </c>
      <c r="E50" s="1281">
        <v>22</v>
      </c>
      <c r="F50" s="1281">
        <v>1232816</v>
      </c>
    </row>
    <row r="51" spans="1:6">
      <c r="A51" s="1280" t="s">
        <v>41</v>
      </c>
      <c r="B51" s="1280" t="s">
        <v>42</v>
      </c>
      <c r="C51" s="1281">
        <v>28</v>
      </c>
      <c r="D51" s="1281">
        <v>3093938</v>
      </c>
      <c r="E51" s="1281">
        <v>193</v>
      </c>
      <c r="F51" s="1281">
        <v>3043147</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120</v>
      </c>
      <c r="F54" s="1281">
        <v>2015471</v>
      </c>
    </row>
    <row r="55" spans="1:6">
      <c r="A55" s="1280" t="s">
        <v>45</v>
      </c>
      <c r="B55" s="1280" t="s">
        <v>28</v>
      </c>
      <c r="C55" s="1281">
        <v>0</v>
      </c>
      <c r="D55" s="1281">
        <v>0</v>
      </c>
      <c r="E55" s="1281">
        <v>0</v>
      </c>
      <c r="F55" s="1281">
        <v>0</v>
      </c>
    </row>
    <row r="56" spans="1:6">
      <c r="A56" s="1280" t="s">
        <v>47</v>
      </c>
      <c r="B56" s="1280" t="s">
        <v>28</v>
      </c>
      <c r="C56" s="1281">
        <v>61</v>
      </c>
      <c r="D56" s="1281">
        <v>3475575</v>
      </c>
      <c r="E56" s="1281">
        <v>345</v>
      </c>
      <c r="F56" s="1281">
        <v>8091333</v>
      </c>
    </row>
    <row r="57" spans="1:6">
      <c r="A57" s="1280" t="s">
        <v>48</v>
      </c>
      <c r="B57" s="1280" t="s">
        <v>49</v>
      </c>
      <c r="C57" s="1281">
        <v>42</v>
      </c>
      <c r="D57" s="1281">
        <v>2189382</v>
      </c>
      <c r="E57" s="1281">
        <v>131</v>
      </c>
      <c r="F57" s="1281">
        <v>6633327</v>
      </c>
    </row>
    <row r="58" spans="1:6">
      <c r="A58" s="1280" t="s">
        <v>48</v>
      </c>
      <c r="B58" s="1280" t="s">
        <v>50</v>
      </c>
      <c r="C58" s="1281">
        <v>22</v>
      </c>
      <c r="D58" s="1281">
        <v>7082362</v>
      </c>
      <c r="E58" s="1281">
        <v>43</v>
      </c>
      <c r="F58" s="1281">
        <v>3348100</v>
      </c>
    </row>
    <row r="59" spans="1:6">
      <c r="A59" s="1280" t="s">
        <v>48</v>
      </c>
      <c r="B59" s="1280" t="s">
        <v>51</v>
      </c>
      <c r="C59" s="1281">
        <v>103</v>
      </c>
      <c r="D59" s="1281">
        <v>4881791</v>
      </c>
      <c r="E59" s="1281">
        <v>316</v>
      </c>
      <c r="F59" s="1281">
        <v>9650225</v>
      </c>
    </row>
    <row r="60" spans="1:6">
      <c r="A60" s="1280" t="s">
        <v>48</v>
      </c>
      <c r="B60" s="1280" t="s">
        <v>52</v>
      </c>
      <c r="C60" s="1281">
        <v>61</v>
      </c>
      <c r="D60" s="1281">
        <v>3392256</v>
      </c>
      <c r="E60" s="1281">
        <v>124</v>
      </c>
      <c r="F60" s="1281">
        <v>3310097</v>
      </c>
    </row>
    <row r="61" spans="1:6">
      <c r="A61" s="1280" t="s">
        <v>48</v>
      </c>
      <c r="B61" s="1280" t="s">
        <v>53</v>
      </c>
      <c r="C61" s="1281">
        <v>107</v>
      </c>
      <c r="D61" s="1281">
        <v>5017625</v>
      </c>
      <c r="E61" s="1281">
        <v>334</v>
      </c>
      <c r="F61" s="1281">
        <v>4935541</v>
      </c>
    </row>
    <row r="62" spans="1:6">
      <c r="A62" s="1280" t="s">
        <v>48</v>
      </c>
      <c r="B62" s="1280" t="s">
        <v>54</v>
      </c>
      <c r="C62" s="1281">
        <v>9</v>
      </c>
      <c r="D62" s="1281">
        <v>1617291</v>
      </c>
      <c r="E62" s="1281">
        <v>27</v>
      </c>
      <c r="F62" s="1281">
        <v>457964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4</v>
      </c>
      <c r="D65" s="1281">
        <v>111145</v>
      </c>
      <c r="E65" s="1281">
        <v>1</v>
      </c>
      <c r="F65" s="1281">
        <v>19807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8</v>
      </c>
      <c r="F68" s="1283">
        <v>93551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114801555</v>
      </c>
      <c r="E73" s="445"/>
      <c r="F73" s="326"/>
    </row>
    <row r="74" spans="1:6">
      <c r="A74" s="1280" t="s">
        <v>63</v>
      </c>
      <c r="B74" s="1280" t="s">
        <v>754</v>
      </c>
      <c r="C74" s="1293" t="s">
        <v>755</v>
      </c>
      <c r="D74" s="1281">
        <v>7019889.9644306172</v>
      </c>
      <c r="E74" s="445"/>
      <c r="F74" s="326"/>
    </row>
    <row r="75" spans="1:6">
      <c r="A75" s="1280" t="s">
        <v>64</v>
      </c>
      <c r="B75" s="1280" t="s">
        <v>752</v>
      </c>
      <c r="C75" s="1293" t="s">
        <v>756</v>
      </c>
      <c r="D75" s="1281">
        <v>42172828</v>
      </c>
      <c r="E75" s="445"/>
      <c r="F75" s="326"/>
    </row>
    <row r="76" spans="1:6">
      <c r="A76" s="1280" t="s">
        <v>64</v>
      </c>
      <c r="B76" s="1280" t="s">
        <v>754</v>
      </c>
      <c r="C76" s="1293" t="s">
        <v>757</v>
      </c>
      <c r="D76" s="1281">
        <v>607842.9644306174</v>
      </c>
      <c r="E76" s="445"/>
      <c r="F76" s="326"/>
    </row>
    <row r="77" spans="1:6">
      <c r="A77" s="1280" t="s">
        <v>65</v>
      </c>
      <c r="B77" s="1280" t="s">
        <v>752</v>
      </c>
      <c r="C77" s="1293" t="s">
        <v>758</v>
      </c>
      <c r="D77" s="1281">
        <v>48840695</v>
      </c>
      <c r="E77" s="445"/>
      <c r="F77" s="326"/>
    </row>
    <row r="78" spans="1:6">
      <c r="A78" s="1275" t="s">
        <v>65</v>
      </c>
      <c r="B78" s="1275" t="s">
        <v>754</v>
      </c>
      <c r="C78" s="1275" t="s">
        <v>759</v>
      </c>
      <c r="D78" s="1283">
        <v>9789650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854302.07113876508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3942.1307364935606</v>
      </c>
      <c r="C91" s="326"/>
      <c r="D91" s="326"/>
      <c r="E91" s="326"/>
      <c r="F91" s="326"/>
    </row>
    <row r="92" spans="1:6">
      <c r="A92" s="1275" t="s">
        <v>68</v>
      </c>
      <c r="B92" s="1276">
        <v>3026.4477807160388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1612</v>
      </c>
      <c r="C97" s="326"/>
      <c r="D97" s="326"/>
      <c r="E97" s="326"/>
      <c r="F97" s="326"/>
    </row>
    <row r="98" spans="1:6">
      <c r="A98" s="1280" t="s">
        <v>71</v>
      </c>
      <c r="B98" s="1281">
        <v>4</v>
      </c>
      <c r="C98" s="326"/>
      <c r="D98" s="326"/>
      <c r="E98" s="326"/>
      <c r="F98" s="326"/>
    </row>
    <row r="99" spans="1:6">
      <c r="A99" s="1280" t="s">
        <v>72</v>
      </c>
      <c r="B99" s="1281">
        <v>46</v>
      </c>
      <c r="C99" s="326"/>
      <c r="D99" s="326"/>
      <c r="E99" s="326"/>
      <c r="F99" s="326"/>
    </row>
    <row r="100" spans="1:6">
      <c r="A100" s="1280" t="s">
        <v>73</v>
      </c>
      <c r="B100" s="1281">
        <v>530</v>
      </c>
      <c r="C100" s="326"/>
      <c r="D100" s="326"/>
      <c r="E100" s="326"/>
      <c r="F100" s="326"/>
    </row>
    <row r="101" spans="1:6">
      <c r="A101" s="1280" t="s">
        <v>74</v>
      </c>
      <c r="B101" s="1281">
        <v>102</v>
      </c>
      <c r="C101" s="326"/>
      <c r="D101" s="326"/>
      <c r="E101" s="326"/>
      <c r="F101" s="326"/>
    </row>
    <row r="102" spans="1:6">
      <c r="A102" s="1280" t="s">
        <v>75</v>
      </c>
      <c r="B102" s="1281">
        <v>145</v>
      </c>
      <c r="C102" s="326"/>
      <c r="D102" s="326"/>
      <c r="E102" s="326"/>
      <c r="F102" s="326"/>
    </row>
    <row r="103" spans="1:6">
      <c r="A103" s="1280" t="s">
        <v>76</v>
      </c>
      <c r="B103" s="1281">
        <v>254</v>
      </c>
      <c r="C103" s="326"/>
      <c r="D103" s="326"/>
      <c r="E103" s="326"/>
      <c r="F103" s="326"/>
    </row>
    <row r="104" spans="1:6">
      <c r="A104" s="1280" t="s">
        <v>77</v>
      </c>
      <c r="B104" s="1281">
        <v>8045</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14</v>
      </c>
      <c r="C123" s="1281">
        <v>37</v>
      </c>
      <c r="D123" s="326"/>
      <c r="E123" s="326"/>
      <c r="F123" s="326"/>
    </row>
    <row r="124" spans="1:6">
      <c r="A124" s="1280" t="s">
        <v>88</v>
      </c>
      <c r="B124" s="1281">
        <v>2</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89</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113261.35983688296</v>
      </c>
      <c r="C3" s="43" t="s">
        <v>163</v>
      </c>
      <c r="D3" s="43"/>
      <c r="E3" s="156"/>
      <c r="F3" s="43"/>
      <c r="G3" s="43"/>
      <c r="H3" s="43"/>
      <c r="I3" s="43"/>
      <c r="J3" s="43"/>
      <c r="K3" s="96"/>
    </row>
    <row r="4" spans="1:11">
      <c r="A4" s="352" t="s">
        <v>164</v>
      </c>
      <c r="B4" s="49">
        <f>IF(ISERROR('SEAP template'!B78+'SEAP template'!C78),0,'SEAP template'!B78+'SEAP template'!C78)</f>
        <v>11603.5785172096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1101.4941176470588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0.20808388512407849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1573.5630252100839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6621.4285714285716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2015.471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2015.471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0.20808388512407849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419.3870360349116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51682.086000000003</v>
      </c>
      <c r="C5" s="17">
        <f>IF(ISERROR('Eigen informatie GS &amp; warmtenet'!B57),0,'Eigen informatie GS &amp; warmtenet'!B57)</f>
        <v>0</v>
      </c>
      <c r="D5" s="30">
        <f>(SUM(HH_hh_gas_kWh,HH_rest_gas_kWh)/1000)*0.902</f>
        <v>70474.297299999991</v>
      </c>
      <c r="E5" s="17">
        <f>B32*B41</f>
        <v>3672.9055162189466</v>
      </c>
      <c r="F5" s="17">
        <f>B36*B45</f>
        <v>125372.4100444034</v>
      </c>
      <c r="G5" s="18"/>
      <c r="H5" s="17"/>
      <c r="I5" s="17"/>
      <c r="J5" s="17">
        <f>B35*B44+C35*C44</f>
        <v>2823.0688191356794</v>
      </c>
      <c r="K5" s="17"/>
      <c r="L5" s="17"/>
      <c r="M5" s="17"/>
      <c r="N5" s="17">
        <f>B34*B43+C34*C43</f>
        <v>15856.775432107952</v>
      </c>
      <c r="O5" s="17">
        <f>B52*B53*B54</f>
        <v>196.98000000000002</v>
      </c>
      <c r="P5" s="17">
        <f>B60*B61*B62/1000-B60*B61*B62/1000/B63</f>
        <v>495.73333333333335</v>
      </c>
    </row>
    <row r="6" spans="1:16">
      <c r="A6" s="16" t="s">
        <v>615</v>
      </c>
      <c r="B6" s="766">
        <f>kWh_PV_kleiner_dan_10kW</f>
        <v>3942.1307364935606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55624.216736493567</v>
      </c>
      <c r="C8" s="21">
        <f>C5</f>
        <v>0</v>
      </c>
      <c r="D8" s="21">
        <f>D5</f>
        <v>70474.297299999991</v>
      </c>
      <c r="E8" s="21">
        <f>E5</f>
        <v>3672.9055162189466</v>
      </c>
      <c r="F8" s="21">
        <f>F5</f>
        <v>125372.4100444034</v>
      </c>
      <c r="G8" s="21"/>
      <c r="H8" s="21"/>
      <c r="I8" s="21"/>
      <c r="J8" s="21">
        <f>J5</f>
        <v>2823.0688191356794</v>
      </c>
      <c r="K8" s="21"/>
      <c r="L8" s="21">
        <f>L5</f>
        <v>0</v>
      </c>
      <c r="M8" s="21">
        <f>M5</f>
        <v>0</v>
      </c>
      <c r="N8" s="21">
        <f>N5</f>
        <v>15856.775432107952</v>
      </c>
      <c r="O8" s="21">
        <f>O5</f>
        <v>196.98000000000002</v>
      </c>
      <c r="P8" s="21">
        <f>P5</f>
        <v>495.73333333333335</v>
      </c>
    </row>
    <row r="9" spans="1:16">
      <c r="B9" s="19"/>
      <c r="C9" s="19"/>
      <c r="D9" s="256"/>
      <c r="E9" s="19"/>
      <c r="F9" s="19"/>
      <c r="G9" s="19"/>
      <c r="H9" s="19"/>
      <c r="I9" s="19"/>
      <c r="J9" s="19"/>
      <c r="K9" s="19"/>
      <c r="L9" s="19"/>
      <c r="M9" s="19"/>
      <c r="N9" s="19"/>
      <c r="O9" s="19"/>
      <c r="P9" s="19"/>
    </row>
    <row r="10" spans="1:16">
      <c r="A10" s="24" t="s">
        <v>207</v>
      </c>
      <c r="B10" s="25">
        <f ca="1">'EF ele_warmte'!B12</f>
        <v>0.20808388512407849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11574.503125513371</v>
      </c>
      <c r="C12" s="23">
        <f ca="1">C10*C8</f>
        <v>0</v>
      </c>
      <c r="D12" s="23">
        <f>D8*D10</f>
        <v>14235.808054599998</v>
      </c>
      <c r="E12" s="23">
        <f>E10*E8</f>
        <v>833.74955218170089</v>
      </c>
      <c r="F12" s="23">
        <f>F10*F8</f>
        <v>33474.433481855711</v>
      </c>
      <c r="G12" s="23"/>
      <c r="H12" s="23"/>
      <c r="I12" s="23"/>
      <c r="J12" s="23">
        <f>J10*J8</f>
        <v>999.3663619740305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12430</v>
      </c>
      <c r="C26" s="36"/>
      <c r="D26" s="226"/>
    </row>
    <row r="27" spans="1:5" s="15" customFormat="1">
      <c r="A27" s="228" t="s">
        <v>695</v>
      </c>
      <c r="B27" s="37">
        <f>SUM(HH_hh_gas_aantal,HH_rest_gas_aantal)</f>
        <v>5047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4794.6499999999996</v>
      </c>
      <c r="C31" s="34" t="s">
        <v>104</v>
      </c>
      <c r="D31" s="172"/>
    </row>
    <row r="32" spans="1:5">
      <c r="A32" s="169" t="s">
        <v>72</v>
      </c>
      <c r="B32" s="33">
        <f>IF((B21*($B$26-($B$27-0.05*$B$27)-$B$60))&lt;0,0,B21*($B$26-($B$27-0.05*$B$27)-$B$60))</f>
        <v>53.947009216905592</v>
      </c>
      <c r="C32" s="34" t="s">
        <v>104</v>
      </c>
      <c r="D32" s="172"/>
    </row>
    <row r="33" spans="1:6">
      <c r="A33" s="169" t="s">
        <v>73</v>
      </c>
      <c r="B33" s="33">
        <f>IF((B22*($B$26-($B$27-0.05*$B$27)-$B$60))&lt;0,0,B22*($B$26-($B$27-0.05*$B$27)-$B$60))</f>
        <v>1546.1139444273695</v>
      </c>
      <c r="C33" s="34" t="s">
        <v>104</v>
      </c>
      <c r="D33" s="172"/>
    </row>
    <row r="34" spans="1:6">
      <c r="A34" s="169" t="s">
        <v>74</v>
      </c>
      <c r="B34" s="33">
        <f>IF((B24*($B$26-($B$27-0.05*$B$27)-$B$60))&lt;0,0,B24*($B$26-($B$27-0.05*$B$27)-$B$60))</f>
        <v>308.31146034435341</v>
      </c>
      <c r="C34" s="33">
        <f>B26*C24</f>
        <v>2541.6567510938903</v>
      </c>
      <c r="D34" s="231"/>
    </row>
    <row r="35" spans="1:6">
      <c r="A35" s="169" t="s">
        <v>76</v>
      </c>
      <c r="B35" s="33">
        <f>IF((B19*($B$26-($B$27-0.05*$B$27)-$B$60))&lt;0,0,B19*($B$26-($B$27-0.05*$B$27)-$B$60))</f>
        <v>160.55657505031428</v>
      </c>
      <c r="C35" s="33">
        <f>B35/2</f>
        <v>80.27828752515714</v>
      </c>
      <c r="D35" s="231"/>
    </row>
    <row r="36" spans="1:6">
      <c r="A36" s="169" t="s">
        <v>77</v>
      </c>
      <c r="B36" s="33">
        <f>IF((B18*($B$26-($B$27-0.05*$B$27)-$B$60))&lt;0,0,B18*($B$26-($B$27-0.05*$B$27)-$B$60))</f>
        <v>5540.4210109610576</v>
      </c>
      <c r="C36" s="34" t="s">
        <v>104</v>
      </c>
      <c r="D36" s="172"/>
    </row>
    <row r="37" spans="1:6">
      <c r="A37" s="169" t="s">
        <v>78</v>
      </c>
      <c r="B37" s="33">
        <f>B60</f>
        <v>26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126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28335.254000000001</v>
      </c>
      <c r="C5" s="17">
        <f>IF(ISERROR('Eigen informatie GS &amp; warmtenet'!B58),0,'Eigen informatie GS &amp; warmtenet'!B58)</f>
        <v>0</v>
      </c>
      <c r="D5" s="30">
        <f>SUM(D6:D12)</f>
        <v>21810.997714000001</v>
      </c>
      <c r="E5" s="17">
        <f>SUM(E6:E12)</f>
        <v>451.2137903143348</v>
      </c>
      <c r="F5" s="17">
        <f>SUM(F6:F12)</f>
        <v>5727.4694937403892</v>
      </c>
      <c r="G5" s="18"/>
      <c r="H5" s="17"/>
      <c r="I5" s="17"/>
      <c r="J5" s="17">
        <f>SUM(J6:J12)</f>
        <v>0</v>
      </c>
      <c r="K5" s="17"/>
      <c r="L5" s="17"/>
      <c r="M5" s="17"/>
      <c r="N5" s="17">
        <f>SUM(N6:N12)</f>
        <v>1601.7878533569803</v>
      </c>
      <c r="O5" s="17">
        <f>B38*B39*B40</f>
        <v>1.5633333333333335</v>
      </c>
      <c r="P5" s="17">
        <f>B46*B47*B48/1000-B46*B47*B48/1000/B49</f>
        <v>0</v>
      </c>
      <c r="R5" s="32"/>
    </row>
    <row r="6" spans="1:18">
      <c r="A6" s="32" t="s">
        <v>53</v>
      </c>
      <c r="B6" s="37">
        <f>B26</f>
        <v>4935.5410000000002</v>
      </c>
      <c r="C6" s="33"/>
      <c r="D6" s="37">
        <f>IF(ISERROR(TER_kantoor_gas_kWh/1000),0,TER_kantoor_gas_kWh/1000)*0.902</f>
        <v>4525.8977500000001</v>
      </c>
      <c r="E6" s="33">
        <f>$C$26*'E Balans VL '!I12/100/3.6*1000000</f>
        <v>172.76335016780186</v>
      </c>
      <c r="F6" s="33">
        <f>$C$26*('E Balans VL '!L12+'E Balans VL '!N12)/100/3.6*1000000</f>
        <v>748.33398062690787</v>
      </c>
      <c r="G6" s="34"/>
      <c r="H6" s="33"/>
      <c r="I6" s="33"/>
      <c r="J6" s="33">
        <f>$C$26*('E Balans VL '!D12+'E Balans VL '!E12)/100/3.6*1000000</f>
        <v>0</v>
      </c>
      <c r="K6" s="33"/>
      <c r="L6" s="33"/>
      <c r="M6" s="33"/>
      <c r="N6" s="33">
        <f>$C$26*'E Balans VL '!Y12/100/3.6*1000000</f>
        <v>38.15018714818131</v>
      </c>
      <c r="O6" s="33"/>
      <c r="P6" s="33"/>
      <c r="R6" s="32"/>
    </row>
    <row r="7" spans="1:18">
      <c r="A7" s="32" t="s">
        <v>52</v>
      </c>
      <c r="B7" s="37">
        <f t="shared" ref="B7:B12" si="0">B27</f>
        <v>3310.0970000000002</v>
      </c>
      <c r="C7" s="33"/>
      <c r="D7" s="37">
        <f>IF(ISERROR(TER_horeca_gas_kWh/1000),0,TER_horeca_gas_kWh/1000)*0.902</f>
        <v>3059.8149119999998</v>
      </c>
      <c r="E7" s="33">
        <f>$C$27*'E Balans VL '!I9/100/3.6*1000000</f>
        <v>186.7334843709792</v>
      </c>
      <c r="F7" s="33">
        <f>$C$27*('E Balans VL '!L9+'E Balans VL '!N9)/100/3.6*1000000</f>
        <v>576.63721571199403</v>
      </c>
      <c r="G7" s="34"/>
      <c r="H7" s="33"/>
      <c r="I7" s="33"/>
      <c r="J7" s="33">
        <f>$C$27*('E Balans VL '!D9+'E Balans VL '!E9)/100/3.6*1000000</f>
        <v>0</v>
      </c>
      <c r="K7" s="33"/>
      <c r="L7" s="33"/>
      <c r="M7" s="33"/>
      <c r="N7" s="33">
        <f>$C$27*'E Balans VL '!Y9/100/3.6*1000000</f>
        <v>0</v>
      </c>
      <c r="O7" s="33"/>
      <c r="P7" s="33"/>
      <c r="R7" s="32"/>
    </row>
    <row r="8" spans="1:18">
      <c r="A8" s="6" t="s">
        <v>51</v>
      </c>
      <c r="B8" s="37">
        <f t="shared" si="0"/>
        <v>9650.2250000000004</v>
      </c>
      <c r="C8" s="33"/>
      <c r="D8" s="37">
        <f>IF(ISERROR(TER_handel_gas_kWh/1000),0,TER_handel_gas_kWh/1000)*0.902</f>
        <v>4403.3754820000004</v>
      </c>
      <c r="E8" s="33">
        <f>$C$28*'E Balans VL '!I13/100/3.6*1000000</f>
        <v>49.54327470135982</v>
      </c>
      <c r="F8" s="33">
        <f>$C$28*('E Balans VL '!L13+'E Balans VL '!N13)/100/3.6*1000000</f>
        <v>1487.9155837168087</v>
      </c>
      <c r="G8" s="34"/>
      <c r="H8" s="33"/>
      <c r="I8" s="33"/>
      <c r="J8" s="33">
        <f>$C$28*('E Balans VL '!D13+'E Balans VL '!E13)/100/3.6*1000000</f>
        <v>0</v>
      </c>
      <c r="K8" s="33"/>
      <c r="L8" s="33"/>
      <c r="M8" s="33"/>
      <c r="N8" s="33">
        <f>$C$28*'E Balans VL '!Y13/100/3.6*1000000</f>
        <v>4.5135280293520239</v>
      </c>
      <c r="O8" s="33"/>
      <c r="P8" s="33"/>
      <c r="R8" s="32"/>
    </row>
    <row r="9" spans="1:18">
      <c r="A9" s="32" t="s">
        <v>50</v>
      </c>
      <c r="B9" s="37">
        <f t="shared" si="0"/>
        <v>3348.1</v>
      </c>
      <c r="C9" s="33"/>
      <c r="D9" s="37">
        <f>IF(ISERROR(TER_gezond_gas_kWh/1000),0,TER_gezond_gas_kWh/1000)*0.902</f>
        <v>6388.290524</v>
      </c>
      <c r="E9" s="33">
        <f>$C$29*'E Balans VL '!I10/100/3.6*1000000</f>
        <v>1.3877636056863749</v>
      </c>
      <c r="F9" s="33">
        <f>$C$29*('E Balans VL '!L10+'E Balans VL '!N10)/100/3.6*1000000</f>
        <v>824.58901184073648</v>
      </c>
      <c r="G9" s="34"/>
      <c r="H9" s="33"/>
      <c r="I9" s="33"/>
      <c r="J9" s="33">
        <f>$C$29*('E Balans VL '!D10+'E Balans VL '!E10)/100/3.6*1000000</f>
        <v>0</v>
      </c>
      <c r="K9" s="33"/>
      <c r="L9" s="33"/>
      <c r="M9" s="33"/>
      <c r="N9" s="33">
        <f>$C$29*'E Balans VL '!Y10/100/3.6*1000000</f>
        <v>28.935870966407059</v>
      </c>
      <c r="O9" s="33"/>
      <c r="P9" s="33"/>
      <c r="R9" s="32"/>
    </row>
    <row r="10" spans="1:18">
      <c r="A10" s="32" t="s">
        <v>49</v>
      </c>
      <c r="B10" s="37">
        <f t="shared" si="0"/>
        <v>6633.3270000000002</v>
      </c>
      <c r="C10" s="33"/>
      <c r="D10" s="37">
        <f>IF(ISERROR(TER_ander_gas_kWh/1000),0,TER_ander_gas_kWh/1000)*0.902</f>
        <v>1974.8225640000001</v>
      </c>
      <c r="E10" s="33">
        <f>$C$30*'E Balans VL '!I14/100/3.6*1000000</f>
        <v>40.436925054070173</v>
      </c>
      <c r="F10" s="33">
        <f>$C$30*('E Balans VL '!L14+'E Balans VL '!N14)/100/3.6*1000000</f>
        <v>1758.5858539724913</v>
      </c>
      <c r="G10" s="34"/>
      <c r="H10" s="33"/>
      <c r="I10" s="33"/>
      <c r="J10" s="33">
        <f>$C$30*('E Balans VL '!D14+'E Balans VL '!E14)/100/3.6*1000000</f>
        <v>0</v>
      </c>
      <c r="K10" s="33"/>
      <c r="L10" s="33"/>
      <c r="M10" s="33"/>
      <c r="N10" s="33">
        <f>$C$30*'E Balans VL '!Y14/100/3.6*1000000</f>
        <v>1528.8385378536384</v>
      </c>
      <c r="O10" s="33"/>
      <c r="P10" s="33"/>
      <c r="R10" s="32"/>
    </row>
    <row r="11" spans="1:18">
      <c r="A11" s="32" t="s">
        <v>54</v>
      </c>
      <c r="B11" s="37">
        <f t="shared" si="0"/>
        <v>457.964</v>
      </c>
      <c r="C11" s="33"/>
      <c r="D11" s="37">
        <f>IF(ISERROR(TER_onderwijs_gas_kWh/1000),0,TER_onderwijs_gas_kWh/1000)*0.902</f>
        <v>1458.796482</v>
      </c>
      <c r="E11" s="33">
        <f>$C$31*'E Balans VL '!I11/100/3.6*1000000</f>
        <v>0.34899241443740175</v>
      </c>
      <c r="F11" s="33">
        <f>$C$31*('E Balans VL '!L11+'E Balans VL '!N11)/100/3.6*1000000</f>
        <v>331.40784787145122</v>
      </c>
      <c r="G11" s="34"/>
      <c r="H11" s="33"/>
      <c r="I11" s="33"/>
      <c r="J11" s="33">
        <f>$C$31*('E Balans VL '!D11+'E Balans VL '!E11)/100/3.6*1000000</f>
        <v>0</v>
      </c>
      <c r="K11" s="33"/>
      <c r="L11" s="33"/>
      <c r="M11" s="33"/>
      <c r="N11" s="33">
        <f>$C$31*'E Balans VL '!Y11/100/3.6*1000000</f>
        <v>1.3497293594015802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28335.254000000001</v>
      </c>
      <c r="C16" s="21">
        <f ca="1">C5+C13+C14</f>
        <v>0</v>
      </c>
      <c r="D16" s="21">
        <f t="shared" ref="D16:N16" ca="1" si="1">MAX((D5+D13+D14),0)</f>
        <v>21810.997714000001</v>
      </c>
      <c r="E16" s="21">
        <f t="shared" si="1"/>
        <v>451.2137903143348</v>
      </c>
      <c r="F16" s="21">
        <f t="shared" ca="1" si="1"/>
        <v>5727.4694937403892</v>
      </c>
      <c r="G16" s="21">
        <f t="shared" si="1"/>
        <v>0</v>
      </c>
      <c r="H16" s="21">
        <f t="shared" si="1"/>
        <v>0</v>
      </c>
      <c r="I16" s="21">
        <f t="shared" si="1"/>
        <v>0</v>
      </c>
      <c r="J16" s="21">
        <f t="shared" si="1"/>
        <v>0</v>
      </c>
      <c r="K16" s="21">
        <f t="shared" si="1"/>
        <v>0</v>
      </c>
      <c r="L16" s="21">
        <f t="shared" ca="1" si="1"/>
        <v>0</v>
      </c>
      <c r="M16" s="21">
        <f t="shared" si="1"/>
        <v>0</v>
      </c>
      <c r="N16" s="21">
        <f t="shared" ca="1" si="1"/>
        <v>1601.7878533569803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0.20808388512407849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5896.1097382975859</v>
      </c>
      <c r="C20" s="23">
        <f t="shared" ref="C20:P20" ca="1" si="2">C16*C18</f>
        <v>0</v>
      </c>
      <c r="D20" s="23">
        <f t="shared" ca="1" si="2"/>
        <v>4405.8215382280005</v>
      </c>
      <c r="E20" s="23">
        <f t="shared" si="2"/>
        <v>102.42553040135401</v>
      </c>
      <c r="F20" s="23">
        <f t="shared" ca="1" si="2"/>
        <v>1529.234354828684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4935.5410000000002</v>
      </c>
      <c r="C26" s="39">
        <f>IF(ISERROR(B26*3.6/1000000/'E Balans VL '!Z12*100),0,B26*3.6/1000000/'E Balans VL '!Z12*100)</f>
        <v>0.10386027536635462</v>
      </c>
      <c r="D26" s="234" t="s">
        <v>700</v>
      </c>
      <c r="F26" s="6"/>
    </row>
    <row r="27" spans="1:18">
      <c r="A27" s="229" t="s">
        <v>52</v>
      </c>
      <c r="B27" s="33">
        <f>IF(ISERROR(TER_horeca_ele_kWh/1000),0,TER_horeca_ele_kWh/1000)</f>
        <v>3310.0970000000002</v>
      </c>
      <c r="C27" s="39">
        <f>IF(ISERROR(B27*3.6/1000000/'E Balans VL '!Z9*100),0,B27*3.6/1000000/'E Balans VL '!Z9*100)</f>
        <v>0.28025661170356575</v>
      </c>
      <c r="D27" s="234" t="s">
        <v>700</v>
      </c>
      <c r="F27" s="6"/>
    </row>
    <row r="28" spans="1:18">
      <c r="A28" s="169" t="s">
        <v>51</v>
      </c>
      <c r="B28" s="33">
        <f>IF(ISERROR(TER_handel_ele_kWh/1000),0,TER_handel_ele_kWh/1000)</f>
        <v>9650.2250000000004</v>
      </c>
      <c r="C28" s="39">
        <f>IF(ISERROR(B28*3.6/1000000/'E Balans VL '!Z13*100),0,B28*3.6/1000000/'E Balans VL '!Z13*100)</f>
        <v>0.26716514470109615</v>
      </c>
      <c r="D28" s="234" t="s">
        <v>700</v>
      </c>
      <c r="F28" s="6"/>
    </row>
    <row r="29" spans="1:18">
      <c r="A29" s="229" t="s">
        <v>50</v>
      </c>
      <c r="B29" s="33">
        <f>IF(ISERROR(TER_gezond_ele_kWh/1000),0,TER_gezond_ele_kWh/1000)</f>
        <v>3348.1</v>
      </c>
      <c r="C29" s="39">
        <f>IF(ISERROR(B29*3.6/1000000/'E Balans VL '!Z10*100),0,B29*3.6/1000000/'E Balans VL '!Z10*100)</f>
        <v>0.43521588198392086</v>
      </c>
      <c r="D29" s="234" t="s">
        <v>700</v>
      </c>
      <c r="F29" s="6"/>
    </row>
    <row r="30" spans="1:18">
      <c r="A30" s="229" t="s">
        <v>49</v>
      </c>
      <c r="B30" s="33">
        <f>IF(ISERROR(TER_ander_ele_kWh/1000),0,TER_ander_ele_kWh/1000)</f>
        <v>6633.3270000000002</v>
      </c>
      <c r="C30" s="39">
        <f>IF(ISERROR(B30*3.6/1000000/'E Balans VL '!Z14*100),0,B30*3.6/1000000/'E Balans VL '!Z14*100)</f>
        <v>0.51414367475562806</v>
      </c>
      <c r="D30" s="234" t="s">
        <v>700</v>
      </c>
      <c r="F30" s="6"/>
    </row>
    <row r="31" spans="1:18">
      <c r="A31" s="229" t="s">
        <v>54</v>
      </c>
      <c r="B31" s="33">
        <f>IF(ISERROR(TER_onderwijs_ele_kWh/1000),0,TER_onderwijs_ele_kWh/1000)</f>
        <v>457.964</v>
      </c>
      <c r="C31" s="39">
        <f>IF(ISERROR(B31*3.6/1000000/'E Balans VL '!Z11*100),0,B31*3.6/1000000/'E Balans VL '!Z11*100)</f>
        <v>8.7616316741420341E-2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11500.307000000003</v>
      </c>
      <c r="C5" s="17">
        <f>IF(ISERROR('Eigen informatie GS &amp; warmtenet'!B59),0,'Eigen informatie GS &amp; warmtenet'!B59)</f>
        <v>0</v>
      </c>
      <c r="D5" s="30">
        <f>SUM(D6:D15)</f>
        <v>117691.64308000001</v>
      </c>
      <c r="E5" s="17">
        <f>SUM(E6:E15)</f>
        <v>175.56431456539647</v>
      </c>
      <c r="F5" s="17">
        <f>SUM(F6:F15)</f>
        <v>6772.2310167346322</v>
      </c>
      <c r="G5" s="18"/>
      <c r="H5" s="17"/>
      <c r="I5" s="17"/>
      <c r="J5" s="17">
        <f>SUM(J6:J15)</f>
        <v>32.989125391540732</v>
      </c>
      <c r="K5" s="17"/>
      <c r="L5" s="17"/>
      <c r="M5" s="17"/>
      <c r="N5" s="17">
        <f>SUM(N6:N15)</f>
        <v>626.39964433511614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1135.961</v>
      </c>
      <c r="C8" s="33"/>
      <c r="D8" s="37">
        <f>IF( ISERROR(IND_metaal_Gas_kWH/1000),0,IND_metaal_Gas_kWH/1000)*0.902</f>
        <v>3814.9341340000005</v>
      </c>
      <c r="E8" s="33">
        <f>C30*'E Balans VL '!I18/100/3.6*1000000</f>
        <v>7.9821473085743753</v>
      </c>
      <c r="F8" s="33">
        <f>C30*'E Balans VL '!L18/100/3.6*1000000+C30*'E Balans VL '!N18/100/3.6*1000000</f>
        <v>124.72187177399138</v>
      </c>
      <c r="G8" s="34"/>
      <c r="H8" s="33"/>
      <c r="I8" s="33"/>
      <c r="J8" s="40">
        <f>C30*'E Balans VL '!D18/100/3.6*1000000+C30*'E Balans VL '!E18/100/3.6*1000000</f>
        <v>23.437323870993183</v>
      </c>
      <c r="K8" s="33"/>
      <c r="L8" s="33"/>
      <c r="M8" s="33"/>
      <c r="N8" s="33">
        <f>C30*'E Balans VL '!Y18/100/3.6*1000000</f>
        <v>4.2576636398234671</v>
      </c>
      <c r="O8" s="33"/>
      <c r="P8" s="33"/>
      <c r="R8" s="32"/>
    </row>
    <row r="9" spans="1:18">
      <c r="A9" s="6" t="s">
        <v>32</v>
      </c>
      <c r="B9" s="37">
        <f t="shared" si="0"/>
        <v>8126.8010000000004</v>
      </c>
      <c r="C9" s="33"/>
      <c r="D9" s="37">
        <f>IF( ISERROR(IND_andere_gas_kWh/1000),0,IND_andere_gas_kWh/1000)*0.902</f>
        <v>963.21152400000005</v>
      </c>
      <c r="E9" s="33">
        <f>C31*'E Balans VL '!I19/100/3.6*1000000</f>
        <v>136.49957844409118</v>
      </c>
      <c r="F9" s="33">
        <f>C31*'E Balans VL '!L19/100/3.6*1000000+C31*'E Balans VL '!N19/100/3.6*1000000</f>
        <v>6353.0701537762752</v>
      </c>
      <c r="G9" s="34"/>
      <c r="H9" s="33"/>
      <c r="I9" s="33"/>
      <c r="J9" s="40">
        <f>C31*'E Balans VL '!D19/100/3.6*1000000+C31*'E Balans VL '!E19/100/3.6*1000000</f>
        <v>0.73296571179945591</v>
      </c>
      <c r="K9" s="33"/>
      <c r="L9" s="33"/>
      <c r="M9" s="33"/>
      <c r="N9" s="33">
        <f>C31*'E Balans VL '!Y19/100/3.6*1000000</f>
        <v>602.32633714347821</v>
      </c>
      <c r="O9" s="33"/>
      <c r="P9" s="33"/>
      <c r="R9" s="32"/>
    </row>
    <row r="10" spans="1:18">
      <c r="A10" s="6" t="s">
        <v>40</v>
      </c>
      <c r="B10" s="37">
        <f t="shared" si="0"/>
        <v>1232.816</v>
      </c>
      <c r="C10" s="33"/>
      <c r="D10" s="37">
        <f>IF( ISERROR(IND_voed_gas_kWh/1000),0,IND_voed_gas_kWh/1000)*0.902</f>
        <v>590.367118</v>
      </c>
      <c r="E10" s="33">
        <f>C32*'E Balans VL '!I20/100/3.6*1000000</f>
        <v>11.247700887335832</v>
      </c>
      <c r="F10" s="33">
        <f>C32*'E Balans VL '!L20/100/3.6*1000000+C32*'E Balans VL '!N20/100/3.6*1000000</f>
        <v>198.89178102785695</v>
      </c>
      <c r="G10" s="34"/>
      <c r="H10" s="33"/>
      <c r="I10" s="33"/>
      <c r="J10" s="40">
        <f>C32*'E Balans VL '!D20/100/3.6*1000000+C32*'E Balans VL '!E20/100/3.6*1000000</f>
        <v>5.0775445612941343</v>
      </c>
      <c r="K10" s="33"/>
      <c r="L10" s="33"/>
      <c r="M10" s="33"/>
      <c r="N10" s="33">
        <f>C32*'E Balans VL '!Y20/100/3.6*1000000</f>
        <v>18.035125977300901</v>
      </c>
      <c r="O10" s="33"/>
      <c r="P10" s="33"/>
      <c r="R10" s="32"/>
    </row>
    <row r="11" spans="1:18">
      <c r="A11" s="6" t="s">
        <v>39</v>
      </c>
      <c r="B11" s="37">
        <f t="shared" si="0"/>
        <v>250.994</v>
      </c>
      <c r="C11" s="33"/>
      <c r="D11" s="37">
        <f>IF( ISERROR(IND_textiel_gas_kWh/1000),0,IND_textiel_gas_kWh/1000)*0.902</f>
        <v>0</v>
      </c>
      <c r="E11" s="33">
        <f>C33*'E Balans VL '!I21/100/3.6*1000000</f>
        <v>0.57247075660357227</v>
      </c>
      <c r="F11" s="33">
        <f>C33*'E Balans VL '!L21/100/3.6*1000000+C33*'E Balans VL '!N21/100/3.6*1000000</f>
        <v>5.3652295458862227</v>
      </c>
      <c r="G11" s="34"/>
      <c r="H11" s="33"/>
      <c r="I11" s="33"/>
      <c r="J11" s="40">
        <f>C33*'E Balans VL '!D21/100/3.6*1000000+C33*'E Balans VL '!E21/100/3.6*1000000</f>
        <v>0</v>
      </c>
      <c r="K11" s="33"/>
      <c r="L11" s="33"/>
      <c r="M11" s="33"/>
      <c r="N11" s="33">
        <f>C33*'E Balans VL '!Y21/100/3.6*1000000</f>
        <v>1.7805175745134536</v>
      </c>
      <c r="O11" s="33"/>
      <c r="P11" s="33"/>
      <c r="R11" s="32"/>
    </row>
    <row r="12" spans="1:18">
      <c r="A12" s="6" t="s">
        <v>36</v>
      </c>
      <c r="B12" s="37">
        <f t="shared" si="0"/>
        <v>658.61</v>
      </c>
      <c r="C12" s="33"/>
      <c r="D12" s="37">
        <f>IF( ISERROR(IND_min_gas_kWh/1000),0,IND_min_gas_kWh/1000)*0.902</f>
        <v>0</v>
      </c>
      <c r="E12" s="33">
        <f>C34*'E Balans VL '!I22/100/3.6*1000000</f>
        <v>16.335669172931382</v>
      </c>
      <c r="F12" s="33">
        <f>C34*'E Balans VL '!L22/100/3.6*1000000+C34*'E Balans VL '!N22/100/3.6*1000000</f>
        <v>69.983618688287009</v>
      </c>
      <c r="G12" s="34"/>
      <c r="H12" s="33"/>
      <c r="I12" s="33"/>
      <c r="J12" s="40">
        <f>C34*'E Balans VL '!D22/100/3.6*1000000+C34*'E Balans VL '!E22/100/3.6*1000000</f>
        <v>3.7412912474539559</v>
      </c>
      <c r="K12" s="33"/>
      <c r="L12" s="33"/>
      <c r="M12" s="33"/>
      <c r="N12" s="33">
        <f>C34*'E Balans VL '!Y22/100/3.6*1000000</f>
        <v>0</v>
      </c>
      <c r="O12" s="33"/>
      <c r="P12" s="33"/>
      <c r="R12" s="32"/>
    </row>
    <row r="13" spans="1:18">
      <c r="A13" s="6" t="s">
        <v>38</v>
      </c>
      <c r="B13" s="37">
        <f t="shared" si="0"/>
        <v>95.125</v>
      </c>
      <c r="C13" s="33"/>
      <c r="D13" s="37">
        <f>IF( ISERROR(IND_papier_gas_kWh/1000),0,IND_papier_gas_kWh/1000)*0.902</f>
        <v>16.649115999999999</v>
      </c>
      <c r="E13" s="33">
        <f>C35*'E Balans VL '!I23/100/3.6*1000000</f>
        <v>2.926747995860135</v>
      </c>
      <c r="F13" s="33">
        <f>C35*'E Balans VL '!L23/100/3.6*1000000+C35*'E Balans VL '!N23/100/3.6*1000000</f>
        <v>20.198361922335192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112306.48118800001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4635</v>
      </c>
      <c r="C16" s="244">
        <f>'lokale energieproductie'!O37+'lokale energieproductie'!O30</f>
        <v>6621.4285714285716</v>
      </c>
      <c r="D16" s="304">
        <f>('lokale energieproductie'!P30+'lokale energieproductie'!P37)*(-1)</f>
        <v>-13242.857142857143</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16135.307000000003</v>
      </c>
      <c r="C18" s="21">
        <f>C5+C16</f>
        <v>6621.4285714285716</v>
      </c>
      <c r="D18" s="21">
        <f>MAX((D5+D16),0)</f>
        <v>104448.78593714286</v>
      </c>
      <c r="E18" s="21">
        <f>MAX((E5+E16),0)</f>
        <v>175.56431456539647</v>
      </c>
      <c r="F18" s="21">
        <f>MAX((F5+F16),0)</f>
        <v>6772.2310167346322</v>
      </c>
      <c r="G18" s="21"/>
      <c r="H18" s="21"/>
      <c r="I18" s="21"/>
      <c r="J18" s="21">
        <f>MAX((J5+J16),0)</f>
        <v>32.989125391540732</v>
      </c>
      <c r="K18" s="21"/>
      <c r="L18" s="21">
        <f>MAX((L5+L16),0)</f>
        <v>0</v>
      </c>
      <c r="M18" s="21"/>
      <c r="N18" s="21">
        <f>MAX((N5+N16),0)</f>
        <v>626.39964433511614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0.20808388512407849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3357.49736822974</v>
      </c>
      <c r="C22" s="23">
        <f ca="1">C18*C20</f>
        <v>1573.5630252100839</v>
      </c>
      <c r="D22" s="23">
        <f>D18*D20</f>
        <v>21098.654759302859</v>
      </c>
      <c r="E22" s="23">
        <f>E18*E20</f>
        <v>39.853099406345002</v>
      </c>
      <c r="F22" s="23">
        <f>F18*F20</f>
        <v>1808.1856814681469</v>
      </c>
      <c r="G22" s="23"/>
      <c r="H22" s="23"/>
      <c r="I22" s="23"/>
      <c r="J22" s="23">
        <f>J18*J20</f>
        <v>11.678150388605419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1135.961</v>
      </c>
      <c r="C30" s="39">
        <f>IF(ISERROR(B30*3.6/1000000/'E Balans VL '!Z18*100),0,B30*3.6/1000000/'E Balans VL '!Z18*100)</f>
        <v>7.5621617445915418E-2</v>
      </c>
      <c r="D30" s="234" t="s">
        <v>700</v>
      </c>
    </row>
    <row r="31" spans="1:18">
      <c r="A31" s="6" t="s">
        <v>32</v>
      </c>
      <c r="B31" s="37">
        <f>IF( ISERROR(IND_ander_ele_kWh/1000),0,IND_ander_ele_kWh/1000)</f>
        <v>8126.8010000000004</v>
      </c>
      <c r="C31" s="39">
        <f>IF(ISERROR(B31*3.6/1000000/'E Balans VL '!Z19*100),0,B31*3.6/1000000/'E Balans VL '!Z19*100)</f>
        <v>0.36022888224956195</v>
      </c>
      <c r="D31" s="234" t="s">
        <v>700</v>
      </c>
    </row>
    <row r="32" spans="1:18">
      <c r="A32" s="169" t="s">
        <v>40</v>
      </c>
      <c r="B32" s="37">
        <f>IF( ISERROR(IND_voed_ele_kWh/1000),0,IND_voed_ele_kWh/1000)</f>
        <v>1232.816</v>
      </c>
      <c r="C32" s="39">
        <f>IF(ISERROR(B32*3.6/1000000/'E Balans VL '!Z20*100),0,B32*3.6/1000000/'E Balans VL '!Z20*100)</f>
        <v>4.1179590891392566E-2</v>
      </c>
      <c r="D32" s="234" t="s">
        <v>700</v>
      </c>
    </row>
    <row r="33" spans="1:5">
      <c r="A33" s="169" t="s">
        <v>39</v>
      </c>
      <c r="B33" s="37">
        <f>IF( ISERROR(IND_textiel_ele_kWh/1000),0,IND_textiel_ele_kWh/1000)</f>
        <v>250.994</v>
      </c>
      <c r="C33" s="39">
        <f>IF(ISERROR(B33*3.6/1000000/'E Balans VL '!Z21*100),0,B33*3.6/1000000/'E Balans VL '!Z21*100)</f>
        <v>3.3043938902198339E-2</v>
      </c>
      <c r="D33" s="234" t="s">
        <v>700</v>
      </c>
    </row>
    <row r="34" spans="1:5">
      <c r="A34" s="169" t="s">
        <v>36</v>
      </c>
      <c r="B34" s="37">
        <f>IF( ISERROR(IND_min_ele_kWh/1000),0,IND_min_ele_kWh/1000)</f>
        <v>658.61</v>
      </c>
      <c r="C34" s="39">
        <f>IF(ISERROR(B34*3.6/1000000/'E Balans VL '!Z22*100),0,B34*3.6/1000000/'E Balans VL '!Z22*100)</f>
        <v>0.12809241058037929</v>
      </c>
      <c r="D34" s="234" t="s">
        <v>700</v>
      </c>
    </row>
    <row r="35" spans="1:5">
      <c r="A35" s="169" t="s">
        <v>38</v>
      </c>
      <c r="B35" s="37">
        <f>IF( ISERROR(IND_papier_ele_kWh/1000),0,IND_papier_ele_kWh/1000)</f>
        <v>95.125</v>
      </c>
      <c r="C35" s="39">
        <f>IF(ISERROR(B35*3.6/1000000/'E Balans VL '!Z22*100),0,B35*3.6/1000000/'E Balans VL '!Z22*100)</f>
        <v>1.8500767611270067E-2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3043.1469999999999</v>
      </c>
      <c r="C5" s="17">
        <f>'Eigen informatie GS &amp; warmtenet'!B60</f>
        <v>0</v>
      </c>
      <c r="D5" s="30">
        <f>IF(ISERROR(SUM(LB_lb_gas_kWh,LB_rest_gas_kWh)/1000),0,SUM(LB_lb_gas_kWh,LB_rest_gas_kWh)/1000)*0.902</f>
        <v>2790.7320760000002</v>
      </c>
      <c r="E5" s="17">
        <f>B17*'E Balans VL '!I25/3.6*1000000/100</f>
        <v>31.868494198459203</v>
      </c>
      <c r="F5" s="17">
        <f>B17*('E Balans VL '!L25/3.6*1000000+'E Balans VL '!N25/3.6*1000000)/100</f>
        <v>13026.981460635201</v>
      </c>
      <c r="G5" s="18"/>
      <c r="H5" s="17"/>
      <c r="I5" s="17"/>
      <c r="J5" s="17">
        <f>('E Balans VL '!D25+'E Balans VL '!E25)/3.6*1000000*landbouw!B17/100</f>
        <v>271.78030329188357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3043.1469999999999</v>
      </c>
      <c r="C8" s="21">
        <f>C5+C6</f>
        <v>0</v>
      </c>
      <c r="D8" s="21">
        <f>MAX((D5+D6),0)</f>
        <v>2790.7320760000002</v>
      </c>
      <c r="E8" s="21">
        <f>MAX((E5+E6),0)</f>
        <v>31.868494198459203</v>
      </c>
      <c r="F8" s="21">
        <f>MAX((F5+F6),0)</f>
        <v>13026.981460635201</v>
      </c>
      <c r="G8" s="21"/>
      <c r="H8" s="21"/>
      <c r="I8" s="21"/>
      <c r="J8" s="21">
        <f>MAX((J5+J6),0)</f>
        <v>271.78030329188357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0.20808388512407849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633.22985076368411</v>
      </c>
      <c r="C12" s="23">
        <f ca="1">C8*C10</f>
        <v>0</v>
      </c>
      <c r="D12" s="23">
        <f>D8*D10</f>
        <v>563.72787935200006</v>
      </c>
      <c r="E12" s="23">
        <f>E8*E10</f>
        <v>7.2341481830502392</v>
      </c>
      <c r="F12" s="23">
        <f>F8*F10</f>
        <v>3478.2040499895988</v>
      </c>
      <c r="G12" s="23"/>
      <c r="H12" s="23"/>
      <c r="I12" s="23"/>
      <c r="J12" s="23">
        <f>J8*J10</f>
        <v>96.210227365326773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0.46839906689282418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341.49679812888411</v>
      </c>
      <c r="C26" s="244">
        <f>B26*'GWP N2O_CH4'!B5</f>
        <v>7171.4327607065661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92.140426023629971</v>
      </c>
      <c r="C27" s="244">
        <f>B27*'GWP N2O_CH4'!B5</f>
        <v>1934.9489464962294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5.067776062906689</v>
      </c>
      <c r="C28" s="244">
        <f>B28*'GWP N2O_CH4'!B4</f>
        <v>1571.0105795010736</v>
      </c>
      <c r="D28" s="50"/>
    </row>
    <row r="29" spans="1:4">
      <c r="A29" s="41" t="s">
        <v>266</v>
      </c>
      <c r="B29" s="244">
        <f>B34*'ha_N2O bodem landbouw'!B4</f>
        <v>32.299453893253713</v>
      </c>
      <c r="C29" s="244">
        <f>B29*'GWP N2O_CH4'!B4</f>
        <v>10012.830706908651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5.3379089670923113E-3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8.183485818308523E-6</v>
      </c>
      <c r="C5" s="433" t="s">
        <v>204</v>
      </c>
      <c r="D5" s="418">
        <f>SUM(D6:D11)</f>
        <v>2.8229260507073917E-5</v>
      </c>
      <c r="E5" s="418">
        <f>SUM(E6:E11)</f>
        <v>3.0291143394968007E-3</v>
      </c>
      <c r="F5" s="431" t="s">
        <v>204</v>
      </c>
      <c r="G5" s="418">
        <f>SUM(G6:G11)</f>
        <v>0.5537030226446259</v>
      </c>
      <c r="H5" s="418">
        <f>SUM(H6:H11)</f>
        <v>9.3680545278000751E-2</v>
      </c>
      <c r="I5" s="433" t="s">
        <v>204</v>
      </c>
      <c r="J5" s="433" t="s">
        <v>204</v>
      </c>
      <c r="K5" s="433" t="s">
        <v>204</v>
      </c>
      <c r="L5" s="433" t="s">
        <v>204</v>
      </c>
      <c r="M5" s="418">
        <f>SUM(M6:M11)</f>
        <v>2.8164723376523742E-2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4.3626312196627103E-6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1.3813054466885037E-5</v>
      </c>
      <c r="E6" s="421">
        <f>vkm_GW_PW*SUMIFS(TableVerdeelsleutelVkm[LPG],TableVerdeelsleutelVkm[Voertuigtype],"Lichte voertuigen")*SUMIFS(TableECFTransport[EnergieConsumptieFactor (PJ per km)],TableECFTransport[Index],CONCATENATE($A6,"_LPG_LPG"))</f>
        <v>1.4394403886457392E-3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0.19173381860924879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4.5996529081683481E-2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1.0376728773155687E-2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1.4598255513383636E-7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6.5805602086736331E-2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1.7816854472992246E-6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2.8349327023552639E-3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1.6026306965464509E-6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8.6236797301401061E-6</v>
      </c>
      <c r="E8" s="421">
        <f>vkm_NGW_PW*SUMIFS(TableVerdeelsleutelVkm[LPG],TableVerdeelsleutelVkm[Voertuigtype],"Lichte voertuigen")*SUMIFS(TableECFTransport[EnergieConsumptieFactor (PJ per km)],TableECFTransport[Index],CONCATENATE($A8,"_LPG_LPG"))</f>
        <v>8.4808399113545574E-4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0.10695690453487205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2.7153590830081793E-2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5.8573615002933069E-3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1.2640435892488293E-8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7.8926523346210566E-3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1.8621238755296121E-7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3.400174798217403E-4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1.8560196401261677E-6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5.792526310048773E-6</v>
      </c>
      <c r="E10" s="421">
        <f>vkm_SW_PW*SUMIFS(TableVerdeelsleutelVkm[LPG],TableVerdeelsleutelVkm[Voertuigtype],"Lichte voertuigen")*SUMIFS(TableECFTransport[EnergieConsumptieFactor (PJ per km)],TableECFTransport[Index],CONCATENATE($A10,"_LPG_LPG"))</f>
        <v>7.4158995971560556E-4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9.2763850707519496E-2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2.0525900070333822E-2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4.9408963652855927E-3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2.0358127094686973E-7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8.8550194371628116E-2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2.5573980668073311E-6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3.8147865556121493E-3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2.2731905050857009</v>
      </c>
      <c r="C14" s="21"/>
      <c r="D14" s="21">
        <f t="shared" ref="D14:M14" si="0">((D5)*10^9/3600)+D12</f>
        <v>7.8414612519649767</v>
      </c>
      <c r="E14" s="21">
        <f t="shared" si="0"/>
        <v>841.4206498602224</v>
      </c>
      <c r="F14" s="21"/>
      <c r="G14" s="21">
        <f t="shared" si="0"/>
        <v>153806.39517906276</v>
      </c>
      <c r="H14" s="21">
        <f t="shared" si="0"/>
        <v>26022.373688333544</v>
      </c>
      <c r="I14" s="21"/>
      <c r="J14" s="21"/>
      <c r="K14" s="21"/>
      <c r="L14" s="21"/>
      <c r="M14" s="21">
        <f t="shared" si="0"/>
        <v>7823.5342712565944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0.20808388512407849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0.47301431192539894</v>
      </c>
      <c r="C18" s="23"/>
      <c r="D18" s="23">
        <f t="shared" ref="D18:M18" si="1">D14*D16</f>
        <v>1.5839751728969254</v>
      </c>
      <c r="E18" s="23">
        <f t="shared" si="1"/>
        <v>191.0024875182705</v>
      </c>
      <c r="F18" s="23"/>
      <c r="G18" s="23">
        <f t="shared" si="1"/>
        <v>41066.307512809763</v>
      </c>
      <c r="H18" s="23">
        <f t="shared" si="1"/>
        <v>6479.5710483950525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5.1688475583526422E-5</v>
      </c>
      <c r="C50" s="315">
        <f t="shared" ref="C50:P50" si="2">SUM(C51:C52)</f>
        <v>0</v>
      </c>
      <c r="D50" s="315">
        <f t="shared" si="2"/>
        <v>0</v>
      </c>
      <c r="E50" s="315">
        <f t="shared" si="2"/>
        <v>0</v>
      </c>
      <c r="F50" s="315">
        <f t="shared" si="2"/>
        <v>0</v>
      </c>
      <c r="G50" s="315">
        <f t="shared" si="2"/>
        <v>1.1213295832872651E-2</v>
      </c>
      <c r="H50" s="315">
        <f t="shared" si="2"/>
        <v>0</v>
      </c>
      <c r="I50" s="315">
        <f t="shared" si="2"/>
        <v>0</v>
      </c>
      <c r="J50" s="315">
        <f t="shared" si="2"/>
        <v>0</v>
      </c>
      <c r="K50" s="315">
        <f t="shared" si="2"/>
        <v>0</v>
      </c>
      <c r="L50" s="315">
        <f t="shared" si="2"/>
        <v>0</v>
      </c>
      <c r="M50" s="315">
        <f t="shared" si="2"/>
        <v>4.8011025450189125E-4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5.1688475583526422E-5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1.1213295832872651E-2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4.8011025450189125E-4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14.357909884312894</v>
      </c>
      <c r="C54" s="21">
        <f t="shared" ref="C54:P54" si="3">(C50)*10^9/3600</f>
        <v>0</v>
      </c>
      <c r="D54" s="21">
        <f t="shared" si="3"/>
        <v>0</v>
      </c>
      <c r="E54" s="21">
        <f t="shared" si="3"/>
        <v>0</v>
      </c>
      <c r="F54" s="21">
        <f t="shared" si="3"/>
        <v>0</v>
      </c>
      <c r="G54" s="21">
        <f t="shared" si="3"/>
        <v>3114.804398020181</v>
      </c>
      <c r="H54" s="21">
        <f t="shared" si="3"/>
        <v>0</v>
      </c>
      <c r="I54" s="21">
        <f t="shared" si="3"/>
        <v>0</v>
      </c>
      <c r="J54" s="21">
        <f t="shared" si="3"/>
        <v>0</v>
      </c>
      <c r="K54" s="21">
        <f t="shared" si="3"/>
        <v>0</v>
      </c>
      <c r="L54" s="21">
        <f t="shared" si="3"/>
        <v>0</v>
      </c>
      <c r="M54" s="21">
        <f t="shared" si="3"/>
        <v>133.36395958385867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0.20808388512407849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2.9876496709892355</v>
      </c>
      <c r="C58" s="23">
        <f t="shared" ref="C58:P58" ca="1" si="4">C54*C56</f>
        <v>0</v>
      </c>
      <c r="D58" s="23">
        <f t="shared" si="4"/>
        <v>0</v>
      </c>
      <c r="E58" s="23">
        <f t="shared" si="4"/>
        <v>0</v>
      </c>
      <c r="F58" s="23">
        <f t="shared" si="4"/>
        <v>0</v>
      </c>
      <c r="G58" s="23">
        <f t="shared" si="4"/>
        <v>831.65277427138835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6968.5785172095993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4635</v>
      </c>
      <c r="C8" s="544">
        <f>B48</f>
        <v>5452.9411764705883</v>
      </c>
      <c r="D8" s="963"/>
      <c r="E8" s="963">
        <f>E48</f>
        <v>0</v>
      </c>
      <c r="F8" s="964"/>
      <c r="G8" s="545"/>
      <c r="H8" s="963">
        <f>I48</f>
        <v>0</v>
      </c>
      <c r="I8" s="963">
        <f>G48+F48</f>
        <v>0</v>
      </c>
      <c r="J8" s="963">
        <f>H48+D48+C48</f>
        <v>0</v>
      </c>
      <c r="K8" s="963"/>
      <c r="L8" s="963"/>
      <c r="M8" s="963"/>
      <c r="N8" s="546"/>
      <c r="O8" s="547">
        <f>C8*$C$12+D8*$D$12+E8*$E$12+F8*$F$12+G8*$G$12+H8*$H$12+I8*$I$12+J8*$J$12</f>
        <v>1101.4941176470588</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11603.5785172096</v>
      </c>
      <c r="C10" s="556">
        <f t="shared" ref="C10:L10" si="0">SUM(C8:C9)</f>
        <v>5452.9411764705883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1101.4941176470588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6621.4285714285716</v>
      </c>
      <c r="C17" s="568">
        <f>B49</f>
        <v>7789.9159663865539</v>
      </c>
      <c r="D17" s="569"/>
      <c r="E17" s="569">
        <f>E49</f>
        <v>0</v>
      </c>
      <c r="F17" s="570"/>
      <c r="G17" s="571"/>
      <c r="H17" s="568">
        <f>I49</f>
        <v>0</v>
      </c>
      <c r="I17" s="569">
        <f>G49+F49</f>
        <v>0</v>
      </c>
      <c r="J17" s="569">
        <f>H49+D49+C49</f>
        <v>0</v>
      </c>
      <c r="K17" s="569"/>
      <c r="L17" s="569"/>
      <c r="M17" s="569"/>
      <c r="N17" s="959"/>
      <c r="O17" s="572">
        <f>C17*$C$22+E17*$E$22+H17*$H$22+I17*$I$22+J17*$J$22+D17*$D$22+F17*$F$22+G17*$G$22+K17*$K$22+L17*$L$22</f>
        <v>1573.5630252100839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6621.4285714285716</v>
      </c>
      <c r="C20" s="555">
        <f>SUM(C17:C19)</f>
        <v>7789.9159663865539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1573.5630252100839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73006</v>
      </c>
      <c r="C28" s="775">
        <v>3740</v>
      </c>
      <c r="D28" s="628"/>
      <c r="E28" s="627"/>
      <c r="F28" s="627"/>
      <c r="G28" s="627" t="s">
        <v>977</v>
      </c>
      <c r="H28" s="627" t="s">
        <v>978</v>
      </c>
      <c r="I28" s="627"/>
      <c r="J28" s="774"/>
      <c r="K28" s="774"/>
      <c r="L28" s="627" t="s">
        <v>979</v>
      </c>
      <c r="M28" s="627">
        <v>1030</v>
      </c>
      <c r="N28" s="627">
        <v>4635</v>
      </c>
      <c r="O28" s="627">
        <v>6621.4285714285716</v>
      </c>
      <c r="P28" s="627">
        <v>13242.857142857143</v>
      </c>
      <c r="Q28" s="627">
        <v>0</v>
      </c>
      <c r="R28" s="627">
        <v>0</v>
      </c>
      <c r="S28" s="627">
        <v>0</v>
      </c>
      <c r="T28" s="627">
        <v>0</v>
      </c>
      <c r="U28" s="627">
        <v>0</v>
      </c>
      <c r="V28" s="627">
        <v>0</v>
      </c>
      <c r="W28" s="627">
        <v>0</v>
      </c>
      <c r="X28" s="627">
        <v>400</v>
      </c>
      <c r="Y28" s="627" t="s">
        <v>36</v>
      </c>
      <c r="Z28" s="629" t="s">
        <v>378</v>
      </c>
    </row>
    <row r="29" spans="1:26" s="563" customFormat="1" hidden="1">
      <c r="A29" s="583" t="s">
        <v>269</v>
      </c>
      <c r="B29" s="584"/>
      <c r="C29" s="584"/>
      <c r="D29" s="584"/>
      <c r="E29" s="584"/>
      <c r="F29" s="584"/>
      <c r="G29" s="584"/>
      <c r="H29" s="584"/>
      <c r="I29" s="584"/>
      <c r="J29" s="584"/>
      <c r="K29" s="584"/>
      <c r="L29" s="585"/>
      <c r="M29" s="585">
        <f>SUM(M28:M28)</f>
        <v>1030</v>
      </c>
      <c r="N29" s="585">
        <f>SUM(N28:N28)</f>
        <v>4635</v>
      </c>
      <c r="O29" s="585">
        <f>SUM(O28:O28)</f>
        <v>6621.4285714285716</v>
      </c>
      <c r="P29" s="585">
        <f>SUM(P28:P28)</f>
        <v>13242.857142857143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1030</v>
      </c>
      <c r="N30" s="585">
        <f>SUMIF($Z$28:$Z$28,"industrie",N28:N28)</f>
        <v>4635</v>
      </c>
      <c r="O30" s="585">
        <f>SUMIF($Z$28:$Z$28,"industrie",O28:O28)</f>
        <v>6621.4285714285716</v>
      </c>
      <c r="P30" s="585">
        <f>SUMIF($Z$28:$Z$28,"industrie",P28:P28)</f>
        <v>13242.857142857143</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5452.9411764705883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7789.9159663865539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2021-11-11T13:50:56Z</dcterms:modified>
</cp:coreProperties>
</file>