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38C39737-1F51-4876-9656-66E97286714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I8" i="18"/>
  <c r="I10" i="18" s="1"/>
  <c r="H10" i="18"/>
  <c r="M76" i="14"/>
  <c r="E10" i="18"/>
  <c r="F76" i="14"/>
  <c r="O17" i="18"/>
  <c r="O20" i="18" s="1"/>
  <c r="P9" i="55"/>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B67" i="22" l="1"/>
  <c r="G51" i="22"/>
  <c r="P5" i="13"/>
  <c r="P8" i="13" s="1"/>
  <c r="P4" i="48" s="1"/>
  <c r="P22" i="48" s="1"/>
  <c r="B37" i="13"/>
  <c r="B36" i="13"/>
  <c r="B34" i="13"/>
  <c r="B33" i="13"/>
  <c r="B32" i="13"/>
  <c r="B35" i="13"/>
  <c r="C35" i="13" s="1"/>
  <c r="C34" i="13"/>
  <c r="J15" i="16"/>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K14" i="15"/>
  <c r="K16" i="15" s="1"/>
  <c r="K20" i="15" s="1"/>
  <c r="L40" i="14"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J16" i="14" s="1"/>
  <c r="J27" i="14" s="1"/>
  <c r="J63" i="14" s="1"/>
  <c r="K5" i="48"/>
  <c r="L10" i="14"/>
  <c r="L46" i="14"/>
  <c r="L61" i="14" s="1"/>
  <c r="L16" i="14"/>
  <c r="L27" i="14" s="1"/>
  <c r="Q11" i="48"/>
  <c r="P22" i="16"/>
  <c r="Q43" i="14" s="1"/>
  <c r="P8" i="48"/>
  <c r="P26" i="48" s="1"/>
  <c r="Q13" i="14"/>
  <c r="Q16" i="14" s="1"/>
  <c r="Q27"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<sst xmlns="http://schemas.openxmlformats.org/spreadsheetml/2006/main" count="2569" uniqueCount="977">
  <si>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</si>
  <si>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</si>
  <si>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</si>
  <si>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</si>
  <si>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</si>
  <si>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</si>
  <si>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</si>
  <si>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</si>
  <si>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</si>
  <si>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</si>
  <si>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</si>
  <si>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</si>
  <si>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</si>
  <si>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</si>
  <si>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</si>
  <si>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</si>
  <si>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</si>
  <si>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</si>
  <si>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</si>
  <si>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</si>
  <si>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</si>
  <si>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</si>
  <si>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</si>
  <si>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</si>
  <si>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</si>
  <si>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</si>
  <si>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</si>
  <si>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</si>
  <si>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</si>
  <si>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</si>
  <si>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</si>
  <si>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</si>
  <si>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</si>
  <si>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</si>
  <si>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</si>
  <si>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</si>
  <si>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</si>
  <si>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</si>
  <si>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</si>
  <si>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</si>
  <si>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</si>
  <si>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</si>
  <si>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</si>
  <si>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</si>
  <si>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</si>
  <si>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</si>
  <si>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</si>
  <si>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</si>
  <si>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</si>
  <si>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</si>
  <si>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</si>
  <si>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</si>
  <si>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</si>
  <si>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</si>
  <si>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</si>
  <si>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</si>
  <si>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</si>
  <si>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</si>
  <si>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</si>
  <si>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</si>
  <si>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</si>
  <si>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</si>
  <si>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</si>
  <si>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</si>
  <si>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</si>
  <si>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</si>
  <si>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</si>
  <si>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</si>
  <si>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</si>
  <si>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</si>
  <si>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</si>
  <si>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</si>
  <si>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</si>
  <si>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</si>
  <si>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</si>
  <si>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</si>
  <si>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</si>
  <si>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</si>
  <si>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</si>
  <si>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</si>
  <si>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</si>
  <si>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</si>
  <si>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</si>
  <si>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</si>
  <si>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</si>
  <si>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</si>
  <si>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</si>
  <si>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</si>
  <si>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</si>
  <si>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</si>
  <si>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</si>
  <si>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</si>
  <si>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</si>
  <si>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</si>
  <si>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</si>
  <si>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</si>
  <si>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</si>
  <si>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</si>
  <si>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</si>
  <si>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</si>
  <si>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</si>
  <si>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</si>
  <si>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</si>
  <si>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</si>
  <si>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</si>
  <si>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</si>
  <si>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</si>
  <si>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</si>
  <si>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</si>
  <si>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</si>
  <si>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</si>
  <si>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</si>
  <si>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</si>
  <si>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</si>
  <si>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</si>
  <si>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</si>
  <si>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</si>
  <si>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</si>
  <si>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</si>
  <si>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</si>
  <si>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</si>
  <si>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</si>
  <si>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</si>
  <si>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</si>
  <si>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</si>
  <si>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</si>
  <si>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</si>
  <si>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</si>
  <si>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</si>
  <si>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</si>
  <si>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</si>
  <si>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</si>
  <si>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</si>
  <si>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</si>
  <si>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</si>
  <si>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</si>
  <si>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</si>
  <si>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</si>
  <si>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</si>
  <si>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</si>
  <si>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</si>
  <si>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</si>
  <si>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</si>
  <si>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</si>
  <si>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</si>
  <si>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</si>
  <si>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</si>
  <si>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</si>
  <si>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</si>
  <si>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</si>
  <si>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</si>
  <si>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</si>
  <si>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</si>
  <si>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</si>
  <si>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</si>
  <si>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</si>
  <si>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</si>
  <si>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</si>
  <si>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</si>
  <si>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</si>
  <si>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</si>
  <si>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</si>
  <si>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</si>
  <si>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</si>
  <si>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</si>
  <si>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</si>
  <si>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</si>
  <si>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</si>
  <si>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</si>
  <si>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</si>
  <si>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</si>
  <si>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</si>
  <si>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</si>
  <si>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</si>
  <si>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</si>
  <si>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</si>
  <si>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</si>
  <si>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</si>
  <si>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</si>
  <si>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</si>
  <si>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</si>
  <si>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</si>
  <si>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</si>
  <si>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</si>
  <si>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</si>
  <si>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</si>
  <si>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</si>
  <si>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</si>
  <si>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</si>
  <si>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</si>
  <si>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</si>
  <si>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</si>
  <si>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</si>
  <si>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</si>
  <si>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</si>
  <si>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</si>
  <si>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</si>
  <si>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</si>
  <si>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</si>
  <si>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</si>
  <si>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</si>
  <si>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</si>
  <si>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</si>
  <si>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</si>
  <si>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</si>
  <si>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</si>
  <si>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</si>
  <si>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</si>
  <si>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</si>
  <si>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</si>
  <si>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</si>
  <si>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</si>
  <si>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</si>
  <si>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</si>
  <si>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</si>
  <si>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</si>
  <si>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</si>
  <si>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</si>
  <si>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</si>
  <si>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</si>
  <si>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</si>
  <si>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</si>
  <si>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</si>
  <si>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</si>
  <si>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</si>
  <si>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</si>
  <si>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</si>
  <si>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</si>
  <si>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</si>
  <si>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</si>
  <si>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</si>
  <si>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</si>
  <si>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</si>
  <si>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</si>
  <si>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</si>
  <si>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</si>
  <si>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</si>
  <si>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</si>
  <si>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</si>
  <si>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</si>
  <si>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</si>
  <si>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</si>
  <si>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</si>
  <si>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</si>
  <si>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</si>
  <si>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</si>
  <si>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</si>
  <si>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</si>
  <si>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</si>
  <si>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</si>
  <si>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</si>
  <si>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</si>
  <si>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</si>
  <si>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</si>
  <si>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</si>
  <si>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</si>
  <si>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</si>
  <si>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</si>
  <si>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</si>
  <si>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</si>
  <si>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</si>
  <si>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</si>
  <si>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</si>
  <si>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</si>
  <si>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</si>
  <si>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</si>
  <si>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</si>
  <si>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</si>
  <si>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</si>
  <si>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</si>
  <si>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</si>
  <si>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</si>
  <si>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</si>
  <si>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</si>
  <si>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</si>
  <si>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</si>
  <si>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</si>
  <si>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</si>
  <si>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</si>
  <si>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</si>
  <si>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</si>
  <si>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</si>
  <si>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</si>
  <si>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</si>
  <si>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</si>
  <si>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</si>
  <si>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</si>
  <si>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</si>
  <si>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</si>
  <si>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</si>
  <si>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</si>
  <si>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</si>
  <si>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</si>
  <si>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</si>
  <si>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</si>
  <si>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</si>
  <si>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</si>
  <si>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</si>
  <si>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</si>
  <si>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</si>
  <si>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</si>
  <si>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</si>
  <si>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</si>
  <si>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</si>
  <si>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</si>
  <si>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</si>
  <si>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</si>
  <si>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</si>
  <si>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</si>
  <si>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</si>
  <si>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</si>
  <si>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</si>
  <si>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</si>
  <si>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</si>
  <si>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</si>
  <si>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</si>
  <si>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</si>
  <si>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</si>
  <si>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</si>
  <si>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</si>
  <si>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</si>
  <si>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</si>
  <si>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</si>
  <si>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</si>
  <si>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</si>
  <si>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</si>
  <si>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</si>
  <si>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</si>
  <si>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</si>
  <si>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</si>
  <si>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</si>
  <si>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</si>
  <si>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</si>
  <si>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</si>
  <si>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</si>
  <si>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</si>
  <si>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</si>
  <si>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</si>
  <si>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</si>
  <si>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</si>
  <si>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</si>
  <si>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</si>
  <si>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</si>
  <si>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</si>
  <si>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</si>
  <si>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</si>
  <si>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</si>
  <si>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</si>
  <si>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</si>
  <si>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</si>
  <si>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</si>
  <si>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</si>
  <si>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</si>
  <si>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</si>
  <si>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</si>
  <si>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</si>
  <si>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</si>
  <si>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</si>
  <si>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</si>
  <si>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</si>
  <si>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</si>
  <si>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</si>
  <si>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</si>
  <si>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</si>
  <si>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</si>
  <si>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</si>
  <si>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</si>
  <si>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</si>
  <si>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</si>
  <si>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</si>
  <si>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</si>
  <si>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</si>
  <si>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</si>
  <si>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</si>
  <si>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</si>
  <si>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</si>
  <si>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</si>
  <si>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</si>
  <si>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</si>
  <si>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</si>
  <si>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</si>
  <si>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</si>
  <si>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</si>
  <si>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</si>
  <si>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</si>
  <si>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</si>
  <si>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</si>
  <si>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</si>
  <si>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</si>
  <si>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</si>
  <si>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</si>
  <si>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</si>
  <si>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</si>
  <si>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</si>
  <si>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</si>
  <si>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</si>
  <si>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</si>
  <si>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</si>
  <si>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</si>
  <si>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</si>
  <si>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</si>
  <si>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</si>
  <si>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</si>
  <si>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</si>
  <si>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</si>
  <si>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</si>
  <si>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</si>
  <si>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</si>
  <si>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</si>
  <si>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</si>
  <si>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</si>
  <si>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</si>
  <si>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</si>
  <si>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</si>
  <si>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</si>
  <si>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</si>
  <si>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</si>
  <si>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</si>
  <si>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</si>
  <si>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</si>
  <si>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</si>
  <si>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</si>
  <si>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</si>
  <si>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</si>
  <si>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</si>
  <si>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</si>
  <si>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</si>
  <si>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</si>
  <si>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</si>
  <si>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</si>
  <si>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</si>
  <si>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</si>
  <si>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</si>
  <si>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</si>
  <si>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</si>
  <si>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</si>
  <si>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</si>
  <si>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</si>
  <si>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</si>
  <si>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</si>
  <si>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</si>
  <si>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</si>
  <si>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</si>
  <si>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</si>
  <si>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</si>
  <si>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</si>
  <si>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</si>
  <si>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</si>
  <si>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</si>
  <si>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</si>
  <si>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</si>
  <si>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</si>
  <si>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</si>
  <si>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</si>
  <si>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</si>
  <si>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</si>
  <si>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</si>
  <si>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</si>
  <si>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</si>
  <si>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</si>
  <si>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</si>
  <si>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</si>
  <si>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</si>
  <si>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</si>
  <si>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</si>
  <si>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</si>
  <si>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</si>
  <si>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</si>
  <si>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</si>
  <si>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</si>
  <si>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</si>
  <si>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</si>
  <si>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</si>
  <si>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</si>
  <si>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</si>
  <si>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</si>
  <si>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</si>
  <si>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</si>
  <si>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</si>
  <si>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</si>
  <si>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</si>
  <si>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</si>
  <si>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</si>
  <si>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</si>
  <si>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</si>
  <si>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</si>
  <si>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</si>
  <si>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</si>
  <si>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</si>
  <si>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</si>
  <si>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</si>
  <si>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</si>
  <si>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</si>
  <si>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</si>
  <si>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</si>
  <si>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</si>
  <si>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</si>
  <si>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</si>
  <si>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</si>
  <si>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</si>
  <si>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</si>
  <si>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</si>
  <si>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</si>
  <si>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</si>
  <si>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</si>
  <si>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</si>
  <si>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</si>
  <si>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</si>
  <si>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</si>
  <si>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</si>
  <si>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</si>
  <si>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</si>
  <si>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</si>
  <si>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</si>
  <si>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</si>
  <si>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</si>
  <si>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</si>
  <si>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</si>
  <si>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</si>
  <si>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</si>
  <si>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</si>
  <si>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</si>
  <si>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</si>
  <si>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</si>
  <si>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</si>
  <si>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</si>
  <si>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</si>
  <si>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</si>
  <si>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</si>
  <si>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</si>
  <si>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</si>
  <si>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</si>
  <si>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</si>
  <si>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</si>
  <si>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</si>
  <si>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</si>
  <si>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</si>
  <si>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</si>
  <si>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</si>
  <si>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</si>
  <si>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</si>
  <si>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</si>
  <si>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</si>
  <si>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</si>
  <si>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</si>
  <si>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</si>
  <si>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</si>
  <si>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</si>
  <si>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</si>
  <si>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</si>
  <si>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</si>
  <si>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</si>
  <si>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</si>
  <si>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</si>
  <si>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</si>
  <si>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</si>
  <si>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</si>
  <si>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</si>
  <si>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</si>
  <si>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</si>
  <si>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</si>
  <si>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</si>
  <si>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</si>
  <si>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</si>
  <si>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</si>
  <si>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</si>
  <si>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</si>
  <si>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</si>
  <si>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</si>
  <si>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</si>
  <si>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</si>
  <si>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</si>
  <si>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</si>
  <si>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</si>
  <si>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</si>
  <si>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</si>
  <si>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</si>
  <si>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</si>
  <si>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</si>
  <si>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</si>
  <si>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</si>
  <si>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</si>
  <si>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</si>
  <si>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</si>
  <si>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</si>
  <si>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</si>
  <si>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</si>
  <si>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</si>
  <si>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</si>
  <si>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</si>
  <si>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</si>
  <si>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</si>
  <si>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</si>
  <si>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</si>
  <si>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</si>
  <si>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</si>
  <si>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</si>
  <si>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</si>
  <si>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</si>
  <si>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</si>
  <si>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</si>
  <si>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</si>
  <si>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</si>
  <si>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</si>
  <si>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</si>
  <si>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</si>
  <si>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</si>
  <si>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</si>
  <si>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</si>
  <si>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</si>
  <si>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</si>
  <si>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</si>
  <si>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</si>
  <si>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</si>
  <si>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</si>
  <si>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</si>
  <si>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</si>
  <si>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</si>
  <si>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</si>
  <si>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</si>
  <si>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</si>
  <si>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</si>
  <si>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</si>
  <si>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</si>
  <si>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</si>
  <si>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</si>
  <si>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</si>
  <si>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</si>
  <si>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</si>
  <si>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</si>
  <si>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</si>
  <si>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</si>
  <si>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</si>
  <si>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</si>
  <si>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</si>
  <si>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</si>
  <si>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</si>
  <si>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</si>
  <si>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</si>
  <si>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</si>
  <si>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</si>
  <si>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</si>
  <si>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</si>
  <si>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</si>
  <si>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</si>
  <si>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</si>
  <si>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</si>
  <si>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</si>
  <si>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</si>
  <si>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</si>
  <si>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</si>
  <si>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</si>
  <si>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</si>
  <si>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</si>
  <si>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</si>
  <si>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</si>
  <si>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</si>
  <si>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</si>
  <si>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</si>
  <si>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</si>
  <si>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</si>
  <si>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</si>
  <si>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</si>
  <si>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</si>
  <si>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</si>
  <si>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</si>
  <si>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</si>
  <si>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</si>
  <si>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</si>
  <si>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</si>
  <si>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</si>
  <si>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</si>
  <si>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</si>
  <si>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</si>
  <si>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</si>
  <si>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</si>
  <si>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</si>
  <si>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</si>
  <si>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</si>
  <si>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</si>
  <si>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</si>
  <si>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</si>
  <si>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</si>
  <si>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</si>
  <si>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</si>
  <si>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</si>
  <si>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</si>
  <si>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</si>
  <si>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</si>
  <si>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</si>
  <si>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</si>
  <si>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</si>
  <si>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</si>
  <si>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</si>
  <si>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</si>
  <si>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</si>
  <si>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</si>
  <si>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</si>
  <si>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</si>
  <si>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</si>
  <si>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</si>
  <si>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</si>
  <si>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</si>
  <si>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</si>
  <si>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</si>
  <si>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</si>
  <si>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</si>
  <si>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</si>
  <si>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</si>
  <si>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</si>
  <si>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</si>
  <si>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</si>
  <si>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</si>
  <si>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</si>
  <si>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</si>
  <si>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</si>
  <si>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</si>
  <si>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</si>
  <si>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</si>
  <si>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</si>
  <si>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</si>
  <si>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</si>
  <si>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</si>
  <si>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</si>
  <si>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</si>
  <si>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</si>
  <si>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</si>
  <si>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</si>
  <si>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</si>
  <si>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</si>
  <si>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</si>
  <si>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</si>
  <si>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</si>
  <si>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</si>
  <si>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</si>
  <si>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</si>
  <si>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</si>
  <si>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</si>
  <si>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</si>
  <si>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</si>
  <si>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</si>
  <si>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</si>
  <si>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</si>
  <si>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</si>
  <si>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</si>
  <si>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</si>
  <si>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</si>
  <si>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</si>
  <si>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</si>
  <si>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</si>
  <si>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</si>
  <si>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</si>
  <si>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</si>
  <si>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</si>
  <si>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</si>
  <si>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</si>
  <si>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</si>
  <si>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</si>
  <si>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</si>
  <si>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</si>
  <si>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</si>
  <si>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</si>
  <si>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</si>
  <si>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</si>
  <si>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</si>
  <si>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</si>
  <si>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</si>
  <si>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</si>
  <si>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</si>
  <si>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</si>
  <si>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</si>
  <si>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</si>
  <si>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</si>
  <si>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</si>
  <si>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</si>
  <si>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</si>
  <si>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</si>
  <si>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</si>
  <si>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</si>
  <si>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</si>
  <si>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</si>
  <si>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</si>
  <si>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</si>
  <si>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</si>
  <si>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</si>
  <si>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</si>
  <si>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</si>
  <si>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</si>
  <si>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</si>
  <si>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</si>
  <si>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</si>
  <si>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</si>
  <si>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</si>
  <si>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</si>
  <si>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</si>
  <si>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</si>
  <si>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</si>
  <si>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</si>
  <si>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</si>
  <si>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</si>
  <si>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</si>
  <si>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</si>
  <si>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</si>
  <si>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</si>
  <si>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</si>
  <si>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</si>
  <si>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</si>
  <si>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</si>
  <si>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</si>
  <si>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</si>
  <si>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</si>
  <si>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</si>
  <si>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</si>
  <si>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</si>
  <si>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</si>
  <si>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</si>
  <si>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</si>
  <si>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</si>
  <si>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</si>
  <si>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</si>
  <si>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</si>
  <si>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</si>
  <si>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</si>
  <si>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</si>
  <si>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</si>
  <si>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</si>
  <si>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</si>
  <si>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</si>
  <si>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</si>
  <si>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</si>
  <si>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</si>
  <si>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</si>
  <si>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</si>
  <si>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</si>
  <si>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</si>
  <si>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</si>
  <si>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</si>
  <si>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</si>
  <si>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</si>
  <si>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</si>
  <si>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</si>
  <si>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</si>
  <si>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</si>
  <si>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</si>
  <si>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</si>
  <si>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</si>
  <si>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</si>
  <si>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</si>
  <si>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</si>
  <si>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</si>
  <si>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</si>
  <si>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</si>
  <si>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</si>
  <si>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</si>
  <si>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</si>
  <si>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</si>
  <si>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</si>
  <si>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</si>
  <si>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</si>
  <si>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</si>
  <si>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</si>
  <si>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</si>
  <si>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</si>
  <si>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</si>
  <si>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</si>
  <si>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</si>
  <si>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</si>
  <si>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</si>
  <si>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</si>
  <si>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</si>
  <si>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</si>
  <si>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</si>
  <si>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</si>
  <si>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</si>
  <si>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</si>
  <si>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</si>
  <si>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</si>
  <si>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</si>
  <si>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</si>
  <si>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</si>
  <si>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</si>
  <si>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</si>
  <si>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</si>
  <si>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</si>
  <si>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</si>
  <si>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</si>
  <si>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</si>
  <si>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</si>
  <si>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</si>
  <si>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</si>
  <si>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</si>
  <si>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</si>
  <si>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</si>
  <si>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</si>
  <si>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</si>
  <si>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</si>
  <si>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</si>
  <si>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</si>
  <si>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</si>
  <si>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</si>
  <si>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</si>
  <si>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</si>
  <si>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</si>
  <si>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</si>
  <si>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</si>
  <si>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</si>
  <si>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</si>
  <si>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</si>
  <si>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</si>
  <si>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</si>
  <si>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</si>
  <si>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</si>
  <si>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</si>
  <si>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</si>
  <si>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</si>
  <si>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</si>
  <si>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</si>
  <si>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</si>
  <si>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</si>
  <si>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</si>
  <si>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</si>
  <si>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</si>
  <si>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</si>
  <si>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</si>
  <si>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</si>
  <si>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</si>
  <si>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</si>
  <si>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</si>
  <si>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</si>
  <si>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</si>
  <si>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</si>
  <si>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</si>
  <si>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</si>
  <si>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</si>
  <si>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</si>
  <si>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</si>
  <si>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</si>
  <si>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</si>
  <si>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</si>
  <si>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</si>
  <si>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</si>
  <si>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</si>
  <si>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</si>
  <si>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</si>
  <si>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</si>
  <si>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</si>
  <si>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</si>
  <si>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</si>
  <si>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</si>
  <si>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</si>
  <si>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</si>
  <si>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</si>
  <si>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</si>
  <si>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</si>
  <si>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</si>
  <si>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</si>
  <si>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</si>
  <si>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</si>
  <si>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</si>
  <si>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</si>
  <si>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</si>
  <si>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</si>
  <si>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</si>
  <si>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</si>
  <si>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</si>
  <si>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</si>
  <si>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</si>
  <si>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</si>
  <si>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</si>
  <si>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</si>
  <si>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71045</t>
  </si>
  <si>
    <t>NIEUWERKERKEN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</si>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</sst>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07EA0C5F-EAC1-4D15-89F3-441EC08A6D50}"/>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71045</v>
      </c>
      <c r="B6" s="384"/>
      <c r="C6" s="385"/>
    </row>
    <row r="7" spans="1:7" s="382" customFormat="1" ht="15.75" customHeight="1">
      <c r="A7" s="386" t="str">
        <f>txtMunicipality</f>
        <v>NIEUWERKERKEN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4687.9360000000006</v>
      </c>
      <c r="D10" s="674">
        <f ca="1">tertiair!C16</f>
        <v>0</v>
      </c>
      <c r="E10" s="674">
        <f ca="1">tertiair!D16</f>
        <v>2168.3782340000002</v>
      </c>
      <c r="F10" s="674">
        <f>tertiair!E16</f>
        <v>60.511031383031799</v>
      </c>
      <c r="G10" s="674">
        <f ca="1">tertiair!F16</f>
        <v>827.98383849132301</v>
      </c>
      <c r="H10" s="674">
        <f>tertiair!G16</f>
        <v>0</v>
      </c>
      <c r="I10" s="674">
        <f>tertiair!H16</f>
        <v>0</v>
      </c>
      <c r="J10" s="674">
        <f>tertiair!I16</f>
        <v>0</v>
      </c>
      <c r="K10" s="674">
        <f>tertiair!J16</f>
        <v>0</v>
      </c>
      <c r="L10" s="674">
        <f>tertiair!K16</f>
        <v>0</v>
      </c>
      <c r="M10" s="674">
        <f ca="1">tertiair!L16</f>
        <v>0</v>
      </c>
      <c r="N10" s="674">
        <f>tertiair!M16</f>
        <v>0</v>
      </c>
      <c r="O10" s="674">
        <f ca="1">tertiair!N16</f>
        <v>212.82479073635733</v>
      </c>
      <c r="P10" s="674">
        <f>tertiair!O16</f>
        <v>0</v>
      </c>
      <c r="Q10" s="675">
        <f>tertiair!P16</f>
        <v>0</v>
      </c>
      <c r="R10" s="677">
        <f ca="1">SUM(C10:Q10)</f>
        <v>7957.6338946107135</v>
      </c>
      <c r="S10" s="67"/>
    </row>
    <row r="11" spans="1:19" s="443" customFormat="1">
      <c r="A11" s="789" t="s">
        <v>214</v>
      </c>
      <c r="B11" s="794"/>
      <c r="C11" s="674">
        <f>huishoudens!B8</f>
        <v>13026.514759449243</v>
      </c>
      <c r="D11" s="674">
        <f>huishoudens!C8</f>
        <v>0</v>
      </c>
      <c r="E11" s="674">
        <f>huishoudens!D8</f>
        <v>11679.644416000001</v>
      </c>
      <c r="F11" s="674">
        <f>huishoudens!E8</f>
        <v>999.03358265741031</v>
      </c>
      <c r="G11" s="674">
        <f>huishoudens!F8</f>
        <v>34101.407569556395</v>
      </c>
      <c r="H11" s="674">
        <f>huishoudens!G8</f>
        <v>0</v>
      </c>
      <c r="I11" s="674">
        <f>huishoudens!H8</f>
        <v>0</v>
      </c>
      <c r="J11" s="674">
        <f>huishoudens!I8</f>
        <v>0</v>
      </c>
      <c r="K11" s="674">
        <f>huishoudens!J8</f>
        <v>767.87724160487721</v>
      </c>
      <c r="L11" s="674">
        <f>huishoudens!K8</f>
        <v>0</v>
      </c>
      <c r="M11" s="674">
        <f>huishoudens!L8</f>
        <v>0</v>
      </c>
      <c r="N11" s="674">
        <f>huishoudens!M8</f>
        <v>0</v>
      </c>
      <c r="O11" s="674">
        <f>huishoudens!N8</f>
        <v>3615.0400344806699</v>
      </c>
      <c r="P11" s="674">
        <f>huishoudens!O8</f>
        <v>26.576666666666668</v>
      </c>
      <c r="Q11" s="675">
        <f>huishoudens!P8</f>
        <v>209.73333333333335</v>
      </c>
      <c r="R11" s="677">
        <f>SUM(C11:Q11)</f>
        <v>64425.827603748592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732.31399999999996</v>
      </c>
      <c r="D13" s="674">
        <f>industrie!C18</f>
        <v>0</v>
      </c>
      <c r="E13" s="674">
        <f>industrie!D18</f>
        <v>170.87758599999998</v>
      </c>
      <c r="F13" s="674">
        <f>industrie!E18</f>
        <v>10.00664332760768</v>
      </c>
      <c r="G13" s="674">
        <f>industrie!F18</f>
        <v>401.50150820483123</v>
      </c>
      <c r="H13" s="674">
        <f>industrie!G18</f>
        <v>0</v>
      </c>
      <c r="I13" s="674">
        <f>industrie!H18</f>
        <v>0</v>
      </c>
      <c r="J13" s="674">
        <f>industrie!I18</f>
        <v>0</v>
      </c>
      <c r="K13" s="674">
        <f>industrie!J18</f>
        <v>3.1601082087310819</v>
      </c>
      <c r="L13" s="674">
        <f>industrie!K18</f>
        <v>0</v>
      </c>
      <c r="M13" s="674">
        <f>industrie!L18</f>
        <v>0</v>
      </c>
      <c r="N13" s="674">
        <f>industrie!M18</f>
        <v>0</v>
      </c>
      <c r="O13" s="674">
        <f>industrie!N18</f>
        <v>37.153868347377525</v>
      </c>
      <c r="P13" s="674">
        <f>industrie!O18</f>
        <v>0</v>
      </c>
      <c r="Q13" s="675">
        <f>industrie!P18</f>
        <v>0</v>
      </c>
      <c r="R13" s="677">
        <f>SUM(C13:Q13)</f>
        <v>1355.0137140885474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18446.764759449241</v>
      </c>
      <c r="D16" s="707">
        <f t="shared" ref="D16:R16" ca="1" si="0">SUM(D9:D15)</f>
        <v>0</v>
      </c>
      <c r="E16" s="707">
        <f t="shared" ca="1" si="0"/>
        <v>14018.900236000001</v>
      </c>
      <c r="F16" s="707">
        <f t="shared" si="0"/>
        <v>1069.5512573680498</v>
      </c>
      <c r="G16" s="707">
        <f t="shared" ca="1" si="0"/>
        <v>35330.892916252553</v>
      </c>
      <c r="H16" s="707">
        <f t="shared" si="0"/>
        <v>0</v>
      </c>
      <c r="I16" s="707">
        <f t="shared" si="0"/>
        <v>0</v>
      </c>
      <c r="J16" s="707">
        <f t="shared" si="0"/>
        <v>0</v>
      </c>
      <c r="K16" s="707">
        <f t="shared" si="0"/>
        <v>771.03734981360833</v>
      </c>
      <c r="L16" s="707">
        <f t="shared" si="0"/>
        <v>0</v>
      </c>
      <c r="M16" s="707">
        <f t="shared" ca="1" si="0"/>
        <v>0</v>
      </c>
      <c r="N16" s="707">
        <f t="shared" si="0"/>
        <v>0</v>
      </c>
      <c r="O16" s="707">
        <f t="shared" ca="1" si="0"/>
        <v>3865.0186935644051</v>
      </c>
      <c r="P16" s="707">
        <f t="shared" si="0"/>
        <v>26.576666666666668</v>
      </c>
      <c r="Q16" s="707">
        <f t="shared" si="0"/>
        <v>209.73333333333335</v>
      </c>
      <c r="R16" s="707">
        <f t="shared" ca="1" si="0"/>
        <v>73738.475212447855</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4.9318765491144791</v>
      </c>
      <c r="D19" s="674">
        <f>transport!C54</f>
        <v>0</v>
      </c>
      <c r="E19" s="674">
        <f>transport!D54</f>
        <v>0</v>
      </c>
      <c r="F19" s="674">
        <f>transport!E54</f>
        <v>0</v>
      </c>
      <c r="G19" s="674">
        <f>transport!F54</f>
        <v>0</v>
      </c>
      <c r="H19" s="674">
        <f>transport!G54</f>
        <v>1069.9211019884126</v>
      </c>
      <c r="I19" s="674">
        <f>transport!H54</f>
        <v>0</v>
      </c>
      <c r="J19" s="674">
        <f>transport!I54</f>
        <v>0</v>
      </c>
      <c r="K19" s="674">
        <f>transport!J54</f>
        <v>0</v>
      </c>
      <c r="L19" s="674">
        <f>transport!K54</f>
        <v>0</v>
      </c>
      <c r="M19" s="674">
        <f>transport!L54</f>
        <v>0</v>
      </c>
      <c r="N19" s="674">
        <f>transport!M54</f>
        <v>45.809911753751066</v>
      </c>
      <c r="O19" s="674">
        <f>transport!N54</f>
        <v>0</v>
      </c>
      <c r="P19" s="674">
        <f>transport!O54</f>
        <v>0</v>
      </c>
      <c r="Q19" s="675">
        <f>transport!P54</f>
        <v>0</v>
      </c>
      <c r="R19" s="677">
        <f>SUM(C19:Q19)</f>
        <v>1120.6628902912782</v>
      </c>
      <c r="S19" s="67"/>
    </row>
    <row r="20" spans="1:19" s="443" customFormat="1">
      <c r="A20" s="789" t="s">
        <v>296</v>
      </c>
      <c r="B20" s="794"/>
      <c r="C20" s="674">
        <f>transport!B14</f>
        <v>0.27797207677945818</v>
      </c>
      <c r="D20" s="674">
        <f>transport!C14</f>
        <v>0</v>
      </c>
      <c r="E20" s="674">
        <f>transport!D14</f>
        <v>1.245757636845013</v>
      </c>
      <c r="F20" s="674">
        <f>transport!E14</f>
        <v>124.35616908712922</v>
      </c>
      <c r="G20" s="674">
        <f>transport!F14</f>
        <v>0</v>
      </c>
      <c r="H20" s="674">
        <f>transport!G14</f>
        <v>18517.186515669717</v>
      </c>
      <c r="I20" s="674">
        <f>transport!H14</f>
        <v>3979.5842405925141</v>
      </c>
      <c r="J20" s="674">
        <f>transport!I14</f>
        <v>0</v>
      </c>
      <c r="K20" s="674">
        <f>transport!J14</f>
        <v>0</v>
      </c>
      <c r="L20" s="674">
        <f>transport!K14</f>
        <v>0</v>
      </c>
      <c r="M20" s="674">
        <f>transport!L14</f>
        <v>0</v>
      </c>
      <c r="N20" s="674">
        <f>transport!M14</f>
        <v>980.86580138916122</v>
      </c>
      <c r="O20" s="674">
        <f>transport!N14</f>
        <v>0</v>
      </c>
      <c r="P20" s="674">
        <f>transport!O14</f>
        <v>0</v>
      </c>
      <c r="Q20" s="675">
        <f>transport!P14</f>
        <v>0</v>
      </c>
      <c r="R20" s="677">
        <f>SUM(C20:Q20)</f>
        <v>23603.516456452147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5.2098486258939376</v>
      </c>
      <c r="D22" s="792">
        <f t="shared" ref="D22:R22" si="1">SUM(D18:D21)</f>
        <v>0</v>
      </c>
      <c r="E22" s="792">
        <f t="shared" si="1"/>
        <v>1.245757636845013</v>
      </c>
      <c r="F22" s="792">
        <f t="shared" si="1"/>
        <v>124.35616908712922</v>
      </c>
      <c r="G22" s="792">
        <f t="shared" si="1"/>
        <v>0</v>
      </c>
      <c r="H22" s="792">
        <f t="shared" si="1"/>
        <v>19587.10761765813</v>
      </c>
      <c r="I22" s="792">
        <f t="shared" si="1"/>
        <v>3979.5842405925141</v>
      </c>
      <c r="J22" s="792">
        <f t="shared" si="1"/>
        <v>0</v>
      </c>
      <c r="K22" s="792">
        <f t="shared" si="1"/>
        <v>0</v>
      </c>
      <c r="L22" s="792">
        <f t="shared" si="1"/>
        <v>0</v>
      </c>
      <c r="M22" s="792">
        <f t="shared" si="1"/>
        <v>0</v>
      </c>
      <c r="N22" s="792">
        <f t="shared" si="1"/>
        <v>1026.6757131429122</v>
      </c>
      <c r="O22" s="792">
        <f t="shared" si="1"/>
        <v>0</v>
      </c>
      <c r="P22" s="792">
        <f t="shared" si="1"/>
        <v>0</v>
      </c>
      <c r="Q22" s="792">
        <f t="shared" si="1"/>
        <v>0</v>
      </c>
      <c r="R22" s="792">
        <f t="shared" si="1"/>
        <v>24724.179346743425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4142.26</v>
      </c>
      <c r="D24" s="674">
        <f>+landbouw!C8</f>
        <v>0</v>
      </c>
      <c r="E24" s="674">
        <f>+landbouw!D8</f>
        <v>27.234086000000001</v>
      </c>
      <c r="F24" s="674">
        <f>+landbouw!E8</f>
        <v>43.378643482720229</v>
      </c>
      <c r="G24" s="674">
        <f>+landbouw!F8</f>
        <v>17732.020249146939</v>
      </c>
      <c r="H24" s="674">
        <f>+landbouw!G8</f>
        <v>0</v>
      </c>
      <c r="I24" s="674">
        <f>+landbouw!H8</f>
        <v>0</v>
      </c>
      <c r="J24" s="674">
        <f>+landbouw!I8</f>
        <v>0</v>
      </c>
      <c r="K24" s="674">
        <f>+landbouw!J8</f>
        <v>369.94094570976608</v>
      </c>
      <c r="L24" s="674">
        <f>+landbouw!K8</f>
        <v>0</v>
      </c>
      <c r="M24" s="674">
        <f>+landbouw!L8</f>
        <v>0</v>
      </c>
      <c r="N24" s="674">
        <f>+landbouw!M8</f>
        <v>0</v>
      </c>
      <c r="O24" s="674">
        <f>+landbouw!N8</f>
        <v>0</v>
      </c>
      <c r="P24" s="674">
        <f>+landbouw!O8</f>
        <v>0</v>
      </c>
      <c r="Q24" s="675">
        <f>+landbouw!P8</f>
        <v>0</v>
      </c>
      <c r="R24" s="677">
        <f>SUM(C24:Q24)</f>
        <v>22314.833924339422</v>
      </c>
      <c r="S24" s="67"/>
    </row>
    <row r="25" spans="1:19" s="443" customFormat="1" ht="15" thickBot="1">
      <c r="A25" s="811" t="s">
        <v>889</v>
      </c>
      <c r="B25" s="966"/>
      <c r="C25" s="967">
        <f>IF(Onbekend_ele_kWh="---",0,Onbekend_ele_kWh)/1000+IF(REST_rest_ele_kWh="---",0,REST_rest_ele_kWh)/1000</f>
        <v>660.31100000000004</v>
      </c>
      <c r="D25" s="967"/>
      <c r="E25" s="967">
        <f>IF(onbekend_gas_kWh="---",0,onbekend_gas_kWh)/1000+IF(REST_rest_gas_kWh="---",0,REST_rest_gas_kWh)/1000</f>
        <v>330.73399999999998</v>
      </c>
      <c r="F25" s="967"/>
      <c r="G25" s="967"/>
      <c r="H25" s="967"/>
      <c r="I25" s="967"/>
      <c r="J25" s="967"/>
      <c r="K25" s="967"/>
      <c r="L25" s="967"/>
      <c r="M25" s="967"/>
      <c r="N25" s="967"/>
      <c r="O25" s="967"/>
      <c r="P25" s="967"/>
      <c r="Q25" s="968"/>
      <c r="R25" s="677">
        <f>SUM(C25:Q25)</f>
        <v>991.04500000000007</v>
      </c>
      <c r="S25" s="67"/>
    </row>
    <row r="26" spans="1:19" s="443" customFormat="1" ht="15.75" thickBot="1">
      <c r="A26" s="680" t="s">
        <v>890</v>
      </c>
      <c r="B26" s="797"/>
      <c r="C26" s="792">
        <f>SUM(C24:C25)</f>
        <v>4802.5709999999999</v>
      </c>
      <c r="D26" s="792">
        <f t="shared" ref="D26:R26" si="2">SUM(D24:D25)</f>
        <v>0</v>
      </c>
      <c r="E26" s="792">
        <f t="shared" si="2"/>
        <v>357.96808599999997</v>
      </c>
      <c r="F26" s="792">
        <f t="shared" si="2"/>
        <v>43.378643482720229</v>
      </c>
      <c r="G26" s="792">
        <f t="shared" si="2"/>
        <v>17732.020249146939</v>
      </c>
      <c r="H26" s="792">
        <f t="shared" si="2"/>
        <v>0</v>
      </c>
      <c r="I26" s="792">
        <f t="shared" si="2"/>
        <v>0</v>
      </c>
      <c r="J26" s="792">
        <f t="shared" si="2"/>
        <v>0</v>
      </c>
      <c r="K26" s="792">
        <f t="shared" si="2"/>
        <v>369.94094570976608</v>
      </c>
      <c r="L26" s="792">
        <f t="shared" si="2"/>
        <v>0</v>
      </c>
      <c r="M26" s="792">
        <f t="shared" si="2"/>
        <v>0</v>
      </c>
      <c r="N26" s="792">
        <f t="shared" si="2"/>
        <v>0</v>
      </c>
      <c r="O26" s="792">
        <f t="shared" si="2"/>
        <v>0</v>
      </c>
      <c r="P26" s="792">
        <f t="shared" si="2"/>
        <v>0</v>
      </c>
      <c r="Q26" s="792">
        <f t="shared" si="2"/>
        <v>0</v>
      </c>
      <c r="R26" s="792">
        <f t="shared" si="2"/>
        <v>23305.87892433942</v>
      </c>
      <c r="S26" s="67"/>
    </row>
    <row r="27" spans="1:19" s="443" customFormat="1" ht="17.25" thickTop="1" thickBot="1">
      <c r="A27" s="681" t="s">
        <v>109</v>
      </c>
      <c r="B27" s="784"/>
      <c r="C27" s="682">
        <f ca="1">C22+C16+C26</f>
        <v>23254.545608075136</v>
      </c>
      <c r="D27" s="682">
        <f t="shared" ref="D27:R27" ca="1" si="3">D22+D16+D26</f>
        <v>0</v>
      </c>
      <c r="E27" s="682">
        <f t="shared" ca="1" si="3"/>
        <v>14378.114079636847</v>
      </c>
      <c r="F27" s="682">
        <f t="shared" si="3"/>
        <v>1237.2860699378994</v>
      </c>
      <c r="G27" s="682">
        <f t="shared" ca="1" si="3"/>
        <v>53062.913165399492</v>
      </c>
      <c r="H27" s="682">
        <f t="shared" si="3"/>
        <v>19587.10761765813</v>
      </c>
      <c r="I27" s="682">
        <f t="shared" si="3"/>
        <v>3979.5842405925141</v>
      </c>
      <c r="J27" s="682">
        <f t="shared" si="3"/>
        <v>0</v>
      </c>
      <c r="K27" s="682">
        <f t="shared" si="3"/>
        <v>1140.9782955233745</v>
      </c>
      <c r="L27" s="682">
        <f t="shared" si="3"/>
        <v>0</v>
      </c>
      <c r="M27" s="682">
        <f t="shared" ca="1" si="3"/>
        <v>0</v>
      </c>
      <c r="N27" s="682">
        <f t="shared" si="3"/>
        <v>1026.6757131429122</v>
      </c>
      <c r="O27" s="682">
        <f t="shared" ca="1" si="3"/>
        <v>3865.0186935644051</v>
      </c>
      <c r="P27" s="682">
        <f t="shared" si="3"/>
        <v>26.576666666666668</v>
      </c>
      <c r="Q27" s="682">
        <f t="shared" si="3"/>
        <v>209.73333333333335</v>
      </c>
      <c r="R27" s="682">
        <f t="shared" ca="1" si="3"/>
        <v>121768.53348353071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933.74083225414142</v>
      </c>
      <c r="D40" s="674">
        <f ca="1">tertiair!C20</f>
        <v>0</v>
      </c>
      <c r="E40" s="674">
        <f ca="1">tertiair!D20</f>
        <v>438.01240326800007</v>
      </c>
      <c r="F40" s="674">
        <f>tertiair!E20</f>
        <v>13.736004123948218</v>
      </c>
      <c r="G40" s="674">
        <f ca="1">tertiair!F20</f>
        <v>221.07168487718326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1606.5609245232731</v>
      </c>
    </row>
    <row r="41" spans="1:18">
      <c r="A41" s="802" t="s">
        <v>214</v>
      </c>
      <c r="B41" s="809"/>
      <c r="C41" s="674">
        <f ca="1">huishoudens!B12</f>
        <v>2594.6149292266346</v>
      </c>
      <c r="D41" s="674">
        <f ca="1">huishoudens!C12</f>
        <v>0</v>
      </c>
      <c r="E41" s="674">
        <f>huishoudens!D12</f>
        <v>2359.2881720320001</v>
      </c>
      <c r="F41" s="674">
        <f>huishoudens!E12</f>
        <v>226.78062326323214</v>
      </c>
      <c r="G41" s="674">
        <f>huishoudens!F12</f>
        <v>9105.0758210715576</v>
      </c>
      <c r="H41" s="674">
        <f>huishoudens!G12</f>
        <v>0</v>
      </c>
      <c r="I41" s="674">
        <f>huishoudens!H12</f>
        <v>0</v>
      </c>
      <c r="J41" s="674">
        <f>huishoudens!I12</f>
        <v>0</v>
      </c>
      <c r="K41" s="674">
        <f>huishoudens!J12</f>
        <v>271.82854352812654</v>
      </c>
      <c r="L41" s="674">
        <f>huishoudens!K12</f>
        <v>0</v>
      </c>
      <c r="M41" s="674">
        <f>huishoudens!L12</f>
        <v>0</v>
      </c>
      <c r="N41" s="674">
        <f>huishoudens!M12</f>
        <v>0</v>
      </c>
      <c r="O41" s="674">
        <f>huishoudens!N12</f>
        <v>0</v>
      </c>
      <c r="P41" s="674">
        <f>huishoudens!O12</f>
        <v>0</v>
      </c>
      <c r="Q41" s="749">
        <f>huishoudens!P12</f>
        <v>0</v>
      </c>
      <c r="R41" s="830">
        <f t="shared" ca="1" si="4"/>
        <v>14557.588089121551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145.86194944456562</v>
      </c>
      <c r="D43" s="674">
        <f ca="1">industrie!C22</f>
        <v>0</v>
      </c>
      <c r="E43" s="674">
        <f>industrie!D22</f>
        <v>34.517272372000001</v>
      </c>
      <c r="F43" s="674">
        <f>industrie!E22</f>
        <v>2.2715080353669435</v>
      </c>
      <c r="G43" s="674">
        <f>industrie!F22</f>
        <v>107.20090269068994</v>
      </c>
      <c r="H43" s="674">
        <f>industrie!G22</f>
        <v>0</v>
      </c>
      <c r="I43" s="674">
        <f>industrie!H22</f>
        <v>0</v>
      </c>
      <c r="J43" s="674">
        <f>industrie!I22</f>
        <v>0</v>
      </c>
      <c r="K43" s="674">
        <f>industrie!J22</f>
        <v>1.118678305890803</v>
      </c>
      <c r="L43" s="674">
        <f>industrie!K22</f>
        <v>0</v>
      </c>
      <c r="M43" s="674">
        <f>industrie!L22</f>
        <v>0</v>
      </c>
      <c r="N43" s="674">
        <f>industrie!M22</f>
        <v>0</v>
      </c>
      <c r="O43" s="674">
        <f>industrie!N22</f>
        <v>0</v>
      </c>
      <c r="P43" s="674">
        <f>industrie!O22</f>
        <v>0</v>
      </c>
      <c r="Q43" s="749">
        <f>industrie!P22</f>
        <v>0</v>
      </c>
      <c r="R43" s="829">
        <f t="shared" ca="1" si="4"/>
        <v>290.97031084851329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3674.2177109253416</v>
      </c>
      <c r="D46" s="707">
        <f t="shared" ref="D46:Q46" ca="1" si="5">SUM(D39:D45)</f>
        <v>0</v>
      </c>
      <c r="E46" s="707">
        <f t="shared" ca="1" si="5"/>
        <v>2831.8178476720004</v>
      </c>
      <c r="F46" s="707">
        <f t="shared" si="5"/>
        <v>242.7881354225473</v>
      </c>
      <c r="G46" s="707">
        <f t="shared" ca="1" si="5"/>
        <v>9433.348408639431</v>
      </c>
      <c r="H46" s="707">
        <f t="shared" si="5"/>
        <v>0</v>
      </c>
      <c r="I46" s="707">
        <f t="shared" si="5"/>
        <v>0</v>
      </c>
      <c r="J46" s="707">
        <f t="shared" si="5"/>
        <v>0</v>
      </c>
      <c r="K46" s="707">
        <f t="shared" si="5"/>
        <v>272.94722183401734</v>
      </c>
      <c r="L46" s="707">
        <f t="shared" si="5"/>
        <v>0</v>
      </c>
      <c r="M46" s="707">
        <f t="shared" ca="1" si="5"/>
        <v>0</v>
      </c>
      <c r="N46" s="707">
        <f t="shared" si="5"/>
        <v>0</v>
      </c>
      <c r="O46" s="707">
        <f t="shared" ca="1" si="5"/>
        <v>0</v>
      </c>
      <c r="P46" s="707">
        <f t="shared" si="5"/>
        <v>0</v>
      </c>
      <c r="Q46" s="707">
        <f t="shared" si="5"/>
        <v>0</v>
      </c>
      <c r="R46" s="707">
        <f ca="1">SUM(R39:R45)</f>
        <v>16455.119324493338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0.98232879321407895</v>
      </c>
      <c r="D49" s="674">
        <f ca="1">transport!C58</f>
        <v>0</v>
      </c>
      <c r="E49" s="674">
        <f>transport!D58</f>
        <v>0</v>
      </c>
      <c r="F49" s="674">
        <f>transport!E58</f>
        <v>0</v>
      </c>
      <c r="G49" s="674">
        <f>transport!F58</f>
        <v>0</v>
      </c>
      <c r="H49" s="674">
        <f>transport!G58</f>
        <v>285.66893423090619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286.65126302412028</v>
      </c>
    </row>
    <row r="50" spans="1:18">
      <c r="A50" s="805" t="s">
        <v>296</v>
      </c>
      <c r="B50" s="815"/>
      <c r="C50" s="973">
        <f ca="1">transport!B18</f>
        <v>5.5366344232400645E-2</v>
      </c>
      <c r="D50" s="973">
        <f>transport!C18</f>
        <v>0</v>
      </c>
      <c r="E50" s="973">
        <f>transport!D18</f>
        <v>0.2516430426426926</v>
      </c>
      <c r="F50" s="973">
        <f>transport!E18</f>
        <v>28.228850382778333</v>
      </c>
      <c r="G50" s="973">
        <f>transport!F18</f>
        <v>0</v>
      </c>
      <c r="H50" s="973">
        <f>transport!G18</f>
        <v>4944.0887996838146</v>
      </c>
      <c r="I50" s="973">
        <f>transport!H18</f>
        <v>990.91647590753598</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5963.5411353610034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1.0376951374464796</v>
      </c>
      <c r="D52" s="707">
        <f t="shared" ref="D52:Q52" ca="1" si="6">SUM(D48:D51)</f>
        <v>0</v>
      </c>
      <c r="E52" s="707">
        <f t="shared" si="6"/>
        <v>0.2516430426426926</v>
      </c>
      <c r="F52" s="707">
        <f t="shared" si="6"/>
        <v>28.228850382778333</v>
      </c>
      <c r="G52" s="707">
        <f t="shared" si="6"/>
        <v>0</v>
      </c>
      <c r="H52" s="707">
        <f t="shared" si="6"/>
        <v>5229.757733914721</v>
      </c>
      <c r="I52" s="707">
        <f t="shared" si="6"/>
        <v>990.91647590753598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6250.1923983851239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825.05334966455166</v>
      </c>
      <c r="D54" s="973">
        <f ca="1">+landbouw!C12</f>
        <v>0</v>
      </c>
      <c r="E54" s="973">
        <f>+landbouw!D12</f>
        <v>5.5012853720000008</v>
      </c>
      <c r="F54" s="973">
        <f>+landbouw!E12</f>
        <v>9.8469520705774922</v>
      </c>
      <c r="G54" s="973">
        <f>+landbouw!F12</f>
        <v>4734.4494065222334</v>
      </c>
      <c r="H54" s="973">
        <f>+landbouw!G12</f>
        <v>0</v>
      </c>
      <c r="I54" s="973">
        <f>+landbouw!H12</f>
        <v>0</v>
      </c>
      <c r="J54" s="973">
        <f>+landbouw!I12</f>
        <v>0</v>
      </c>
      <c r="K54" s="973">
        <f>+landbouw!J12</f>
        <v>130.95909478125719</v>
      </c>
      <c r="L54" s="973">
        <f>+landbouw!K12</f>
        <v>0</v>
      </c>
      <c r="M54" s="973">
        <f>+landbouw!L12</f>
        <v>0</v>
      </c>
      <c r="N54" s="973">
        <f>+landbouw!M12</f>
        <v>0</v>
      </c>
      <c r="O54" s="973">
        <f>+landbouw!N12</f>
        <v>0</v>
      </c>
      <c r="P54" s="973">
        <f>+landbouw!O12</f>
        <v>0</v>
      </c>
      <c r="Q54" s="974">
        <f>+landbouw!P12</f>
        <v>0</v>
      </c>
      <c r="R54" s="706">
        <f ca="1">SUM(C54:Q54)</f>
        <v>5705.8100884106198</v>
      </c>
    </row>
    <row r="55" spans="1:18" ht="15" thickBot="1">
      <c r="A55" s="805" t="s">
        <v>889</v>
      </c>
      <c r="B55" s="815"/>
      <c r="C55" s="973">
        <f ca="1">C25*'EF ele_warmte'!B12</f>
        <v>131.5204266198524</v>
      </c>
      <c r="D55" s="973"/>
      <c r="E55" s="973">
        <f>E25*EF_CO2_aardgas</f>
        <v>66.808267999999998</v>
      </c>
      <c r="F55" s="973"/>
      <c r="G55" s="973"/>
      <c r="H55" s="973"/>
      <c r="I55" s="973"/>
      <c r="J55" s="973"/>
      <c r="K55" s="973"/>
      <c r="L55" s="973"/>
      <c r="M55" s="973"/>
      <c r="N55" s="973"/>
      <c r="O55" s="973"/>
      <c r="P55" s="973"/>
      <c r="Q55" s="974"/>
      <c r="R55" s="706">
        <f ca="1">SUM(C55:Q55)</f>
        <v>198.3286946198524</v>
      </c>
    </row>
    <row r="56" spans="1:18" ht="15.75" thickBot="1">
      <c r="A56" s="803" t="s">
        <v>890</v>
      </c>
      <c r="B56" s="816"/>
      <c r="C56" s="707">
        <f ca="1">SUM(C54:C55)</f>
        <v>956.57377628440406</v>
      </c>
      <c r="D56" s="707">
        <f t="shared" ref="D56:Q56" ca="1" si="7">SUM(D54:D55)</f>
        <v>0</v>
      </c>
      <c r="E56" s="707">
        <f t="shared" si="7"/>
        <v>72.309553371999996</v>
      </c>
      <c r="F56" s="707">
        <f t="shared" si="7"/>
        <v>9.8469520705774922</v>
      </c>
      <c r="G56" s="707">
        <f t="shared" si="7"/>
        <v>4734.4494065222334</v>
      </c>
      <c r="H56" s="707">
        <f t="shared" si="7"/>
        <v>0</v>
      </c>
      <c r="I56" s="707">
        <f t="shared" si="7"/>
        <v>0</v>
      </c>
      <c r="J56" s="707">
        <f t="shared" si="7"/>
        <v>0</v>
      </c>
      <c r="K56" s="707">
        <f t="shared" si="7"/>
        <v>130.95909478125719</v>
      </c>
      <c r="L56" s="707">
        <f t="shared" si="7"/>
        <v>0</v>
      </c>
      <c r="M56" s="707">
        <f t="shared" si="7"/>
        <v>0</v>
      </c>
      <c r="N56" s="707">
        <f t="shared" si="7"/>
        <v>0</v>
      </c>
      <c r="O56" s="707">
        <f t="shared" si="7"/>
        <v>0</v>
      </c>
      <c r="P56" s="707">
        <f t="shared" si="7"/>
        <v>0</v>
      </c>
      <c r="Q56" s="708">
        <f t="shared" si="7"/>
        <v>0</v>
      </c>
      <c r="R56" s="709">
        <f ca="1">SUM(R54:R55)</f>
        <v>5904.138783030472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4631.8291823471918</v>
      </c>
      <c r="D61" s="715">
        <f t="shared" ref="D61:Q61" ca="1" si="8">D46+D52+D56</f>
        <v>0</v>
      </c>
      <c r="E61" s="715">
        <f t="shared" ca="1" si="8"/>
        <v>2904.3790440866433</v>
      </c>
      <c r="F61" s="715">
        <f t="shared" si="8"/>
        <v>280.86393787590316</v>
      </c>
      <c r="G61" s="715">
        <f t="shared" ca="1" si="8"/>
        <v>14167.797815161664</v>
      </c>
      <c r="H61" s="715">
        <f t="shared" si="8"/>
        <v>5229.757733914721</v>
      </c>
      <c r="I61" s="715">
        <f t="shared" si="8"/>
        <v>990.91647590753598</v>
      </c>
      <c r="J61" s="715">
        <f t="shared" si="8"/>
        <v>0</v>
      </c>
      <c r="K61" s="715">
        <f t="shared" si="8"/>
        <v>403.90631661527453</v>
      </c>
      <c r="L61" s="715">
        <f t="shared" si="8"/>
        <v>0</v>
      </c>
      <c r="M61" s="715">
        <f t="shared" ca="1" si="8"/>
        <v>0</v>
      </c>
      <c r="N61" s="715">
        <f t="shared" si="8"/>
        <v>0</v>
      </c>
      <c r="O61" s="715">
        <f t="shared" ca="1" si="8"/>
        <v>0</v>
      </c>
      <c r="P61" s="715">
        <f t="shared" si="8"/>
        <v>0</v>
      </c>
      <c r="Q61" s="715">
        <f t="shared" si="8"/>
        <v>0</v>
      </c>
      <c r="R61" s="715">
        <f ca="1">R46+R52+R56</f>
        <v>28609.450505908935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0.19917951786332863</v>
      </c>
      <c r="D63" s="759">
        <f t="shared" ca="1" si="9"/>
        <v>0</v>
      </c>
      <c r="E63" s="975">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2296.0425205312822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2296.0425205312822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13026.514759449243</v>
      </c>
      <c r="C4" s="447">
        <f>huishoudens!C8</f>
        <v>0</v>
      </c>
      <c r="D4" s="447">
        <f>huishoudens!D8</f>
        <v>11679.644416000001</v>
      </c>
      <c r="E4" s="447">
        <f>huishoudens!E8</f>
        <v>999.03358265741031</v>
      </c>
      <c r="F4" s="447">
        <f>huishoudens!F8</f>
        <v>34101.407569556395</v>
      </c>
      <c r="G4" s="447">
        <f>huishoudens!G8</f>
        <v>0</v>
      </c>
      <c r="H4" s="447">
        <f>huishoudens!H8</f>
        <v>0</v>
      </c>
      <c r="I4" s="447">
        <f>huishoudens!I8</f>
        <v>0</v>
      </c>
      <c r="J4" s="447">
        <f>huishoudens!J8</f>
        <v>767.87724160487721</v>
      </c>
      <c r="K4" s="447">
        <f>huishoudens!K8</f>
        <v>0</v>
      </c>
      <c r="L4" s="447">
        <f>huishoudens!L8</f>
        <v>0</v>
      </c>
      <c r="M4" s="447">
        <f>huishoudens!M8</f>
        <v>0</v>
      </c>
      <c r="N4" s="447">
        <f>huishoudens!N8</f>
        <v>3615.0400344806699</v>
      </c>
      <c r="O4" s="447">
        <f>huishoudens!O8</f>
        <v>26.576666666666668</v>
      </c>
      <c r="P4" s="448">
        <f>huishoudens!P8</f>
        <v>209.73333333333335</v>
      </c>
      <c r="Q4" s="449">
        <f>SUM(B4:P4)</f>
        <v>64425.827603748592</v>
      </c>
    </row>
    <row r="5" spans="1:17">
      <c r="A5" s="446" t="s">
        <v>149</v>
      </c>
      <c r="B5" s="447">
        <f ca="1">tertiair!B16</f>
        <v>4192.6750000000002</v>
      </c>
      <c r="C5" s="447">
        <f ca="1">tertiair!C16</f>
        <v>0</v>
      </c>
      <c r="D5" s="447">
        <f ca="1">tertiair!D16</f>
        <v>2168.3782340000002</v>
      </c>
      <c r="E5" s="447">
        <f>tertiair!E16</f>
        <v>60.511031383031799</v>
      </c>
      <c r="F5" s="447">
        <f ca="1">tertiair!F16</f>
        <v>827.98383849132301</v>
      </c>
      <c r="G5" s="447">
        <f>tertiair!G16</f>
        <v>0</v>
      </c>
      <c r="H5" s="447">
        <f>tertiair!H16</f>
        <v>0</v>
      </c>
      <c r="I5" s="447">
        <f>tertiair!I16</f>
        <v>0</v>
      </c>
      <c r="J5" s="447">
        <f>tertiair!J16</f>
        <v>0</v>
      </c>
      <c r="K5" s="447">
        <f>tertiair!K16</f>
        <v>0</v>
      </c>
      <c r="L5" s="447">
        <f ca="1">tertiair!L16</f>
        <v>0</v>
      </c>
      <c r="M5" s="447">
        <f>tertiair!M16</f>
        <v>0</v>
      </c>
      <c r="N5" s="447">
        <f ca="1">tertiair!N16</f>
        <v>212.82479073635733</v>
      </c>
      <c r="O5" s="447">
        <f>tertiair!O16</f>
        <v>0</v>
      </c>
      <c r="P5" s="448">
        <f>tertiair!P16</f>
        <v>0</v>
      </c>
      <c r="Q5" s="446">
        <f t="shared" ref="Q5:Q14" ca="1" si="0">SUM(B5:P5)</f>
        <v>7462.372894610713</v>
      </c>
    </row>
    <row r="6" spans="1:17">
      <c r="A6" s="446" t="s">
        <v>187</v>
      </c>
      <c r="B6" s="447">
        <f>'openbare verlichting'!B8</f>
        <v>495.26100000000002</v>
      </c>
      <c r="C6" s="447"/>
      <c r="D6" s="447"/>
      <c r="E6" s="447"/>
      <c r="F6" s="447"/>
      <c r="G6" s="447"/>
      <c r="H6" s="447"/>
      <c r="I6" s="447"/>
      <c r="J6" s="447"/>
      <c r="K6" s="447"/>
      <c r="L6" s="447"/>
      <c r="M6" s="447"/>
      <c r="N6" s="447"/>
      <c r="O6" s="447"/>
      <c r="P6" s="448"/>
      <c r="Q6" s="446">
        <f t="shared" si="0"/>
        <v>495.26100000000002</v>
      </c>
    </row>
    <row r="7" spans="1:17">
      <c r="A7" s="446" t="s">
        <v>105</v>
      </c>
      <c r="B7" s="447">
        <f>landbouw!B8</f>
        <v>4142.26</v>
      </c>
      <c r="C7" s="447">
        <f>landbouw!C8</f>
        <v>0</v>
      </c>
      <c r="D7" s="447">
        <f>landbouw!D8</f>
        <v>27.234086000000001</v>
      </c>
      <c r="E7" s="447">
        <f>landbouw!E8</f>
        <v>43.378643482720229</v>
      </c>
      <c r="F7" s="447">
        <f>landbouw!F8</f>
        <v>17732.020249146939</v>
      </c>
      <c r="G7" s="447">
        <f>landbouw!G8</f>
        <v>0</v>
      </c>
      <c r="H7" s="447">
        <f>landbouw!H8</f>
        <v>0</v>
      </c>
      <c r="I7" s="447">
        <f>landbouw!I8</f>
        <v>0</v>
      </c>
      <c r="J7" s="447">
        <f>landbouw!J8</f>
        <v>369.94094570976608</v>
      </c>
      <c r="K7" s="447">
        <f>landbouw!K8</f>
        <v>0</v>
      </c>
      <c r="L7" s="447">
        <f>landbouw!L8</f>
        <v>0</v>
      </c>
      <c r="M7" s="447">
        <f>landbouw!M8</f>
        <v>0</v>
      </c>
      <c r="N7" s="447">
        <f>landbouw!N8</f>
        <v>0</v>
      </c>
      <c r="O7" s="447">
        <f>landbouw!O8</f>
        <v>0</v>
      </c>
      <c r="P7" s="448">
        <f>landbouw!P8</f>
        <v>0</v>
      </c>
      <c r="Q7" s="446">
        <f t="shared" si="0"/>
        <v>22314.833924339422</v>
      </c>
    </row>
    <row r="8" spans="1:17">
      <c r="A8" s="446" t="s">
        <v>637</v>
      </c>
      <c r="B8" s="447">
        <f>industrie!B18</f>
        <v>732.31399999999996</v>
      </c>
      <c r="C8" s="447">
        <f>industrie!C18</f>
        <v>0</v>
      </c>
      <c r="D8" s="447">
        <f>industrie!D18</f>
        <v>170.87758599999998</v>
      </c>
      <c r="E8" s="447">
        <f>industrie!E18</f>
        <v>10.00664332760768</v>
      </c>
      <c r="F8" s="447">
        <f>industrie!F18</f>
        <v>401.50150820483123</v>
      </c>
      <c r="G8" s="447">
        <f>industrie!G18</f>
        <v>0</v>
      </c>
      <c r="H8" s="447">
        <f>industrie!H18</f>
        <v>0</v>
      </c>
      <c r="I8" s="447">
        <f>industrie!I18</f>
        <v>0</v>
      </c>
      <c r="J8" s="447">
        <f>industrie!J18</f>
        <v>3.1601082087310819</v>
      </c>
      <c r="K8" s="447">
        <f>industrie!K18</f>
        <v>0</v>
      </c>
      <c r="L8" s="447">
        <f>industrie!L18</f>
        <v>0</v>
      </c>
      <c r="M8" s="447">
        <f>industrie!M18</f>
        <v>0</v>
      </c>
      <c r="N8" s="447">
        <f>industrie!N18</f>
        <v>37.153868347377525</v>
      </c>
      <c r="O8" s="447">
        <f>industrie!O18</f>
        <v>0</v>
      </c>
      <c r="P8" s="448">
        <f>industrie!P18</f>
        <v>0</v>
      </c>
      <c r="Q8" s="446">
        <f t="shared" si="0"/>
        <v>1355.0137140885474</v>
      </c>
    </row>
    <row r="9" spans="1:17" s="452" customFormat="1">
      <c r="A9" s="450" t="s">
        <v>556</v>
      </c>
      <c r="B9" s="451">
        <f>transport!B14</f>
        <v>0.27797207677945818</v>
      </c>
      <c r="C9" s="451">
        <f>transport!C14</f>
        <v>0</v>
      </c>
      <c r="D9" s="451">
        <f>transport!D14</f>
        <v>1.245757636845013</v>
      </c>
      <c r="E9" s="451">
        <f>transport!E14</f>
        <v>124.35616908712922</v>
      </c>
      <c r="F9" s="451">
        <f>transport!F14</f>
        <v>0</v>
      </c>
      <c r="G9" s="451">
        <f>transport!G14</f>
        <v>18517.186515669717</v>
      </c>
      <c r="H9" s="451">
        <f>transport!H14</f>
        <v>3979.5842405925141</v>
      </c>
      <c r="I9" s="451">
        <f>transport!I14</f>
        <v>0</v>
      </c>
      <c r="J9" s="451">
        <f>transport!J14</f>
        <v>0</v>
      </c>
      <c r="K9" s="451">
        <f>transport!K14</f>
        <v>0</v>
      </c>
      <c r="L9" s="451">
        <f>transport!L14</f>
        <v>0</v>
      </c>
      <c r="M9" s="451">
        <f>transport!M14</f>
        <v>980.86580138916122</v>
      </c>
      <c r="N9" s="451">
        <f>transport!N14</f>
        <v>0</v>
      </c>
      <c r="O9" s="451">
        <f>transport!O14</f>
        <v>0</v>
      </c>
      <c r="P9" s="451">
        <f>transport!P14</f>
        <v>0</v>
      </c>
      <c r="Q9" s="450">
        <f>SUM(B9:P9)</f>
        <v>23603.516456452147</v>
      </c>
    </row>
    <row r="10" spans="1:17">
      <c r="A10" s="446" t="s">
        <v>546</v>
      </c>
      <c r="B10" s="447">
        <f>transport!B54</f>
        <v>4.9318765491144791</v>
      </c>
      <c r="C10" s="447">
        <f>transport!C54</f>
        <v>0</v>
      </c>
      <c r="D10" s="447">
        <f>transport!D54</f>
        <v>0</v>
      </c>
      <c r="E10" s="447">
        <f>transport!E54</f>
        <v>0</v>
      </c>
      <c r="F10" s="447">
        <f>transport!F54</f>
        <v>0</v>
      </c>
      <c r="G10" s="447">
        <f>transport!G54</f>
        <v>1069.9211019884126</v>
      </c>
      <c r="H10" s="447">
        <f>transport!H54</f>
        <v>0</v>
      </c>
      <c r="I10" s="447">
        <f>transport!I54</f>
        <v>0</v>
      </c>
      <c r="J10" s="447">
        <f>transport!J54</f>
        <v>0</v>
      </c>
      <c r="K10" s="447">
        <f>transport!K54</f>
        <v>0</v>
      </c>
      <c r="L10" s="447">
        <f>transport!L54</f>
        <v>0</v>
      </c>
      <c r="M10" s="447">
        <f>transport!M54</f>
        <v>45.809911753751066</v>
      </c>
      <c r="N10" s="447">
        <f>transport!N54</f>
        <v>0</v>
      </c>
      <c r="O10" s="447">
        <f>transport!O54</f>
        <v>0</v>
      </c>
      <c r="P10" s="448">
        <f>transport!P54</f>
        <v>0</v>
      </c>
      <c r="Q10" s="446">
        <f t="shared" si="0"/>
        <v>1120.6628902912782</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660.31100000000004</v>
      </c>
      <c r="C14" s="454"/>
      <c r="D14" s="454">
        <f>'SEAP template'!E25</f>
        <v>330.73399999999998</v>
      </c>
      <c r="E14" s="454"/>
      <c r="F14" s="454"/>
      <c r="G14" s="454"/>
      <c r="H14" s="454"/>
      <c r="I14" s="454"/>
      <c r="J14" s="454"/>
      <c r="K14" s="454"/>
      <c r="L14" s="454"/>
      <c r="M14" s="454"/>
      <c r="N14" s="454"/>
      <c r="O14" s="454"/>
      <c r="P14" s="455"/>
      <c r="Q14" s="446">
        <f t="shared" si="0"/>
        <v>991.04500000000007</v>
      </c>
    </row>
    <row r="15" spans="1:17" s="459" customFormat="1">
      <c r="A15" s="456" t="s">
        <v>550</v>
      </c>
      <c r="B15" s="457">
        <f ca="1">SUM(B4:B14)</f>
        <v>23254.545608075136</v>
      </c>
      <c r="C15" s="457">
        <f t="shared" ref="C15:Q15" ca="1" si="1">SUM(C4:C14)</f>
        <v>0</v>
      </c>
      <c r="D15" s="457">
        <f t="shared" ca="1" si="1"/>
        <v>14378.114079636847</v>
      </c>
      <c r="E15" s="457">
        <f t="shared" si="1"/>
        <v>1237.2860699378994</v>
      </c>
      <c r="F15" s="457">
        <f t="shared" ca="1" si="1"/>
        <v>53062.913165399492</v>
      </c>
      <c r="G15" s="457">
        <f t="shared" si="1"/>
        <v>19587.10761765813</v>
      </c>
      <c r="H15" s="457">
        <f t="shared" si="1"/>
        <v>3979.5842405925141</v>
      </c>
      <c r="I15" s="457">
        <f t="shared" si="1"/>
        <v>0</v>
      </c>
      <c r="J15" s="457">
        <f t="shared" si="1"/>
        <v>1140.9782955233743</v>
      </c>
      <c r="K15" s="457">
        <f t="shared" si="1"/>
        <v>0</v>
      </c>
      <c r="L15" s="457">
        <f t="shared" ca="1" si="1"/>
        <v>0</v>
      </c>
      <c r="M15" s="457">
        <f t="shared" si="1"/>
        <v>1026.6757131429122</v>
      </c>
      <c r="N15" s="457">
        <f t="shared" ca="1" si="1"/>
        <v>3865.0186935644051</v>
      </c>
      <c r="O15" s="457">
        <f t="shared" si="1"/>
        <v>26.576666666666668</v>
      </c>
      <c r="P15" s="457">
        <f t="shared" si="1"/>
        <v>209.73333333333335</v>
      </c>
      <c r="Q15" s="457">
        <f t="shared" ca="1" si="1"/>
        <v>121768.5334835307</v>
      </c>
    </row>
    <row r="17" spans="1:17">
      <c r="A17" s="460" t="s">
        <v>551</v>
      </c>
      <c r="B17" s="764">
        <f ca="1">huishoudens!B10</f>
        <v>0.19917951786332863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2594.6149292266346</v>
      </c>
      <c r="C22" s="447">
        <f t="shared" ref="C22:C32" ca="1" si="3">C4*$C$17</f>
        <v>0</v>
      </c>
      <c r="D22" s="447">
        <f t="shared" ref="D22:D32" si="4">D4*$D$17</f>
        <v>2359.2881720320001</v>
      </c>
      <c r="E22" s="447">
        <f t="shared" ref="E22:E32" si="5">E4*$E$17</f>
        <v>226.78062326323214</v>
      </c>
      <c r="F22" s="447">
        <f t="shared" ref="F22:F32" si="6">F4*$F$17</f>
        <v>9105.0758210715576</v>
      </c>
      <c r="G22" s="447">
        <f t="shared" ref="G22:G32" si="7">G4*$G$17</f>
        <v>0</v>
      </c>
      <c r="H22" s="447">
        <f t="shared" ref="H22:H32" si="8">H4*$H$17</f>
        <v>0</v>
      </c>
      <c r="I22" s="447">
        <f t="shared" ref="I22:I32" si="9">I4*$I$17</f>
        <v>0</v>
      </c>
      <c r="J22" s="447">
        <f t="shared" ref="J22:J32" si="10">J4*$J$17</f>
        <v>271.82854352812654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14557.588089121551</v>
      </c>
    </row>
    <row r="23" spans="1:17">
      <c r="A23" s="446" t="s">
        <v>149</v>
      </c>
      <c r="B23" s="447">
        <f t="shared" ca="1" si="2"/>
        <v>835.09498505763145</v>
      </c>
      <c r="C23" s="447">
        <f t="shared" ca="1" si="3"/>
        <v>0</v>
      </c>
      <c r="D23" s="447">
        <f t="shared" ca="1" si="4"/>
        <v>438.01240326800007</v>
      </c>
      <c r="E23" s="447">
        <f t="shared" si="5"/>
        <v>13.736004123948218</v>
      </c>
      <c r="F23" s="447">
        <f t="shared" ca="1" si="6"/>
        <v>221.07168487718326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1507.9150773267631</v>
      </c>
    </row>
    <row r="24" spans="1:17">
      <c r="A24" s="446" t="s">
        <v>187</v>
      </c>
      <c r="B24" s="447">
        <f t="shared" ca="1" si="2"/>
        <v>98.645847196510005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98.645847196510005</v>
      </c>
    </row>
    <row r="25" spans="1:17">
      <c r="A25" s="446" t="s">
        <v>105</v>
      </c>
      <c r="B25" s="447">
        <f t="shared" ca="1" si="2"/>
        <v>825.05334966455166</v>
      </c>
      <c r="C25" s="447">
        <f t="shared" ca="1" si="3"/>
        <v>0</v>
      </c>
      <c r="D25" s="447">
        <f t="shared" si="4"/>
        <v>5.5012853720000008</v>
      </c>
      <c r="E25" s="447">
        <f t="shared" si="5"/>
        <v>9.8469520705774922</v>
      </c>
      <c r="F25" s="447">
        <f t="shared" si="6"/>
        <v>4734.4494065222334</v>
      </c>
      <c r="G25" s="447">
        <f t="shared" si="7"/>
        <v>0</v>
      </c>
      <c r="H25" s="447">
        <f t="shared" si="8"/>
        <v>0</v>
      </c>
      <c r="I25" s="447">
        <f t="shared" si="9"/>
        <v>0</v>
      </c>
      <c r="J25" s="447">
        <f t="shared" si="10"/>
        <v>130.95909478125719</v>
      </c>
      <c r="K25" s="447">
        <f t="shared" si="11"/>
        <v>0</v>
      </c>
      <c r="L25" s="447">
        <f t="shared" si="12"/>
        <v>0</v>
      </c>
      <c r="M25" s="447">
        <f t="shared" si="13"/>
        <v>0</v>
      </c>
      <c r="N25" s="447">
        <f t="shared" si="14"/>
        <v>0</v>
      </c>
      <c r="O25" s="447">
        <f t="shared" si="15"/>
        <v>0</v>
      </c>
      <c r="P25" s="448">
        <f t="shared" si="16"/>
        <v>0</v>
      </c>
      <c r="Q25" s="446">
        <f t="shared" ca="1" si="17"/>
        <v>5705.8100884106198</v>
      </c>
    </row>
    <row r="26" spans="1:17">
      <c r="A26" s="446" t="s">
        <v>637</v>
      </c>
      <c r="B26" s="447">
        <f t="shared" ca="1" si="2"/>
        <v>145.86194944456562</v>
      </c>
      <c r="C26" s="447">
        <f t="shared" ca="1" si="3"/>
        <v>0</v>
      </c>
      <c r="D26" s="447">
        <f t="shared" si="4"/>
        <v>34.517272372000001</v>
      </c>
      <c r="E26" s="447">
        <f t="shared" si="5"/>
        <v>2.2715080353669435</v>
      </c>
      <c r="F26" s="447">
        <f t="shared" si="6"/>
        <v>107.20090269068994</v>
      </c>
      <c r="G26" s="447">
        <f t="shared" si="7"/>
        <v>0</v>
      </c>
      <c r="H26" s="447">
        <f t="shared" si="8"/>
        <v>0</v>
      </c>
      <c r="I26" s="447">
        <f t="shared" si="9"/>
        <v>0</v>
      </c>
      <c r="J26" s="447">
        <f t="shared" si="10"/>
        <v>1.118678305890803</v>
      </c>
      <c r="K26" s="447">
        <f t="shared" si="11"/>
        <v>0</v>
      </c>
      <c r="L26" s="447">
        <f t="shared" si="12"/>
        <v>0</v>
      </c>
      <c r="M26" s="447">
        <f t="shared" si="13"/>
        <v>0</v>
      </c>
      <c r="N26" s="447">
        <f t="shared" si="14"/>
        <v>0</v>
      </c>
      <c r="O26" s="447">
        <f t="shared" si="15"/>
        <v>0</v>
      </c>
      <c r="P26" s="448">
        <f t="shared" si="16"/>
        <v>0</v>
      </c>
      <c r="Q26" s="446">
        <f t="shared" ca="1" si="17"/>
        <v>290.97031084851329</v>
      </c>
    </row>
    <row r="27" spans="1:17" s="452" customFormat="1">
      <c r="A27" s="450" t="s">
        <v>556</v>
      </c>
      <c r="B27" s="758">
        <f t="shared" ca="1" si="2"/>
        <v>5.5366344232400645E-2</v>
      </c>
      <c r="C27" s="451">
        <f t="shared" ca="1" si="3"/>
        <v>0</v>
      </c>
      <c r="D27" s="451">
        <f t="shared" si="4"/>
        <v>0.2516430426426926</v>
      </c>
      <c r="E27" s="451">
        <f t="shared" si="5"/>
        <v>28.228850382778333</v>
      </c>
      <c r="F27" s="451">
        <f t="shared" si="6"/>
        <v>0</v>
      </c>
      <c r="G27" s="451">
        <f t="shared" si="7"/>
        <v>4944.0887996838146</v>
      </c>
      <c r="H27" s="451">
        <f t="shared" si="8"/>
        <v>990.91647590753598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5963.5411353610034</v>
      </c>
    </row>
    <row r="28" spans="1:17">
      <c r="A28" s="446" t="s">
        <v>546</v>
      </c>
      <c r="B28" s="447">
        <f t="shared" ca="1" si="2"/>
        <v>0.98232879321407895</v>
      </c>
      <c r="C28" s="447">
        <f t="shared" ca="1" si="3"/>
        <v>0</v>
      </c>
      <c r="D28" s="447">
        <f t="shared" si="4"/>
        <v>0</v>
      </c>
      <c r="E28" s="447">
        <f t="shared" si="5"/>
        <v>0</v>
      </c>
      <c r="F28" s="447">
        <f t="shared" si="6"/>
        <v>0</v>
      </c>
      <c r="G28" s="447">
        <f t="shared" si="7"/>
        <v>285.66893423090619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286.65126302412028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131.5204266198524</v>
      </c>
      <c r="C32" s="447">
        <f t="shared" ca="1" si="3"/>
        <v>0</v>
      </c>
      <c r="D32" s="447">
        <f t="shared" si="4"/>
        <v>66.808267999999998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198.3286946198524</v>
      </c>
    </row>
    <row r="33" spans="1:17" s="459" customFormat="1">
      <c r="A33" s="456" t="s">
        <v>550</v>
      </c>
      <c r="B33" s="457">
        <f ca="1">SUM(B22:B32)</f>
        <v>4631.8291823471927</v>
      </c>
      <c r="C33" s="457">
        <f t="shared" ref="C33:Q33" ca="1" si="19">SUM(C22:C32)</f>
        <v>0</v>
      </c>
      <c r="D33" s="457">
        <f t="shared" ca="1" si="19"/>
        <v>2904.3790440866433</v>
      </c>
      <c r="E33" s="457">
        <f t="shared" si="19"/>
        <v>280.8639378759031</v>
      </c>
      <c r="F33" s="457">
        <f t="shared" ca="1" si="19"/>
        <v>14167.797815161664</v>
      </c>
      <c r="G33" s="457">
        <f t="shared" si="19"/>
        <v>5229.757733914721</v>
      </c>
      <c r="H33" s="457">
        <f t="shared" si="19"/>
        <v>990.91647590753598</v>
      </c>
      <c r="I33" s="457">
        <f t="shared" si="19"/>
        <v>0</v>
      </c>
      <c r="J33" s="457">
        <f t="shared" si="19"/>
        <v>403.90631661527453</v>
      </c>
      <c r="K33" s="457">
        <f t="shared" si="19"/>
        <v>0</v>
      </c>
      <c r="L33" s="457">
        <f t="shared" ca="1" si="19"/>
        <v>0</v>
      </c>
      <c r="M33" s="457">
        <f t="shared" si="19"/>
        <v>0</v>
      </c>
      <c r="N33" s="457">
        <f t="shared" ca="1" si="19"/>
        <v>0</v>
      </c>
      <c r="O33" s="457">
        <f t="shared" si="19"/>
        <v>0</v>
      </c>
      <c r="P33" s="457">
        <f t="shared" si="19"/>
        <v>0</v>
      </c>
      <c r="Q33" s="457">
        <f t="shared" ca="1" si="19"/>
        <v>28609.450505908932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2296.0425205312822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2296.0425205312822</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0.19917951786332863</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0.19917951786332863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0.19917951786332863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0.19917951786332863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2722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1293</v>
      </c>
      <c r="C14" s="326"/>
      <c r="D14" s="326"/>
      <c r="E14" s="326"/>
      <c r="F14" s="326"/>
    </row>
    <row r="15" spans="1:6">
      <c r="A15" s="1280" t="s">
        <v>177</v>
      </c>
      <c r="B15" s="1281">
        <v>1</v>
      </c>
      <c r="C15" s="326"/>
      <c r="D15" s="326"/>
      <c r="E15" s="326"/>
      <c r="F15" s="326"/>
    </row>
    <row r="16" spans="1:6">
      <c r="A16" s="1280" t="s">
        <v>6</v>
      </c>
      <c r="B16" s="1281">
        <v>98</v>
      </c>
      <c r="C16" s="326"/>
      <c r="D16" s="326"/>
      <c r="E16" s="326"/>
      <c r="F16" s="326"/>
    </row>
    <row r="17" spans="1:6">
      <c r="A17" s="1280" t="s">
        <v>7</v>
      </c>
      <c r="B17" s="1281">
        <v>238</v>
      </c>
      <c r="C17" s="326"/>
      <c r="D17" s="326"/>
      <c r="E17" s="326"/>
      <c r="F17" s="326"/>
    </row>
    <row r="18" spans="1:6">
      <c r="A18" s="1280" t="s">
        <v>8</v>
      </c>
      <c r="B18" s="1281">
        <v>306</v>
      </c>
      <c r="C18" s="326"/>
      <c r="D18" s="326"/>
      <c r="E18" s="326"/>
      <c r="F18" s="326"/>
    </row>
    <row r="19" spans="1:6">
      <c r="A19" s="1280" t="s">
        <v>9</v>
      </c>
      <c r="B19" s="1281">
        <v>264</v>
      </c>
      <c r="C19" s="326"/>
      <c r="D19" s="326"/>
      <c r="E19" s="326"/>
      <c r="F19" s="326"/>
    </row>
    <row r="20" spans="1:6">
      <c r="A20" s="1280" t="s">
        <v>10</v>
      </c>
      <c r="B20" s="1281">
        <v>252</v>
      </c>
      <c r="C20" s="326"/>
      <c r="D20" s="326"/>
      <c r="E20" s="326"/>
      <c r="F20" s="326"/>
    </row>
    <row r="21" spans="1:6">
      <c r="A21" s="1280" t="s">
        <v>11</v>
      </c>
      <c r="B21" s="1281">
        <v>859</v>
      </c>
      <c r="C21" s="326"/>
      <c r="D21" s="326"/>
      <c r="E21" s="326"/>
      <c r="F21" s="326"/>
    </row>
    <row r="22" spans="1:6">
      <c r="A22" s="1280" t="s">
        <v>12</v>
      </c>
      <c r="B22" s="1281">
        <v>1515</v>
      </c>
      <c r="C22" s="326"/>
      <c r="D22" s="326"/>
      <c r="E22" s="326"/>
      <c r="F22" s="326"/>
    </row>
    <row r="23" spans="1:6">
      <c r="A23" s="1280" t="s">
        <v>13</v>
      </c>
      <c r="B23" s="1281">
        <v>19</v>
      </c>
      <c r="C23" s="326"/>
      <c r="D23" s="326"/>
      <c r="E23" s="326"/>
      <c r="F23" s="326"/>
    </row>
    <row r="24" spans="1:6">
      <c r="A24" s="1280" t="s">
        <v>14</v>
      </c>
      <c r="B24" s="1281">
        <v>1</v>
      </c>
      <c r="C24" s="326"/>
      <c r="D24" s="326"/>
      <c r="E24" s="326"/>
      <c r="F24" s="326"/>
    </row>
    <row r="25" spans="1:6">
      <c r="A25" s="1280" t="s">
        <v>15</v>
      </c>
      <c r="B25" s="1281">
        <v>350</v>
      </c>
      <c r="C25" s="326"/>
      <c r="D25" s="326"/>
      <c r="E25" s="326"/>
      <c r="F25" s="326"/>
    </row>
    <row r="26" spans="1:6">
      <c r="A26" s="1280" t="s">
        <v>16</v>
      </c>
      <c r="B26" s="1281">
        <v>26</v>
      </c>
      <c r="C26" s="326"/>
      <c r="D26" s="326"/>
      <c r="E26" s="326"/>
      <c r="F26" s="326"/>
    </row>
    <row r="27" spans="1:6">
      <c r="A27" s="1280" t="s">
        <v>17</v>
      </c>
      <c r="B27" s="1281">
        <v>3</v>
      </c>
      <c r="C27" s="326"/>
      <c r="D27" s="326"/>
      <c r="E27" s="326"/>
      <c r="F27" s="326"/>
    </row>
    <row r="28" spans="1:6">
      <c r="A28" s="1280" t="s">
        <v>18</v>
      </c>
      <c r="B28" s="1282">
        <v>31800</v>
      </c>
      <c r="C28" s="326"/>
      <c r="D28" s="326"/>
      <c r="E28" s="326"/>
      <c r="F28" s="326"/>
    </row>
    <row r="29" spans="1:6">
      <c r="A29" s="1280" t="s">
        <v>972</v>
      </c>
      <c r="B29" s="1282">
        <v>22</v>
      </c>
      <c r="C29" s="326"/>
      <c r="D29" s="326"/>
      <c r="E29" s="326"/>
      <c r="F29" s="326"/>
    </row>
    <row r="30" spans="1:6">
      <c r="A30" s="1275" t="s">
        <v>973</v>
      </c>
      <c r="B30" s="1283">
        <v>7</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675</v>
      </c>
      <c r="D39" s="1281">
        <v>12948608</v>
      </c>
      <c r="E39" s="1281">
        <v>2662</v>
      </c>
      <c r="F39" s="1281">
        <v>11871622</v>
      </c>
    </row>
    <row r="40" spans="1:6">
      <c r="A40" s="1280" t="s">
        <v>29</v>
      </c>
      <c r="B40" s="1280" t="s">
        <v>28</v>
      </c>
      <c r="C40" s="1281">
        <v>0</v>
      </c>
      <c r="D40" s="1281">
        <v>0</v>
      </c>
      <c r="E40" s="1281">
        <v>0</v>
      </c>
      <c r="F40" s="1281">
        <v>0</v>
      </c>
    </row>
    <row r="41" spans="1:6">
      <c r="A41" s="1280" t="s">
        <v>31</v>
      </c>
      <c r="B41" s="1280" t="s">
        <v>32</v>
      </c>
      <c r="C41" s="1281">
        <v>7</v>
      </c>
      <c r="D41" s="1281">
        <v>157890</v>
      </c>
      <c r="E41" s="1281">
        <v>37</v>
      </c>
      <c r="F41" s="1281">
        <v>466909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4</v>
      </c>
      <c r="F44" s="1281">
        <v>122620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v>
      </c>
      <c r="D48" s="1281">
        <v>31553</v>
      </c>
      <c r="E48" s="1281">
        <v>0</v>
      </c>
      <c r="F48" s="1281">
        <v>0</v>
      </c>
    </row>
    <row r="49" spans="1:6">
      <c r="A49" s="1280" t="s">
        <v>31</v>
      </c>
      <c r="B49" s="1280" t="s">
        <v>39</v>
      </c>
      <c r="C49" s="1281">
        <v>0</v>
      </c>
      <c r="D49" s="1281">
        <v>0</v>
      </c>
      <c r="E49" s="1281">
        <v>0</v>
      </c>
      <c r="F49" s="1281">
        <v>0</v>
      </c>
    </row>
    <row r="50" spans="1:6">
      <c r="A50" s="1280" t="s">
        <v>31</v>
      </c>
      <c r="B50" s="1280" t="s">
        <v>40</v>
      </c>
      <c r="C50" s="1281">
        <v>0</v>
      </c>
      <c r="D50" s="1281">
        <v>0</v>
      </c>
      <c r="E50" s="1281">
        <v>5</v>
      </c>
      <c r="F50" s="1281">
        <v>142785</v>
      </c>
    </row>
    <row r="51" spans="1:6">
      <c r="A51" s="1280" t="s">
        <v>41</v>
      </c>
      <c r="B51" s="1280" t="s">
        <v>42</v>
      </c>
      <c r="C51" s="1281">
        <v>0</v>
      </c>
      <c r="D51" s="1281">
        <v>0</v>
      </c>
      <c r="E51" s="1281">
        <v>65</v>
      </c>
      <c r="F51" s="1281">
        <v>4142260</v>
      </c>
    </row>
    <row r="52" spans="1:6">
      <c r="A52" s="1280" t="s">
        <v>41</v>
      </c>
      <c r="B52" s="1280" t="s">
        <v>28</v>
      </c>
      <c r="C52" s="1281">
        <v>1</v>
      </c>
      <c r="D52" s="1281">
        <v>30193</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40</v>
      </c>
      <c r="F54" s="1281">
        <v>495261</v>
      </c>
    </row>
    <row r="55" spans="1:6">
      <c r="A55" s="1280" t="s">
        <v>45</v>
      </c>
      <c r="B55" s="1280" t="s">
        <v>28</v>
      </c>
      <c r="C55" s="1281">
        <v>0</v>
      </c>
      <c r="D55" s="1281">
        <v>0</v>
      </c>
      <c r="E55" s="1281">
        <v>0</v>
      </c>
      <c r="F55" s="1281">
        <v>0</v>
      </c>
    </row>
    <row r="56" spans="1:6">
      <c r="A56" s="1280" t="s">
        <v>47</v>
      </c>
      <c r="B56" s="1280" t="s">
        <v>28</v>
      </c>
      <c r="C56" s="1281">
        <v>5</v>
      </c>
      <c r="D56" s="1281">
        <v>330734</v>
      </c>
      <c r="E56" s="1281">
        <v>39</v>
      </c>
      <c r="F56" s="1281">
        <v>660311</v>
      </c>
    </row>
    <row r="57" spans="1:6">
      <c r="A57" s="1280" t="s">
        <v>48</v>
      </c>
      <c r="B57" s="1280" t="s">
        <v>49</v>
      </c>
      <c r="C57" s="1281">
        <v>5</v>
      </c>
      <c r="D57" s="1281">
        <v>176626</v>
      </c>
      <c r="E57" s="1281">
        <v>31</v>
      </c>
      <c r="F57" s="1281">
        <v>876933</v>
      </c>
    </row>
    <row r="58" spans="1:6">
      <c r="A58" s="1280" t="s">
        <v>48</v>
      </c>
      <c r="B58" s="1280" t="s">
        <v>50</v>
      </c>
      <c r="C58" s="1281">
        <v>0</v>
      </c>
      <c r="D58" s="1281">
        <v>0</v>
      </c>
      <c r="E58" s="1281">
        <v>6</v>
      </c>
      <c r="F58" s="1281">
        <v>540572</v>
      </c>
    </row>
    <row r="59" spans="1:6">
      <c r="A59" s="1280" t="s">
        <v>48</v>
      </c>
      <c r="B59" s="1280" t="s">
        <v>51</v>
      </c>
      <c r="C59" s="1281">
        <v>11</v>
      </c>
      <c r="D59" s="1281">
        <v>423318</v>
      </c>
      <c r="E59" s="1281">
        <v>77</v>
      </c>
      <c r="F59" s="1281">
        <v>1651739</v>
      </c>
    </row>
    <row r="60" spans="1:6">
      <c r="A60" s="1280" t="s">
        <v>48</v>
      </c>
      <c r="B60" s="1280" t="s">
        <v>52</v>
      </c>
      <c r="C60" s="1281">
        <v>4</v>
      </c>
      <c r="D60" s="1281">
        <v>275689</v>
      </c>
      <c r="E60" s="1281">
        <v>13</v>
      </c>
      <c r="F60" s="1281">
        <v>411785</v>
      </c>
    </row>
    <row r="61" spans="1:6">
      <c r="A61" s="1280" t="s">
        <v>48</v>
      </c>
      <c r="B61" s="1280" t="s">
        <v>53</v>
      </c>
      <c r="C61" s="1281">
        <v>19</v>
      </c>
      <c r="D61" s="1281">
        <v>1258270</v>
      </c>
      <c r="E61" s="1281">
        <v>70</v>
      </c>
      <c r="F61" s="1281">
        <v>662605</v>
      </c>
    </row>
    <row r="62" spans="1:6">
      <c r="A62" s="1280" t="s">
        <v>48</v>
      </c>
      <c r="B62" s="1280" t="s">
        <v>54</v>
      </c>
      <c r="C62" s="1281">
        <v>0</v>
      </c>
      <c r="D62" s="1281">
        <v>0</v>
      </c>
      <c r="E62" s="1281">
        <v>3</v>
      </c>
      <c r="F62" s="1281">
        <v>49041</v>
      </c>
    </row>
    <row r="63" spans="1:6">
      <c r="A63" s="1280" t="s">
        <v>48</v>
      </c>
      <c r="B63" s="1280" t="s">
        <v>28</v>
      </c>
      <c r="C63" s="1281">
        <v>3</v>
      </c>
      <c r="D63" s="1281">
        <v>270064</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1723</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9406121</v>
      </c>
      <c r="E73" s="445"/>
      <c r="F73" s="326"/>
    </row>
    <row r="74" spans="1:6">
      <c r="A74" s="1280" t="s">
        <v>63</v>
      </c>
      <c r="B74" s="1280" t="s">
        <v>754</v>
      </c>
      <c r="C74" s="1293" t="s">
        <v>755</v>
      </c>
      <c r="D74" s="1281">
        <v>887724.56780696299</v>
      </c>
      <c r="E74" s="445"/>
      <c r="F74" s="326"/>
    </row>
    <row r="75" spans="1:6">
      <c r="A75" s="1280" t="s">
        <v>64</v>
      </c>
      <c r="B75" s="1280" t="s">
        <v>752</v>
      </c>
      <c r="C75" s="1293" t="s">
        <v>756</v>
      </c>
      <c r="D75" s="1281">
        <v>16397214</v>
      </c>
      <c r="E75" s="445"/>
      <c r="F75" s="326"/>
    </row>
    <row r="76" spans="1:6">
      <c r="A76" s="1280" t="s">
        <v>64</v>
      </c>
      <c r="B76" s="1280" t="s">
        <v>754</v>
      </c>
      <c r="C76" s="1293" t="s">
        <v>757</v>
      </c>
      <c r="D76" s="1281">
        <v>80465.567806963023</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293448.86438607395</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1154.8927594492429</v>
      </c>
      <c r="C91" s="326"/>
      <c r="D91" s="326"/>
      <c r="E91" s="326"/>
      <c r="F91" s="326"/>
    </row>
    <row r="92" spans="1:6">
      <c r="A92" s="1275" t="s">
        <v>68</v>
      </c>
      <c r="B92" s="1276">
        <v>1141.1497610820395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137</v>
      </c>
      <c r="C97" s="326"/>
      <c r="D97" s="326"/>
      <c r="E97" s="326"/>
      <c r="F97" s="326"/>
    </row>
    <row r="98" spans="1:6">
      <c r="A98" s="1280" t="s">
        <v>71</v>
      </c>
      <c r="B98" s="1281">
        <v>1</v>
      </c>
      <c r="C98" s="326"/>
      <c r="D98" s="326"/>
      <c r="E98" s="326"/>
      <c r="F98" s="326"/>
    </row>
    <row r="99" spans="1:6">
      <c r="A99" s="1280" t="s">
        <v>72</v>
      </c>
      <c r="B99" s="1281">
        <v>20</v>
      </c>
      <c r="C99" s="326"/>
      <c r="D99" s="326"/>
      <c r="E99" s="326"/>
      <c r="F99" s="326"/>
    </row>
    <row r="100" spans="1:6">
      <c r="A100" s="1280" t="s">
        <v>73</v>
      </c>
      <c r="B100" s="1281">
        <v>81</v>
      </c>
      <c r="C100" s="326"/>
      <c r="D100" s="326"/>
      <c r="E100" s="326"/>
      <c r="F100" s="326"/>
    </row>
    <row r="101" spans="1:6">
      <c r="A101" s="1280" t="s">
        <v>74</v>
      </c>
      <c r="B101" s="1281">
        <v>22</v>
      </c>
      <c r="C101" s="326"/>
      <c r="D101" s="326"/>
      <c r="E101" s="326"/>
      <c r="F101" s="326"/>
    </row>
    <row r="102" spans="1:6">
      <c r="A102" s="1280" t="s">
        <v>75</v>
      </c>
      <c r="B102" s="1281">
        <v>32</v>
      </c>
      <c r="C102" s="326"/>
      <c r="D102" s="326"/>
      <c r="E102" s="326"/>
      <c r="F102" s="326"/>
    </row>
    <row r="103" spans="1:6">
      <c r="A103" s="1280" t="s">
        <v>76</v>
      </c>
      <c r="B103" s="1281">
        <v>55</v>
      </c>
      <c r="C103" s="326"/>
      <c r="D103" s="326"/>
      <c r="E103" s="326"/>
      <c r="F103" s="326"/>
    </row>
    <row r="104" spans="1:6">
      <c r="A104" s="1280" t="s">
        <v>77</v>
      </c>
      <c r="B104" s="1281">
        <v>2087</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14</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7</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23254.545608075136</v>
      </c>
      <c r="C3" s="43" t="s">
        <v>163</v>
      </c>
      <c r="D3" s="43"/>
      <c r="E3" s="156"/>
      <c r="F3" s="43"/>
      <c r="G3" s="43"/>
      <c r="H3" s="43"/>
      <c r="I3" s="43"/>
      <c r="J3" s="43"/>
      <c r="K3" s="96"/>
    </row>
    <row r="4" spans="1:11">
      <c r="A4" s="352" t="s">
        <v>164</v>
      </c>
      <c r="B4" s="49">
        <f>IF(ISERROR('SEAP template'!B78+'SEAP template'!C78),0,'SEAP template'!B78+'SEAP template'!C78)</f>
        <v>2296.0425205312822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0.19917951786332863</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495.26100000000002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495.26100000000002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0.19917951786332863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98.645847196510005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11871.621999999999</v>
      </c>
      <c r="C5" s="17">
        <f>IF(ISERROR('Eigen informatie GS &amp; warmtenet'!B57),0,'Eigen informatie GS &amp; warmtenet'!B57)</f>
        <v>0</v>
      </c>
      <c r="D5" s="30">
        <f>(SUM(HH_hh_gas_kWh,HH_rest_gas_kWh)/1000)*0.902</f>
        <v>11679.644416000001</v>
      </c>
      <c r="E5" s="17">
        <f>B32*B41</f>
        <v>999.03358265741031</v>
      </c>
      <c r="F5" s="17">
        <f>B36*B45</f>
        <v>34101.407569556395</v>
      </c>
      <c r="G5" s="18"/>
      <c r="H5" s="17"/>
      <c r="I5" s="17"/>
      <c r="J5" s="17">
        <f>B35*B44+C35*C44</f>
        <v>767.87724160487721</v>
      </c>
      <c r="K5" s="17"/>
      <c r="L5" s="17"/>
      <c r="M5" s="17"/>
      <c r="N5" s="17">
        <f>B34*B43+C34*C43</f>
        <v>3615.0400344806699</v>
      </c>
      <c r="O5" s="17">
        <f>B52*B53*B54</f>
        <v>26.576666666666668</v>
      </c>
      <c r="P5" s="17">
        <f>B60*B61*B62/1000-B60*B61*B62/1000/B63</f>
        <v>209.73333333333335</v>
      </c>
    </row>
    <row r="6" spans="1:16">
      <c r="A6" s="16" t="s">
        <v>615</v>
      </c>
      <c r="B6" s="766">
        <f>kWh_PV_kleiner_dan_10kW</f>
        <v>1154.8927594492429</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13026.514759449243</v>
      </c>
      <c r="C8" s="21">
        <f>C5</f>
        <v>0</v>
      </c>
      <c r="D8" s="21">
        <f>D5</f>
        <v>11679.644416000001</v>
      </c>
      <c r="E8" s="21">
        <f>E5</f>
        <v>999.03358265741031</v>
      </c>
      <c r="F8" s="21">
        <f>F5</f>
        <v>34101.407569556395</v>
      </c>
      <c r="G8" s="21"/>
      <c r="H8" s="21"/>
      <c r="I8" s="21"/>
      <c r="J8" s="21">
        <f>J5</f>
        <v>767.87724160487721</v>
      </c>
      <c r="K8" s="21"/>
      <c r="L8" s="21">
        <f>L5</f>
        <v>0</v>
      </c>
      <c r="M8" s="21">
        <f>M5</f>
        <v>0</v>
      </c>
      <c r="N8" s="21">
        <f>N5</f>
        <v>3615.0400344806699</v>
      </c>
      <c r="O8" s="21">
        <f>O5</f>
        <v>26.576666666666668</v>
      </c>
      <c r="P8" s="21">
        <f>P5</f>
        <v>209.73333333333335</v>
      </c>
    </row>
    <row r="9" spans="1:16">
      <c r="B9" s="19"/>
      <c r="C9" s="19"/>
      <c r="D9" s="256"/>
      <c r="E9" s="19"/>
      <c r="F9" s="19"/>
      <c r="G9" s="19"/>
      <c r="H9" s="19"/>
      <c r="I9" s="19"/>
      <c r="J9" s="19"/>
      <c r="K9" s="19"/>
      <c r="L9" s="19"/>
      <c r="M9" s="19"/>
      <c r="N9" s="19"/>
      <c r="O9" s="19"/>
      <c r="P9" s="19"/>
    </row>
    <row r="10" spans="1:16">
      <c r="A10" s="24" t="s">
        <v>207</v>
      </c>
      <c r="B10" s="25">
        <f ca="1">'EF ele_warmte'!B12</f>
        <v>0.19917951786332863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2594.6149292266346</v>
      </c>
      <c r="C12" s="23">
        <f ca="1">C10*C8</f>
        <v>0</v>
      </c>
      <c r="D12" s="23">
        <f>D8*D10</f>
        <v>2359.2881720320001</v>
      </c>
      <c r="E12" s="23">
        <f>E10*E8</f>
        <v>226.78062326323214</v>
      </c>
      <c r="F12" s="23">
        <f>F10*F8</f>
        <v>9105.0758210715576</v>
      </c>
      <c r="G12" s="23"/>
      <c r="H12" s="23"/>
      <c r="I12" s="23"/>
      <c r="J12" s="23">
        <f>J10*J8</f>
        <v>271.82854352812654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2722</v>
      </c>
      <c r="C26" s="36"/>
      <c r="D26" s="226"/>
    </row>
    <row r="27" spans="1:5" s="15" customFormat="1">
      <c r="A27" s="228" t="s">
        <v>695</v>
      </c>
      <c r="B27" s="37">
        <f>SUM(HH_hh_gas_aantal,HH_rest_gas_aantal)</f>
        <v>675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641.25</v>
      </c>
      <c r="C31" s="34" t="s">
        <v>104</v>
      </c>
      <c r="D31" s="172"/>
    </row>
    <row r="32" spans="1:5">
      <c r="A32" s="169" t="s">
        <v>72</v>
      </c>
      <c r="B32" s="33">
        <f>IF((B21*($B$26-($B$27-0.05*$B$27)-$B$60))&lt;0,0,B21*($B$26-($B$27-0.05*$B$27)-$B$60))</f>
        <v>14.67363471606515</v>
      </c>
      <c r="C32" s="34" t="s">
        <v>104</v>
      </c>
      <c r="D32" s="172"/>
    </row>
    <row r="33" spans="1:6">
      <c r="A33" s="169" t="s">
        <v>73</v>
      </c>
      <c r="B33" s="33">
        <f>IF((B22*($B$26-($B$27-0.05*$B$27)-$B$60))&lt;0,0,B22*($B$26-($B$27-0.05*$B$27)-$B$60))</f>
        <v>420.54437454954075</v>
      </c>
      <c r="C33" s="34" t="s">
        <v>104</v>
      </c>
      <c r="D33" s="172"/>
    </row>
    <row r="34" spans="1:6">
      <c r="A34" s="169" t="s">
        <v>74</v>
      </c>
      <c r="B34" s="33">
        <f>IF((B24*($B$26-($B$27-0.05*$B$27)-$B$60))&lt;0,0,B24*($B$26-($B$27-0.05*$B$27)-$B$60))</f>
        <v>83.860992732326082</v>
      </c>
      <c r="C34" s="33">
        <f>B26*C24</f>
        <v>556.58806729505795</v>
      </c>
      <c r="D34" s="231"/>
    </row>
    <row r="35" spans="1:6">
      <c r="A35" s="169" t="s">
        <v>76</v>
      </c>
      <c r="B35" s="33">
        <f>IF((B19*($B$26-($B$27-0.05*$B$27)-$B$60))&lt;0,0,B19*($B$26-($B$27-0.05*$B$27)-$B$60))</f>
        <v>43.671531893051046</v>
      </c>
      <c r="C35" s="33">
        <f>B35/2</f>
        <v>21.835765946525523</v>
      </c>
      <c r="D35" s="231"/>
    </row>
    <row r="36" spans="1:6">
      <c r="A36" s="169" t="s">
        <v>77</v>
      </c>
      <c r="B36" s="33">
        <f>IF((B18*($B$26-($B$27-0.05*$B$27)-$B$60))&lt;0,0,B18*($B$26-($B$27-0.05*$B$27)-$B$60))</f>
        <v>1506.999466109017</v>
      </c>
      <c r="C36" s="34" t="s">
        <v>104</v>
      </c>
      <c r="D36" s="172"/>
    </row>
    <row r="37" spans="1:6">
      <c r="A37" s="169" t="s">
        <v>78</v>
      </c>
      <c r="B37" s="33">
        <f>B60</f>
        <v>11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4192.6750000000002</v>
      </c>
      <c r="C5" s="17">
        <f>IF(ISERROR('Eigen informatie GS &amp; warmtenet'!B58),0,'Eigen informatie GS &amp; warmtenet'!B58)</f>
        <v>0</v>
      </c>
      <c r="D5" s="30">
        <f>SUM(D6:D12)</f>
        <v>2168.3782340000002</v>
      </c>
      <c r="E5" s="17">
        <f>SUM(E6:E12)</f>
        <v>60.511031383031799</v>
      </c>
      <c r="F5" s="17">
        <f>SUM(F6:F12)</f>
        <v>827.98383849132301</v>
      </c>
      <c r="G5" s="18"/>
      <c r="H5" s="17"/>
      <c r="I5" s="17"/>
      <c r="J5" s="17">
        <f>SUM(J6:J12)</f>
        <v>0</v>
      </c>
      <c r="K5" s="17"/>
      <c r="L5" s="17"/>
      <c r="M5" s="17"/>
      <c r="N5" s="17">
        <f>SUM(N6:N12)</f>
        <v>212.82479073635733</v>
      </c>
      <c r="O5" s="17">
        <f>B38*B39*B40</f>
        <v>0</v>
      </c>
      <c r="P5" s="17">
        <f>B46*B47*B48/1000-B46*B47*B48/1000/B49</f>
        <v>0</v>
      </c>
      <c r="R5" s="32"/>
    </row>
    <row r="6" spans="1:18">
      <c r="A6" s="32" t="s">
        <v>53</v>
      </c>
      <c r="B6" s="37">
        <f>B26</f>
        <v>662.60500000000002</v>
      </c>
      <c r="C6" s="33"/>
      <c r="D6" s="37">
        <f>IF(ISERROR(TER_kantoor_gas_kWh/1000),0,TER_kantoor_gas_kWh/1000)*0.902</f>
        <v>1134.9595400000001</v>
      </c>
      <c r="E6" s="33">
        <f>$C$26*'E Balans VL '!I12/100/3.6*1000000</f>
        <v>23.193781520189244</v>
      </c>
      <c r="F6" s="33">
        <f>$C$26*('E Balans VL '!L12+'E Balans VL '!N12)/100/3.6*1000000</f>
        <v>100.46514398994806</v>
      </c>
      <c r="G6" s="34"/>
      <c r="H6" s="33"/>
      <c r="I6" s="33"/>
      <c r="J6" s="33">
        <f>$C$26*('E Balans VL '!D12+'E Balans VL '!E12)/100/3.6*1000000</f>
        <v>0</v>
      </c>
      <c r="K6" s="33"/>
      <c r="L6" s="33"/>
      <c r="M6" s="33"/>
      <c r="N6" s="33">
        <f>$C$26*'E Balans VL '!Y12/100/3.6*1000000</f>
        <v>5.1217292603426188</v>
      </c>
      <c r="O6" s="33"/>
      <c r="P6" s="33"/>
      <c r="R6" s="32"/>
    </row>
    <row r="7" spans="1:18">
      <c r="A7" s="32" t="s">
        <v>52</v>
      </c>
      <c r="B7" s="37">
        <f t="shared" ref="B7:B12" si="0">B27</f>
        <v>411.78500000000003</v>
      </c>
      <c r="C7" s="33"/>
      <c r="D7" s="37">
        <f>IF(ISERROR(TER_horeca_gas_kWh/1000),0,TER_horeca_gas_kWh/1000)*0.902</f>
        <v>248.67147800000004</v>
      </c>
      <c r="E7" s="33">
        <f>$C$27*'E Balans VL '!I9/100/3.6*1000000</f>
        <v>23.230149407012451</v>
      </c>
      <c r="F7" s="33">
        <f>$C$27*('E Balans VL '!L9+'E Balans VL '!N9)/100/3.6*1000000</f>
        <v>71.73522584744903</v>
      </c>
      <c r="G7" s="34"/>
      <c r="H7" s="33"/>
      <c r="I7" s="33"/>
      <c r="J7" s="33">
        <f>$C$27*('E Balans VL '!D9+'E Balans VL '!E9)/100/3.6*1000000</f>
        <v>0</v>
      </c>
      <c r="K7" s="33"/>
      <c r="L7" s="33"/>
      <c r="M7" s="33"/>
      <c r="N7" s="33">
        <f>$C$27*'E Balans VL '!Y9/100/3.6*1000000</f>
        <v>0</v>
      </c>
      <c r="O7" s="33"/>
      <c r="P7" s="33"/>
      <c r="R7" s="32"/>
    </row>
    <row r="8" spans="1:18">
      <c r="A8" s="6" t="s">
        <v>51</v>
      </c>
      <c r="B8" s="37">
        <f t="shared" si="0"/>
        <v>1651.739</v>
      </c>
      <c r="C8" s="33"/>
      <c r="D8" s="37">
        <f>IF(ISERROR(TER_handel_gas_kWh/1000),0,TER_handel_gas_kWh/1000)*0.902</f>
        <v>381.83283599999999</v>
      </c>
      <c r="E8" s="33">
        <f>$C$28*'E Balans VL '!I13/100/3.6*1000000</f>
        <v>8.4798602117514719</v>
      </c>
      <c r="F8" s="33">
        <f>$C$28*('E Balans VL '!L13+'E Balans VL '!N13)/100/3.6*1000000</f>
        <v>254.67263181250357</v>
      </c>
      <c r="G8" s="34"/>
      <c r="H8" s="33"/>
      <c r="I8" s="33"/>
      <c r="J8" s="33">
        <f>$C$28*('E Balans VL '!D13+'E Balans VL '!E13)/100/3.6*1000000</f>
        <v>0</v>
      </c>
      <c r="K8" s="33"/>
      <c r="L8" s="33"/>
      <c r="M8" s="33"/>
      <c r="N8" s="33">
        <f>$C$28*'E Balans VL '!Y13/100/3.6*1000000</f>
        <v>0.77253849248840123</v>
      </c>
      <c r="O8" s="33"/>
      <c r="P8" s="33"/>
      <c r="R8" s="32"/>
    </row>
    <row r="9" spans="1:18">
      <c r="A9" s="32" t="s">
        <v>50</v>
      </c>
      <c r="B9" s="37">
        <f t="shared" si="0"/>
        <v>540.572</v>
      </c>
      <c r="C9" s="33"/>
      <c r="D9" s="37">
        <f>IF(ISERROR(TER_gezond_gas_kWh/1000),0,TER_gezond_gas_kWh/1000)*0.902</f>
        <v>0</v>
      </c>
      <c r="E9" s="33">
        <f>$C$29*'E Balans VL '!I10/100/3.6*1000000</f>
        <v>0.22406324418419257</v>
      </c>
      <c r="F9" s="33">
        <f>$C$29*('E Balans VL '!L10+'E Balans VL '!N10)/100/3.6*1000000</f>
        <v>133.13513076334954</v>
      </c>
      <c r="G9" s="34"/>
      <c r="H9" s="33"/>
      <c r="I9" s="33"/>
      <c r="J9" s="33">
        <f>$C$29*('E Balans VL '!D10+'E Balans VL '!E10)/100/3.6*1000000</f>
        <v>0</v>
      </c>
      <c r="K9" s="33"/>
      <c r="L9" s="33"/>
      <c r="M9" s="33"/>
      <c r="N9" s="33">
        <f>$C$29*'E Balans VL '!Y10/100/3.6*1000000</f>
        <v>4.6718800633352044</v>
      </c>
      <c r="O9" s="33"/>
      <c r="P9" s="33"/>
      <c r="R9" s="32"/>
    </row>
    <row r="10" spans="1:18">
      <c r="A10" s="32" t="s">
        <v>49</v>
      </c>
      <c r="B10" s="37">
        <f t="shared" si="0"/>
        <v>876.93299999999999</v>
      </c>
      <c r="C10" s="33"/>
      <c r="D10" s="37">
        <f>IF(ISERROR(TER_ander_gas_kWh/1000),0,TER_ander_gas_kWh/1000)*0.902</f>
        <v>159.316652</v>
      </c>
      <c r="E10" s="33">
        <f>$C$30*'E Balans VL '!I14/100/3.6*1000000</f>
        <v>5.3458052043025939</v>
      </c>
      <c r="F10" s="33">
        <f>$C$30*('E Balans VL '!L14+'E Balans VL '!N14)/100/3.6*1000000</f>
        <v>232.48695091944933</v>
      </c>
      <c r="G10" s="34"/>
      <c r="H10" s="33"/>
      <c r="I10" s="33"/>
      <c r="J10" s="33">
        <f>$C$30*('E Balans VL '!D14+'E Balans VL '!E14)/100/3.6*1000000</f>
        <v>0</v>
      </c>
      <c r="K10" s="33"/>
      <c r="L10" s="33"/>
      <c r="M10" s="33"/>
      <c r="N10" s="33">
        <f>$C$30*'E Balans VL '!Y14/100/3.6*1000000</f>
        <v>202.11410737260567</v>
      </c>
      <c r="O10" s="33"/>
      <c r="P10" s="33"/>
      <c r="R10" s="32"/>
    </row>
    <row r="11" spans="1:18">
      <c r="A11" s="32" t="s">
        <v>54</v>
      </c>
      <c r="B11" s="37">
        <f t="shared" si="0"/>
        <v>49.040999999999997</v>
      </c>
      <c r="C11" s="33"/>
      <c r="D11" s="37">
        <f>IF(ISERROR(TER_onderwijs_gas_kWh/1000),0,TER_onderwijs_gas_kWh/1000)*0.902</f>
        <v>0</v>
      </c>
      <c r="E11" s="33">
        <f>$C$31*'E Balans VL '!I11/100/3.6*1000000</f>
        <v>3.7371795591846994E-2</v>
      </c>
      <c r="F11" s="33">
        <f>$C$31*('E Balans VL '!L11+'E Balans VL '!N11)/100/3.6*1000000</f>
        <v>35.488755158623469</v>
      </c>
      <c r="G11" s="34"/>
      <c r="H11" s="33"/>
      <c r="I11" s="33"/>
      <c r="J11" s="33">
        <f>$C$31*('E Balans VL '!D11+'E Balans VL '!E11)/100/3.6*1000000</f>
        <v>0</v>
      </c>
      <c r="K11" s="33"/>
      <c r="L11" s="33"/>
      <c r="M11" s="33"/>
      <c r="N11" s="33">
        <f>$C$31*'E Balans VL '!Y11/100/3.6*1000000</f>
        <v>0.14453554758542789</v>
      </c>
      <c r="O11" s="33"/>
      <c r="P11" s="33"/>
      <c r="R11" s="32"/>
    </row>
    <row r="12" spans="1:18">
      <c r="A12" s="32" t="s">
        <v>249</v>
      </c>
      <c r="B12" s="37">
        <f t="shared" si="0"/>
        <v>0</v>
      </c>
      <c r="C12" s="33"/>
      <c r="D12" s="37">
        <f>IF(ISERROR(TER_rest_gas_kWh/1000),0,TER_rest_gas_kWh/1000)*0.902</f>
        <v>243.59772800000002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4192.6750000000002</v>
      </c>
      <c r="C16" s="21">
        <f ca="1">C5+C13+C14</f>
        <v>0</v>
      </c>
      <c r="D16" s="21">
        <f t="shared" ref="D16:N16" ca="1" si="1">MAX((D5+D13+D14),0)</f>
        <v>2168.3782340000002</v>
      </c>
      <c r="E16" s="21">
        <f t="shared" si="1"/>
        <v>60.511031383031799</v>
      </c>
      <c r="F16" s="21">
        <f t="shared" ca="1" si="1"/>
        <v>827.98383849132301</v>
      </c>
      <c r="G16" s="21">
        <f t="shared" si="1"/>
        <v>0</v>
      </c>
      <c r="H16" s="21">
        <f t="shared" si="1"/>
        <v>0</v>
      </c>
      <c r="I16" s="21">
        <f t="shared" si="1"/>
        <v>0</v>
      </c>
      <c r="J16" s="21">
        <f t="shared" si="1"/>
        <v>0</v>
      </c>
      <c r="K16" s="21">
        <f t="shared" si="1"/>
        <v>0</v>
      </c>
      <c r="L16" s="21">
        <f t="shared" ca="1" si="1"/>
        <v>0</v>
      </c>
      <c r="M16" s="21">
        <f t="shared" si="1"/>
        <v>0</v>
      </c>
      <c r="N16" s="21">
        <f t="shared" ca="1" si="1"/>
        <v>212.82479073635733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0.19917951786332863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835.09498505763145</v>
      </c>
      <c r="C20" s="23">
        <f t="shared" ref="C20:P20" ca="1" si="2">C16*C18</f>
        <v>0</v>
      </c>
      <c r="D20" s="23">
        <f t="shared" ca="1" si="2"/>
        <v>438.01240326800007</v>
      </c>
      <c r="E20" s="23">
        <f t="shared" si="2"/>
        <v>13.736004123948218</v>
      </c>
      <c r="F20" s="23">
        <f t="shared" ca="1" si="2"/>
        <v>221.07168487718326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662.60500000000002</v>
      </c>
      <c r="C26" s="39">
        <f>IF(ISERROR(B26*3.6/1000000/'E Balans VL '!Z12*100),0,B26*3.6/1000000/'E Balans VL '!Z12*100)</f>
        <v>1.3943423377320418E-2</v>
      </c>
      <c r="D26" s="234" t="s">
        <v>700</v>
      </c>
      <c r="F26" s="6"/>
    </row>
    <row r="27" spans="1:18">
      <c r="A27" s="229" t="s">
        <v>52</v>
      </c>
      <c r="B27" s="33">
        <f>IF(ISERROR(TER_horeca_ele_kWh/1000),0,TER_horeca_ele_kWh/1000)</f>
        <v>411.78500000000003</v>
      </c>
      <c r="C27" s="39">
        <f>IF(ISERROR(B27*3.6/1000000/'E Balans VL '!Z9*100),0,B27*3.6/1000000/'E Balans VL '!Z9*100)</f>
        <v>3.4864678844865528E-2</v>
      </c>
      <c r="D27" s="234" t="s">
        <v>700</v>
      </c>
      <c r="F27" s="6"/>
    </row>
    <row r="28" spans="1:18">
      <c r="A28" s="169" t="s">
        <v>51</v>
      </c>
      <c r="B28" s="33">
        <f>IF(ISERROR(TER_handel_ele_kWh/1000),0,TER_handel_ele_kWh/1000)</f>
        <v>1651.739</v>
      </c>
      <c r="C28" s="39">
        <f>IF(ISERROR(B28*3.6/1000000/'E Balans VL '!Z13*100),0,B28*3.6/1000000/'E Balans VL '!Z13*100)</f>
        <v>4.5728165814107317E-2</v>
      </c>
      <c r="D28" s="234" t="s">
        <v>700</v>
      </c>
      <c r="F28" s="6"/>
    </row>
    <row r="29" spans="1:18">
      <c r="A29" s="229" t="s">
        <v>50</v>
      </c>
      <c r="B29" s="33">
        <f>IF(ISERROR(TER_gezond_ele_kWh/1000),0,TER_gezond_ele_kWh/1000)</f>
        <v>540.572</v>
      </c>
      <c r="C29" s="39">
        <f>IF(ISERROR(B29*3.6/1000000/'E Balans VL '!Z10*100),0,B29*3.6/1000000/'E Balans VL '!Z10*100)</f>
        <v>7.0268367060664888E-2</v>
      </c>
      <c r="D29" s="234" t="s">
        <v>700</v>
      </c>
      <c r="F29" s="6"/>
    </row>
    <row r="30" spans="1:18">
      <c r="A30" s="229" t="s">
        <v>49</v>
      </c>
      <c r="B30" s="33">
        <f>IF(ISERROR(TER_ander_ele_kWh/1000),0,TER_ander_ele_kWh/1000)</f>
        <v>876.93299999999999</v>
      </c>
      <c r="C30" s="39">
        <f>IF(ISERROR(B30*3.6/1000000/'E Balans VL '!Z14*100),0,B30*3.6/1000000/'E Balans VL '!Z14*100)</f>
        <v>6.7970349589953433E-2</v>
      </c>
      <c r="D30" s="234" t="s">
        <v>700</v>
      </c>
      <c r="F30" s="6"/>
    </row>
    <row r="31" spans="1:18">
      <c r="A31" s="229" t="s">
        <v>54</v>
      </c>
      <c r="B31" s="33">
        <f>IF(ISERROR(TER_onderwijs_ele_kWh/1000),0,TER_onderwijs_ele_kWh/1000)</f>
        <v>49.040999999999997</v>
      </c>
      <c r="C31" s="39">
        <f>IF(ISERROR(B31*3.6/1000000/'E Balans VL '!Z11*100),0,B31*3.6/1000000/'E Balans VL '!Z11*100)</f>
        <v>9.382378940956046E-3</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732.31399999999996</v>
      </c>
      <c r="C5" s="17">
        <f>IF(ISERROR('Eigen informatie GS &amp; warmtenet'!B59),0,'Eigen informatie GS &amp; warmtenet'!B59)</f>
        <v>0</v>
      </c>
      <c r="D5" s="30">
        <f>SUM(D6:D15)</f>
        <v>170.87758599999998</v>
      </c>
      <c r="E5" s="17">
        <f>SUM(E6:E15)</f>
        <v>10.00664332760768</v>
      </c>
      <c r="F5" s="17">
        <f>SUM(F6:F15)</f>
        <v>401.50150820483123</v>
      </c>
      <c r="G5" s="18"/>
      <c r="H5" s="17"/>
      <c r="I5" s="17"/>
      <c r="J5" s="17">
        <f>SUM(J6:J15)</f>
        <v>3.1601082087310819</v>
      </c>
      <c r="K5" s="17"/>
      <c r="L5" s="17"/>
      <c r="M5" s="17"/>
      <c r="N5" s="17">
        <f>SUM(N6:N15)</f>
        <v>37.153868347377525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122.62</v>
      </c>
      <c r="C8" s="33"/>
      <c r="D8" s="37">
        <f>IF( ISERROR(IND_metaal_Gas_kWH/1000),0,IND_metaal_Gas_kWH/1000)*0.902</f>
        <v>0</v>
      </c>
      <c r="E8" s="33">
        <f>C30*'E Balans VL '!I18/100/3.6*1000000</f>
        <v>0.86162368512421628</v>
      </c>
      <c r="F8" s="33">
        <f>C30*'E Balans VL '!L18/100/3.6*1000000+C30*'E Balans VL '!N18/100/3.6*1000000</f>
        <v>13.462958602387602</v>
      </c>
      <c r="G8" s="34"/>
      <c r="H8" s="33"/>
      <c r="I8" s="33"/>
      <c r="J8" s="40">
        <f>C30*'E Balans VL '!D18/100/3.6*1000000+C30*'E Balans VL '!E18/100/3.6*1000000</f>
        <v>2.5299148941391327</v>
      </c>
      <c r="K8" s="33"/>
      <c r="L8" s="33"/>
      <c r="M8" s="33"/>
      <c r="N8" s="33">
        <f>C30*'E Balans VL '!Y18/100/3.6*1000000</f>
        <v>0.4595885910829276</v>
      </c>
      <c r="O8" s="33"/>
      <c r="P8" s="33"/>
      <c r="R8" s="32"/>
    </row>
    <row r="9" spans="1:18">
      <c r="A9" s="6" t="s">
        <v>32</v>
      </c>
      <c r="B9" s="37">
        <f t="shared" si="0"/>
        <v>466.90899999999999</v>
      </c>
      <c r="C9" s="33"/>
      <c r="D9" s="37">
        <f>IF( ISERROR(IND_andere_gas_kWh/1000),0,IND_andere_gas_kWh/1000)*0.902</f>
        <v>142.41677999999999</v>
      </c>
      <c r="E9" s="33">
        <f>C31*'E Balans VL '!I19/100/3.6*1000000</f>
        <v>7.8423086367873616</v>
      </c>
      <c r="F9" s="33">
        <f>C31*'E Balans VL '!L19/100/3.6*1000000+C31*'E Balans VL '!N19/100/3.6*1000000</f>
        <v>365.00286304900612</v>
      </c>
      <c r="G9" s="34"/>
      <c r="H9" s="33"/>
      <c r="I9" s="33"/>
      <c r="J9" s="40">
        <f>C31*'E Balans VL '!D19/100/3.6*1000000+C31*'E Balans VL '!E19/100/3.6*1000000</f>
        <v>4.2111070214537319E-2</v>
      </c>
      <c r="K9" s="33"/>
      <c r="L9" s="33"/>
      <c r="M9" s="33"/>
      <c r="N9" s="33">
        <f>C31*'E Balans VL '!Y19/100/3.6*1000000</f>
        <v>34.605447795427033</v>
      </c>
      <c r="O9" s="33"/>
      <c r="P9" s="33"/>
      <c r="R9" s="32"/>
    </row>
    <row r="10" spans="1:18">
      <c r="A10" s="6" t="s">
        <v>40</v>
      </c>
      <c r="B10" s="37">
        <f t="shared" si="0"/>
        <v>142.785</v>
      </c>
      <c r="C10" s="33"/>
      <c r="D10" s="37">
        <f>IF( ISERROR(IND_voed_gas_kWh/1000),0,IND_voed_gas_kWh/1000)*0.902</f>
        <v>0</v>
      </c>
      <c r="E10" s="33">
        <f>C32*'E Balans VL '!I20/100/3.6*1000000</f>
        <v>1.3027110056961024</v>
      </c>
      <c r="F10" s="33">
        <f>C32*'E Balans VL '!L20/100/3.6*1000000+C32*'E Balans VL '!N20/100/3.6*1000000</f>
        <v>23.035686553437461</v>
      </c>
      <c r="G10" s="34"/>
      <c r="H10" s="33"/>
      <c r="I10" s="33"/>
      <c r="J10" s="40">
        <f>C32*'E Balans VL '!D20/100/3.6*1000000+C32*'E Balans VL '!E20/100/3.6*1000000</f>
        <v>0.58808224437741152</v>
      </c>
      <c r="K10" s="33"/>
      <c r="L10" s="33"/>
      <c r="M10" s="33"/>
      <c r="N10" s="33">
        <f>C32*'E Balans VL '!Y20/100/3.6*1000000</f>
        <v>2.0888319608675654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ISERROR(IND_rest_gas_kWh/1000),0,IND_rest_gas_kWh/1000)*0.902</f>
        <v>28.460806000000002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732.31399999999996</v>
      </c>
      <c r="C18" s="21">
        <f>C5+C16</f>
        <v>0</v>
      </c>
      <c r="D18" s="21">
        <f>MAX((D5+D16),0)</f>
        <v>170.87758599999998</v>
      </c>
      <c r="E18" s="21">
        <f>MAX((E5+E16),0)</f>
        <v>10.00664332760768</v>
      </c>
      <c r="F18" s="21">
        <f>MAX((F5+F16),0)</f>
        <v>401.50150820483123</v>
      </c>
      <c r="G18" s="21"/>
      <c r="H18" s="21"/>
      <c r="I18" s="21"/>
      <c r="J18" s="21">
        <f>MAX((J5+J16),0)</f>
        <v>3.1601082087310819</v>
      </c>
      <c r="K18" s="21"/>
      <c r="L18" s="21">
        <f>MAX((L5+L16),0)</f>
        <v>0</v>
      </c>
      <c r="M18" s="21"/>
      <c r="N18" s="21">
        <f>MAX((N5+N16),0)</f>
        <v>37.153868347377525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0.19917951786332863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145.86194944456562</v>
      </c>
      <c r="C22" s="23">
        <f ca="1">C18*C20</f>
        <v>0</v>
      </c>
      <c r="D22" s="23">
        <f>D18*D20</f>
        <v>34.517272372000001</v>
      </c>
      <c r="E22" s="23">
        <f>E18*E20</f>
        <v>2.2715080353669435</v>
      </c>
      <c r="F22" s="23">
        <f>F18*F20</f>
        <v>107.20090269068994</v>
      </c>
      <c r="G22" s="23"/>
      <c r="H22" s="23"/>
      <c r="I22" s="23"/>
      <c r="J22" s="23">
        <f>J18*J20</f>
        <v>1.118678305890803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122.62</v>
      </c>
      <c r="C30" s="39">
        <f>IF(ISERROR(B30*3.6/1000000/'E Balans VL '!Z18*100),0,B30*3.6/1000000/'E Balans VL '!Z18*100)</f>
        <v>8.1628882780466483E-3</v>
      </c>
      <c r="D30" s="234" t="s">
        <v>700</v>
      </c>
    </row>
    <row r="31" spans="1:18">
      <c r="A31" s="6" t="s">
        <v>32</v>
      </c>
      <c r="B31" s="37">
        <f>IF( ISERROR(IND_ander_ele_kWh/1000),0,IND_ander_ele_kWh/1000)</f>
        <v>466.90899999999999</v>
      </c>
      <c r="C31" s="39">
        <f>IF(ISERROR(B31*3.6/1000000/'E Balans VL '!Z19*100),0,B31*3.6/1000000/'E Balans VL '!Z19*100)</f>
        <v>2.0696225634448378E-2</v>
      </c>
      <c r="D31" s="234" t="s">
        <v>700</v>
      </c>
    </row>
    <row r="32" spans="1:18">
      <c r="A32" s="169" t="s">
        <v>40</v>
      </c>
      <c r="B32" s="37">
        <f>IF( ISERROR(IND_voed_ele_kWh/1000),0,IND_voed_ele_kWh/1000)</f>
        <v>142.785</v>
      </c>
      <c r="C32" s="39">
        <f>IF(ISERROR(B32*3.6/1000000/'E Balans VL '!Z20*100),0,B32*3.6/1000000/'E Balans VL '!Z20*100)</f>
        <v>4.7694285971527682E-3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0</v>
      </c>
      <c r="C37" s="39">
        <f>IF(ISERROR(B37*3.6/1000000/'E Balans VL '!Z15*100),0,B37*3.6/1000000/'E Balans VL '!Z15*100)</f>
        <v>0</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4142.26</v>
      </c>
      <c r="C5" s="17">
        <f>'Eigen informatie GS &amp; warmtenet'!B60</f>
        <v>0</v>
      </c>
      <c r="D5" s="30">
        <f>IF(ISERROR(SUM(LB_lb_gas_kWh,LB_rest_gas_kWh)/1000),0,SUM(LB_lb_gas_kWh,LB_rest_gas_kWh)/1000)*0.902</f>
        <v>27.234086000000001</v>
      </c>
      <c r="E5" s="17">
        <f>B17*'E Balans VL '!I25/3.6*1000000/100</f>
        <v>43.378643482720229</v>
      </c>
      <c r="F5" s="17">
        <f>B17*('E Balans VL '!L25/3.6*1000000+'E Balans VL '!N25/3.6*1000000)/100</f>
        <v>17732.020249146939</v>
      </c>
      <c r="G5" s="18"/>
      <c r="H5" s="17"/>
      <c r="I5" s="17"/>
      <c r="J5" s="17">
        <f>('E Balans VL '!D25+'E Balans VL '!E25)/3.6*1000000*landbouw!B17/100</f>
        <v>369.94094570976608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4142.26</v>
      </c>
      <c r="C8" s="21">
        <f>C5+C6</f>
        <v>0</v>
      </c>
      <c r="D8" s="21">
        <f>MAX((D5+D6),0)</f>
        <v>27.234086000000001</v>
      </c>
      <c r="E8" s="21">
        <f>MAX((E5+E6),0)</f>
        <v>43.378643482720229</v>
      </c>
      <c r="F8" s="21">
        <f>MAX((F5+F6),0)</f>
        <v>17732.020249146939</v>
      </c>
      <c r="G8" s="21"/>
      <c r="H8" s="21"/>
      <c r="I8" s="21"/>
      <c r="J8" s="21">
        <f>MAX((J5+J6),0)</f>
        <v>369.94094570976608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0.19917951786332863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825.05334966455166</v>
      </c>
      <c r="C12" s="23">
        <f ca="1">C8*C10</f>
        <v>0</v>
      </c>
      <c r="D12" s="23">
        <f>D8*D10</f>
        <v>5.5012853720000008</v>
      </c>
      <c r="E12" s="23">
        <f>E8*E10</f>
        <v>9.8469520705774922</v>
      </c>
      <c r="F12" s="23">
        <f>F8*F10</f>
        <v>4734.4494065222334</v>
      </c>
      <c r="G12" s="23"/>
      <c r="H12" s="23"/>
      <c r="I12" s="23"/>
      <c r="J12" s="23">
        <f>J8*J10</f>
        <v>130.95909478125719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0.63757377439455598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66.099519207862357</v>
      </c>
      <c r="C26" s="244">
        <f>B26*'GWP N2O_CH4'!B5</f>
        <v>1388.0899033651094</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19.852743390285095</v>
      </c>
      <c r="C27" s="244">
        <f>B27*'GWP N2O_CH4'!B5</f>
        <v>416.90761119598699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1.1835061192600387</v>
      </c>
      <c r="C28" s="244">
        <f>B28*'GWP N2O_CH4'!B4</f>
        <v>366.88689697061199</v>
      </c>
      <c r="D28" s="50"/>
    </row>
    <row r="29" spans="1:4">
      <c r="A29" s="41" t="s">
        <v>266</v>
      </c>
      <c r="B29" s="244">
        <f>B34*'ha_N2O bodem landbouw'!B4</f>
        <v>11.633201638990823</v>
      </c>
      <c r="C29" s="244">
        <f>B29*'GWP N2O_CH4'!B4</f>
        <v>3606.2925080871551</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1.9225393577856154E-3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1.0006994764060494E-6</v>
      </c>
      <c r="C5" s="433" t="s">
        <v>204</v>
      </c>
      <c r="D5" s="418">
        <f>SUM(D6:D11)</f>
        <v>4.4847274926420465E-6</v>
      </c>
      <c r="E5" s="418">
        <f>SUM(E6:E11)</f>
        <v>4.4768220871366519E-4</v>
      </c>
      <c r="F5" s="431" t="s">
        <v>204</v>
      </c>
      <c r="G5" s="418">
        <f>SUM(G6:G11)</f>
        <v>6.6661871456410976E-2</v>
      </c>
      <c r="H5" s="418">
        <f>SUM(H6:H11)</f>
        <v>1.432650326613305E-2</v>
      </c>
      <c r="I5" s="433" t="s">
        <v>204</v>
      </c>
      <c r="J5" s="433" t="s">
        <v>204</v>
      </c>
      <c r="K5" s="433" t="s">
        <v>204</v>
      </c>
      <c r="L5" s="433" t="s">
        <v>204</v>
      </c>
      <c r="M5" s="418">
        <f>SUM(M6:M11)</f>
        <v>3.5311168850009804E-3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3.574467012273922E-7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1.1317552422971199E-6</v>
      </c>
      <c r="E6" s="421">
        <f>vkm_GW_PW*SUMIFS(TableVerdeelsleutelVkm[LPG],TableVerdeelsleutelVkm[Voertuigtype],"Lichte voertuigen")*SUMIFS(TableECFTransport[EnergieConsumptieFactor (PJ per km)],TableECFTransport[Index],CONCATENATE($A6,"_LPG_LPG"))</f>
        <v>1.1793873757100982E-4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1.5709469245696588E-2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3.7686677512541854E-3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8.5020421913696164E-4</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1.846073105421564E-8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8.3216759760796639E-3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2.253092216097075E-7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3.5850126151717776E-4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6.2311871744150559E-7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3.3529722503449269E-6</v>
      </c>
      <c r="E8" s="421">
        <f>vkm_NGW_PW*SUMIFS(TableVerdeelsleutelVkm[LPG],TableVerdeelsleutelVkm[Voertuigtype],"Lichte voertuigen")*SUMIFS(TableECFTransport[EnergieConsumptieFactor (PJ per km)],TableECFTransport[Index],CONCATENATE($A8,"_LPG_LPG"))</f>
        <v>3.297434711426554E-4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4.1585905797824792E-2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1.0557585555070881E-2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2.2774002728882786E-3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1.6733266829358614E-9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1.0448204368099219E-3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2.4650586375010348E-8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4.5011131458562629E-5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0.27797207677945818</v>
      </c>
      <c r="C14" s="21"/>
      <c r="D14" s="21">
        <f t="shared" ref="D14:M14" si="0">((D5)*10^9/3600)+D12</f>
        <v>1.245757636845013</v>
      </c>
      <c r="E14" s="21">
        <f t="shared" si="0"/>
        <v>124.35616908712922</v>
      </c>
      <c r="F14" s="21"/>
      <c r="G14" s="21">
        <f t="shared" si="0"/>
        <v>18517.186515669717</v>
      </c>
      <c r="H14" s="21">
        <f t="shared" si="0"/>
        <v>3979.5842405925141</v>
      </c>
      <c r="I14" s="21"/>
      <c r="J14" s="21"/>
      <c r="K14" s="21"/>
      <c r="L14" s="21"/>
      <c r="M14" s="21">
        <f t="shared" si="0"/>
        <v>980.86580138916122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0.19917951786332863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5.5366344232400645E-2</v>
      </c>
      <c r="C18" s="23"/>
      <c r="D18" s="23">
        <f t="shared" ref="D18:M18" si="1">D14*D16</f>
        <v>0.2516430426426926</v>
      </c>
      <c r="E18" s="23">
        <f t="shared" si="1"/>
        <v>28.228850382778333</v>
      </c>
      <c r="F18" s="23"/>
      <c r="G18" s="23">
        <f t="shared" si="1"/>
        <v>4944.0887996838146</v>
      </c>
      <c r="H18" s="23">
        <f t="shared" si="1"/>
        <v>990.91647590753598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1.7754755576812125E-5</v>
      </c>
      <c r="C50" s="315">
        <f t="shared" ref="C50:P50" si="2">SUM(C51:C52)</f>
        <v>0</v>
      </c>
      <c r="D50" s="315">
        <f t="shared" si="2"/>
        <v>0</v>
      </c>
      <c r="E50" s="315">
        <f t="shared" si="2"/>
        <v>0</v>
      </c>
      <c r="F50" s="315">
        <f t="shared" si="2"/>
        <v>0</v>
      </c>
      <c r="G50" s="315">
        <f t="shared" si="2"/>
        <v>3.8517159671582852E-3</v>
      </c>
      <c r="H50" s="315">
        <f t="shared" si="2"/>
        <v>0</v>
      </c>
      <c r="I50" s="315">
        <f t="shared" si="2"/>
        <v>0</v>
      </c>
      <c r="J50" s="315">
        <f t="shared" si="2"/>
        <v>0</v>
      </c>
      <c r="K50" s="315">
        <f t="shared" si="2"/>
        <v>0</v>
      </c>
      <c r="L50" s="315">
        <f t="shared" si="2"/>
        <v>0</v>
      </c>
      <c r="M50" s="315">
        <f t="shared" si="2"/>
        <v>1.6491568231350384E-4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1.7754755576812125E-5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3.8517159671582852E-3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1.6491568231350384E-4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4.9318765491144791</v>
      </c>
      <c r="C54" s="21">
        <f t="shared" ref="C54:P54" si="3">(C50)*10^9/3600</f>
        <v>0</v>
      </c>
      <c r="D54" s="21">
        <f t="shared" si="3"/>
        <v>0</v>
      </c>
      <c r="E54" s="21">
        <f t="shared" si="3"/>
        <v>0</v>
      </c>
      <c r="F54" s="21">
        <f t="shared" si="3"/>
        <v>0</v>
      </c>
      <c r="G54" s="21">
        <f t="shared" si="3"/>
        <v>1069.9211019884126</v>
      </c>
      <c r="H54" s="21">
        <f t="shared" si="3"/>
        <v>0</v>
      </c>
      <c r="I54" s="21">
        <f t="shared" si="3"/>
        <v>0</v>
      </c>
      <c r="J54" s="21">
        <f t="shared" si="3"/>
        <v>0</v>
      </c>
      <c r="K54" s="21">
        <f t="shared" si="3"/>
        <v>0</v>
      </c>
      <c r="L54" s="21">
        <f t="shared" si="3"/>
        <v>0</v>
      </c>
      <c r="M54" s="21">
        <f t="shared" si="3"/>
        <v>45.809911753751066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0.19917951786332863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0.98232879321407895</v>
      </c>
      <c r="C58" s="23">
        <f t="shared" ref="C58:P58" ca="1" si="4">C54*C56</f>
        <v>0</v>
      </c>
      <c r="D58" s="23">
        <f t="shared" si="4"/>
        <v>0</v>
      </c>
      <c r="E58" s="23">
        <f t="shared" si="4"/>
        <v>0</v>
      </c>
      <c r="F58" s="23">
        <f t="shared" si="4"/>
        <v>0</v>
      </c>
      <c r="G58" s="23">
        <f t="shared" si="4"/>
        <v>285.66893423090619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2296.0425205312822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2296.0425205312822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2021-11-11T13:50:06Z</dcterms:modified>
</cp:coreProperties>
</file>