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4FB450EA-AD7E-4516-8DE2-D5A59FFA8A2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D20" i="18"/>
  <c r="G12" i="18"/>
  <c r="F12" i="18"/>
  <c r="E12" i="18"/>
  <c r="D12" i="18"/>
  <c r="C12" i="18"/>
  <c r="L10" i="18"/>
  <c r="K10" i="18"/>
  <c r="G10" i="18"/>
  <c r="D10" i="18"/>
  <c r="B6" i="18"/>
  <c r="B5" i="18"/>
  <c r="B4" i="18"/>
  <c r="G20" i="18" l="1"/>
  <c r="K20" i="18"/>
  <c r="B48" i="18"/>
  <c r="I52" i="18" s="1"/>
  <c r="H17" i="18" s="1"/>
  <c r="J9" i="18"/>
  <c r="O9" i="18" s="1"/>
  <c r="B17" i="18"/>
  <c r="B20" i="18" s="1"/>
  <c r="C48" i="18"/>
  <c r="H51" i="18" s="1"/>
  <c r="O19" i="18"/>
  <c r="O18" i="18"/>
  <c r="L20" i="18"/>
  <c r="B10" i="18"/>
  <c r="D52"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2" i="18"/>
  <c r="C17" i="18" s="1"/>
  <c r="D87" i="14" s="1"/>
  <c r="D17" i="55" s="1"/>
  <c r="D20" i="55" s="1"/>
  <c r="L20" i="55"/>
  <c r="F52" i="18"/>
  <c r="J77" i="14"/>
  <c r="J9" i="55" s="1"/>
  <c r="H52" i="18"/>
  <c r="H20" i="18"/>
  <c r="M87" i="14"/>
  <c r="M17" i="55" s="1"/>
  <c r="M20" i="55" s="1"/>
  <c r="C52" i="18"/>
  <c r="E52" i="18"/>
  <c r="E17" i="18" s="1"/>
  <c r="G52" i="18"/>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<sst xmlns="http://schemas.openxmlformats.org/spreadsheetml/2006/main" count="2594" uniqueCount="982">
  <si>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</si>
  <si>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</si>
  <si>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</si>
  <si>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</si>
  <si>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</si>
  <si>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</si>
  <si>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</si>
  <si>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</si>
  <si>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</si>
  <si>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</si>
  <si>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</si>
  <si>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</si>
  <si>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</si>
  <si>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</si>
  <si>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</si>
  <si>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</si>
  <si>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</si>
  <si>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</si>
  <si>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</si>
  <si>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</si>
  <si>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</si>
  <si>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</si>
  <si>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</si>
  <si>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</si>
  <si>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</si>
  <si>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</si>
  <si>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</si>
  <si>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</si>
  <si>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</si>
  <si>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</si>
  <si>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</si>
  <si>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</si>
  <si>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</si>
  <si>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</si>
  <si>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</si>
  <si>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</si>
  <si>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</si>
  <si>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</si>
  <si>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</si>
  <si>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</si>
  <si>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</si>
  <si>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</si>
  <si>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</si>
  <si>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</si>
  <si>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</si>
  <si>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</si>
  <si>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</si>
  <si>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</si>
  <si>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</si>
  <si>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</si>
  <si>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</si>
  <si>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</si>
  <si>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</si>
  <si>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</si>
  <si>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</si>
  <si>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</si>
  <si>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</si>
  <si>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</si>
  <si>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</si>
  <si>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</si>
  <si>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</si>
  <si>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</si>
  <si>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</si>
  <si>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</si>
  <si>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</si>
  <si>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</si>
  <si>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</si>
  <si>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</si>
  <si>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</si>
  <si>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</si>
  <si>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</si>
  <si>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</si>
  <si>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</si>
  <si>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</si>
  <si>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</si>
  <si>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</si>
  <si>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</si>
  <si>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</si>
  <si>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</si>
  <si>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</si>
  <si>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</si>
  <si>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</si>
  <si>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</si>
  <si>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</si>
  <si>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</si>
  <si>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</si>
  <si>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</si>
  <si>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</si>
  <si>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</si>
  <si>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</si>
  <si>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</si>
  <si>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</si>
  <si>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</si>
  <si>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</si>
  <si>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</si>
  <si>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</si>
  <si>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</si>
  <si>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</si>
  <si>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</si>
  <si>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</si>
  <si>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</si>
  <si>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</si>
  <si>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</si>
  <si>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</si>
  <si>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</si>
  <si>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</si>
  <si>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</si>
  <si>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</si>
  <si>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</si>
  <si>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</si>
  <si>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</si>
  <si>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</si>
  <si>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</si>
  <si>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</si>
  <si>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</si>
  <si>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</si>
  <si>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</si>
  <si>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</si>
  <si>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</si>
  <si>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</si>
  <si>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</si>
  <si>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</si>
  <si>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</si>
  <si>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</si>
  <si>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</si>
  <si>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</si>
  <si>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</si>
  <si>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</si>
  <si>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</si>
  <si>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</si>
  <si>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</si>
  <si>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</si>
  <si>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</si>
  <si>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</si>
  <si>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</si>
  <si>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</si>
  <si>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</si>
  <si>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</si>
  <si>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</si>
  <si>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</si>
  <si>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</si>
  <si>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</si>
  <si>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</si>
  <si>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</si>
  <si>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</si>
  <si>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</si>
  <si>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</si>
  <si>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</si>
  <si>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</si>
  <si>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</si>
  <si>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</si>
  <si>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</si>
  <si>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</si>
  <si>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</si>
  <si>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</si>
  <si>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</si>
  <si>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</si>
  <si>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</si>
  <si>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</si>
  <si>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</si>
  <si>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</si>
  <si>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</si>
  <si>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</si>
  <si>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</si>
  <si>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</si>
  <si>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</si>
  <si>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</si>
  <si>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</si>
  <si>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</si>
  <si>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</si>
  <si>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</si>
  <si>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</si>
  <si>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</si>
  <si>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</si>
  <si>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</si>
  <si>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</si>
  <si>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</si>
  <si>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</si>
  <si>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</si>
  <si>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</si>
  <si>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</si>
  <si>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</si>
  <si>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</si>
  <si>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</si>
  <si>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</si>
  <si>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</si>
  <si>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</si>
  <si>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</si>
  <si>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</si>
  <si>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</si>
  <si>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</si>
  <si>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</si>
  <si>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</si>
  <si>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</si>
  <si>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</si>
  <si>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</si>
  <si>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</si>
  <si>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</si>
  <si>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</si>
  <si>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</si>
  <si>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</si>
  <si>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</si>
  <si>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</si>
  <si>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</si>
  <si>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</si>
  <si>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</si>
  <si>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</si>
  <si>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</si>
  <si>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</si>
  <si>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</si>
  <si>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</si>
  <si>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</si>
  <si>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</si>
  <si>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</si>
  <si>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</si>
  <si>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</si>
  <si>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</si>
  <si>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</si>
  <si>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</si>
  <si>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</si>
  <si>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</si>
  <si>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</si>
  <si>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</si>
  <si>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</si>
  <si>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</si>
  <si>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</si>
  <si>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</si>
  <si>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</si>
  <si>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</si>
  <si>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</si>
  <si>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</si>
  <si>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</si>
  <si>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</si>
  <si>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</si>
  <si>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</si>
  <si>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</si>
  <si>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</si>
  <si>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</si>
  <si>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</si>
  <si>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</si>
  <si>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</si>
  <si>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</si>
  <si>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</si>
  <si>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</si>
  <si>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</si>
  <si>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</si>
  <si>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</si>
  <si>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</si>
  <si>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</si>
  <si>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</si>
  <si>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</si>
  <si>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</si>
  <si>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</si>
  <si>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</si>
  <si>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</si>
  <si>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</si>
  <si>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</si>
  <si>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</si>
  <si>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</si>
  <si>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</si>
  <si>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</si>
  <si>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</si>
  <si>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</si>
  <si>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</si>
  <si>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</si>
  <si>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</si>
  <si>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</si>
  <si>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</si>
  <si>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</si>
  <si>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</si>
  <si>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</si>
  <si>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</si>
  <si>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</si>
  <si>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</si>
  <si>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</si>
  <si>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</si>
  <si>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</si>
  <si>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</si>
  <si>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</si>
  <si>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</si>
  <si>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</si>
  <si>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</si>
  <si>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</si>
  <si>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</si>
  <si>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</si>
  <si>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</si>
  <si>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</si>
  <si>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</si>
  <si>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</si>
  <si>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</si>
  <si>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</si>
  <si>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</si>
  <si>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</si>
  <si>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</si>
  <si>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</si>
  <si>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</si>
  <si>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</si>
  <si>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</si>
  <si>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</si>
  <si>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</si>
  <si>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</si>
  <si>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</si>
  <si>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</si>
  <si>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</si>
  <si>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</si>
  <si>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</si>
  <si>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</si>
  <si>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</si>
  <si>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</si>
  <si>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</si>
  <si>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</si>
  <si>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</si>
  <si>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</si>
  <si>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</si>
  <si>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</si>
  <si>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</si>
  <si>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</si>
  <si>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</si>
  <si>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</si>
  <si>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</si>
  <si>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</si>
  <si>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</si>
  <si>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</si>
  <si>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</si>
  <si>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</si>
  <si>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</si>
  <si>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</si>
  <si>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</si>
  <si>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</si>
  <si>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</si>
  <si>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</si>
  <si>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</si>
  <si>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</si>
  <si>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</si>
  <si>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</si>
  <si>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</si>
  <si>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</si>
  <si>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</si>
  <si>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</si>
  <si>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</si>
  <si>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</si>
  <si>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</si>
  <si>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</si>
  <si>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</si>
  <si>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</si>
  <si>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</si>
  <si>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</si>
  <si>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</si>
  <si>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</si>
  <si>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</si>
  <si>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</si>
  <si>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</si>
  <si>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</si>
  <si>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</si>
  <si>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</si>
  <si>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</si>
  <si>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</si>
  <si>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</si>
  <si>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</si>
  <si>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</si>
  <si>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</si>
  <si>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</si>
  <si>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</si>
  <si>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</si>
  <si>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</si>
  <si>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</si>
  <si>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</si>
  <si>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</si>
  <si>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</si>
  <si>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</si>
  <si>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</si>
  <si>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</si>
  <si>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</si>
  <si>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</si>
  <si>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</si>
  <si>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</si>
  <si>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</si>
  <si>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</si>
  <si>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</si>
  <si>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</si>
  <si>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</si>
  <si>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</si>
  <si>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</si>
  <si>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</si>
  <si>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</si>
  <si>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</si>
  <si>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</si>
  <si>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</si>
  <si>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</si>
  <si>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</si>
  <si>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</si>
  <si>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</si>
  <si>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</si>
  <si>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</si>
  <si>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</si>
  <si>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</si>
  <si>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</si>
  <si>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</si>
  <si>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</si>
  <si>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</si>
  <si>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</si>
  <si>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</si>
  <si>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</si>
  <si>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</si>
  <si>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</si>
  <si>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</si>
  <si>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</si>
  <si>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</si>
  <si>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</si>
  <si>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</si>
  <si>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</si>
  <si>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</si>
  <si>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</si>
  <si>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</si>
  <si>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</si>
  <si>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</si>
  <si>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</si>
  <si>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</si>
  <si>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</si>
  <si>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</si>
  <si>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</si>
  <si>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</si>
  <si>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</si>
  <si>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</si>
  <si>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</si>
  <si>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</si>
  <si>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</si>
  <si>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</si>
  <si>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</si>
  <si>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</si>
  <si>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</si>
  <si>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</si>
  <si>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</si>
  <si>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</si>
  <si>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</si>
  <si>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</si>
  <si>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</si>
  <si>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</si>
  <si>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</si>
  <si>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</si>
  <si>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</si>
  <si>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</si>
  <si>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</si>
  <si>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</si>
  <si>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</si>
  <si>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</si>
  <si>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</si>
  <si>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</si>
  <si>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</si>
  <si>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</si>
  <si>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</si>
  <si>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</si>
  <si>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</si>
  <si>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</si>
  <si>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</si>
  <si>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</si>
  <si>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</si>
  <si>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</si>
  <si>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</si>
  <si>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</si>
  <si>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</si>
  <si>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</si>
  <si>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</si>
  <si>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</si>
  <si>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</si>
  <si>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</si>
  <si>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</si>
  <si>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</si>
  <si>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</si>
  <si>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</si>
  <si>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</si>
  <si>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</si>
  <si>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</si>
  <si>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</si>
  <si>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</si>
  <si>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</si>
  <si>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</si>
  <si>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</si>
  <si>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</si>
  <si>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</si>
  <si>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</si>
  <si>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</si>
  <si>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</si>
  <si>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</si>
  <si>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</si>
  <si>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</si>
  <si>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</si>
  <si>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</si>
  <si>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</si>
  <si>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</si>
  <si>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</si>
  <si>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</si>
  <si>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</si>
  <si>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</si>
  <si>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</si>
  <si>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</si>
  <si>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</si>
  <si>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</si>
  <si>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</si>
  <si>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</si>
  <si>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</si>
  <si>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</si>
  <si>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</si>
  <si>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</si>
  <si>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</si>
  <si>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</si>
  <si>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</si>
  <si>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</si>
  <si>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</si>
  <si>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</si>
  <si>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</si>
  <si>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</si>
  <si>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</si>
  <si>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</si>
  <si>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</si>
  <si>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</si>
  <si>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</si>
  <si>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</si>
  <si>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</si>
  <si>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</si>
  <si>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</si>
  <si>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</si>
  <si>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</si>
  <si>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</si>
  <si>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</si>
  <si>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</si>
  <si>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</si>
  <si>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</si>
  <si>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</si>
  <si>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</si>
  <si>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</si>
  <si>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</si>
  <si>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</si>
  <si>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</si>
  <si>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</si>
  <si>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</si>
  <si>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</si>
  <si>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</si>
  <si>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</si>
  <si>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</si>
  <si>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</si>
  <si>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</si>
  <si>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</si>
  <si>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</si>
  <si>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</si>
  <si>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</si>
  <si>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</si>
  <si>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</si>
  <si>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</si>
  <si>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</si>
  <si>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</si>
  <si>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</si>
  <si>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</si>
  <si>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</si>
  <si>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</si>
  <si>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</si>
  <si>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</si>
  <si>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</si>
  <si>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</si>
  <si>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</si>
  <si>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</si>
  <si>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</si>
  <si>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</si>
  <si>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</si>
  <si>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</si>
  <si>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</si>
  <si>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</si>
  <si>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</si>
  <si>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</si>
  <si>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</si>
  <si>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</si>
  <si>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</si>
  <si>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</si>
  <si>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</si>
  <si>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</si>
  <si>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</si>
  <si>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</si>
  <si>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</si>
  <si>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</si>
  <si>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</si>
  <si>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</si>
  <si>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</si>
  <si>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</si>
  <si>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</si>
  <si>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</si>
  <si>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</si>
  <si>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</si>
  <si>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</si>
  <si>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</si>
  <si>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</si>
  <si>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</si>
  <si>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</si>
  <si>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</si>
  <si>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</si>
  <si>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</si>
  <si>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</si>
  <si>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</si>
  <si>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</si>
  <si>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</si>
  <si>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</si>
  <si>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</si>
  <si>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</si>
  <si>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</si>
  <si>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</si>
  <si>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</si>
  <si>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</si>
  <si>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</si>
  <si>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</si>
  <si>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</si>
  <si>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</si>
  <si>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</si>
  <si>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</si>
  <si>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</si>
  <si>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</si>
  <si>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</si>
  <si>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</si>
  <si>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</si>
  <si>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</si>
  <si>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</si>
  <si>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</si>
  <si>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</si>
  <si>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</si>
  <si>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</si>
  <si>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</si>
  <si>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</si>
  <si>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</si>
  <si>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</si>
  <si>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</si>
  <si>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</si>
  <si>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</si>
  <si>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</si>
  <si>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</si>
  <si>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</si>
  <si>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</si>
  <si>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</si>
  <si>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</si>
  <si>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</si>
  <si>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</si>
  <si>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</si>
  <si>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</si>
  <si>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</si>
  <si>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</si>
  <si>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</si>
  <si>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</si>
  <si>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</si>
  <si>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</si>
  <si>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</si>
  <si>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</si>
  <si>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</si>
  <si>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</si>
  <si>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</si>
  <si>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</si>
  <si>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</si>
  <si>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</si>
  <si>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</si>
  <si>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</si>
  <si>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</si>
  <si>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</si>
  <si>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</si>
  <si>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</si>
  <si>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</si>
  <si>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</si>
  <si>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</si>
  <si>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</si>
  <si>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</si>
  <si>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</si>
  <si>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</si>
  <si>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</si>
  <si>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</si>
  <si>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</si>
  <si>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</si>
  <si>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</si>
  <si>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</si>
  <si>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</si>
  <si>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</si>
  <si>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</si>
  <si>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</si>
  <si>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</si>
  <si>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</si>
  <si>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</si>
  <si>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</si>
  <si>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</si>
  <si>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</si>
  <si>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</si>
  <si>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</si>
  <si>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</si>
  <si>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</si>
  <si>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</si>
  <si>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</si>
  <si>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</si>
  <si>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</si>
  <si>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</si>
  <si>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</si>
  <si>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</si>
  <si>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</si>
  <si>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</si>
  <si>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</si>
  <si>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</si>
  <si>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</si>
  <si>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</si>
  <si>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</si>
  <si>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</si>
  <si>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</si>
  <si>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</si>
  <si>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</si>
  <si>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</si>
  <si>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</si>
  <si>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</si>
  <si>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</si>
  <si>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</si>
  <si>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</si>
  <si>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</si>
  <si>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</si>
  <si>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</si>
  <si>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</si>
  <si>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</si>
  <si>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</si>
  <si>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</si>
  <si>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</si>
  <si>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</si>
  <si>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</si>
  <si>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</si>
  <si>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</si>
  <si>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</si>
  <si>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</si>
  <si>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</si>
  <si>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</si>
  <si>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</si>
  <si>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</si>
  <si>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</si>
  <si>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</si>
  <si>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</si>
  <si>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</si>
  <si>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</si>
  <si>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</si>
  <si>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</si>
  <si>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</si>
  <si>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</si>
  <si>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</si>
  <si>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</si>
  <si>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</si>
  <si>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</si>
  <si>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</si>
  <si>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</si>
  <si>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</si>
  <si>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</si>
  <si>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</si>
  <si>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</si>
  <si>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</si>
  <si>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</si>
  <si>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</si>
  <si>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</si>
  <si>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</si>
  <si>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</si>
  <si>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</si>
  <si>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</si>
  <si>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</si>
  <si>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</si>
  <si>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</si>
  <si>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</si>
  <si>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</si>
  <si>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</si>
  <si>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</si>
  <si>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</si>
  <si>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</si>
  <si>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</si>
  <si>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</si>
  <si>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</si>
  <si>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</si>
  <si>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</si>
  <si>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</si>
  <si>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</si>
  <si>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</si>
  <si>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</si>
  <si>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</si>
  <si>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</si>
  <si>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</si>
  <si>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</si>
  <si>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</si>
  <si>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</si>
  <si>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</si>
  <si>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</si>
  <si>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</si>
  <si>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</si>
  <si>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</si>
  <si>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</si>
  <si>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</si>
  <si>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</si>
  <si>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</si>
  <si>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</si>
  <si>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</si>
  <si>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</si>
  <si>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</si>
  <si>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</si>
  <si>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</si>
  <si>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</si>
  <si>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</si>
  <si>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</si>
  <si>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</si>
  <si>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</si>
  <si>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</si>
  <si>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</si>
  <si>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</si>
  <si>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</si>
  <si>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</si>
  <si>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</si>
  <si>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</si>
  <si>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</si>
  <si>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</si>
  <si>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</si>
  <si>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</si>
  <si>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</si>
  <si>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</si>
  <si>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</si>
  <si>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</si>
  <si>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</si>
  <si>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</si>
  <si>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</si>
  <si>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</si>
  <si>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</si>
  <si>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</si>
  <si>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</si>
  <si>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</si>
  <si>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</si>
  <si>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</si>
  <si>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</si>
  <si>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</si>
  <si>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</si>
  <si>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</si>
  <si>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</si>
  <si>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</si>
  <si>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</si>
  <si>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</si>
  <si>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</si>
  <si>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</si>
  <si>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</si>
  <si>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</si>
  <si>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</si>
  <si>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</si>
  <si>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</si>
  <si>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</si>
  <si>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</si>
  <si>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</si>
  <si>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</si>
  <si>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</si>
  <si>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</si>
  <si>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</si>
  <si>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</si>
  <si>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</si>
  <si>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</si>
  <si>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</si>
  <si>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</si>
  <si>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</si>
  <si>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</si>
  <si>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</si>
  <si>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</si>
  <si>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</si>
  <si>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</si>
  <si>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</si>
  <si>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</si>
  <si>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</si>
  <si>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</si>
  <si>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</si>
  <si>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</si>
  <si>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</si>
  <si>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</si>
  <si>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</si>
  <si>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</si>
  <si>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</si>
  <si>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</si>
  <si>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</si>
  <si>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</si>
  <si>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</si>
  <si>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</si>
  <si>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</si>
  <si>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</si>
  <si>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</si>
  <si>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</si>
  <si>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</si>
  <si>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</si>
  <si>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</si>
  <si>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</si>
  <si>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</si>
  <si>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</si>
  <si>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</si>
  <si>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</si>
  <si>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</si>
  <si>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</si>
  <si>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</si>
  <si>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</si>
  <si>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</si>
  <si>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</si>
  <si>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</si>
  <si>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</si>
  <si>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</si>
  <si>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</si>
  <si>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</si>
  <si>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</si>
  <si>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</si>
  <si>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</si>
  <si>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</si>
  <si>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</si>
  <si>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</si>
  <si>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</si>
  <si>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</si>
  <si>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</si>
  <si>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</si>
  <si>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</si>
  <si>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</si>
  <si>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</si>
  <si>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</si>
  <si>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</si>
  <si>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</si>
  <si>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</si>
  <si>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</si>
  <si>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</si>
  <si>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</si>
  <si>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</si>
  <si>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</si>
  <si>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</si>
  <si>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</si>
  <si>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</si>
  <si>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</si>
  <si>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</si>
  <si>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</si>
  <si>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</si>
  <si>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</si>
  <si>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</si>
  <si>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</si>
  <si>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</si>
  <si>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</si>
  <si>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</si>
  <si>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</si>
  <si>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</si>
  <si>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</si>
  <si>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</si>
  <si>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</si>
  <si>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</si>
  <si>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</si>
  <si>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</si>
  <si>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</si>
  <si>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</si>
  <si>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</si>
  <si>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</si>
  <si>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</si>
  <si>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</si>
  <si>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</si>
  <si>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</si>
  <si>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</si>
  <si>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</si>
  <si>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</si>
  <si>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</si>
  <si>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</si>
  <si>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</si>
  <si>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</si>
  <si>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</si>
  <si>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</si>
  <si>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</si>
  <si>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</si>
  <si>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</si>
  <si>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</si>
  <si>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</si>
  <si>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</si>
  <si>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</si>
  <si>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</si>
  <si>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</si>
  <si>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</si>
  <si>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</si>
  <si>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</si>
  <si>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</si>
  <si>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</si>
  <si>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</si>
  <si>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Paarden&amp;pony's 200 - 600 kg</t>
  </si>
  <si>
    <t>Paarden&amp;pony's &lt; 200 kg</t>
  </si>
  <si>
    <t>Fluvius</t>
  </si>
  <si>
    <t xml:space="preserve">Bron: </t>
  </si>
  <si>
    <t>referentietaak LNE (2017); Jaarverslag De Lijn</t>
  </si>
  <si>
    <t>interne verbrandingsmotor</t>
  </si>
  <si>
    <t>WKK interne verbrandinsgmotor (gas)</t>
  </si>
  <si>
    <t>Inter-Energa</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</si>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</sst>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82169A4A-C932-4DD3-9F24-8388177425C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706</v>
      </c>
      <c r="B2" s="388"/>
      <c r="C2" s="389"/>
    </row>
    <row r="3" spans="1:7" s="11" customFormat="1" ht="15" customHeight="1">
      <c r="A3" s="93"/>
      <c r="B3" s="74"/>
      <c r="C3" s="94"/>
    </row>
    <row r="4" spans="1:7" s="11" customFormat="1" ht="15.75" customHeight="1" thickBot="1">
      <c r="A4" s="105" t="s">
        <v>935</v>
      </c>
      <c r="B4" s="106"/>
      <c r="C4" s="107"/>
    </row>
    <row r="5" spans="1:7" s="382" customFormat="1" ht="15.75" customHeight="1">
      <c r="A5" s="379" t="s">
        <v>0</v>
      </c>
      <c r="B5" s="380"/>
      <c r="C5" s="381"/>
    </row>
    <row r="6" spans="1:7" s="382" customFormat="1" ht="15" customHeight="1">
      <c r="A6" s="383" t="str">
        <f>txtNIS</f>
        <v>71022</v>
      </c>
      <c r="B6" s="384"/>
      <c r="C6" s="385"/>
    </row>
    <row r="7" spans="1:7" s="382" customFormat="1" ht="15.75" customHeight="1">
      <c r="A7" s="386" t="str">
        <f>txtMunicipality</f>
        <v>HASSELT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971</v>
      </c>
      <c r="B10" s="1050"/>
      <c r="C10" s="1051"/>
    </row>
    <row r="11" spans="1:7" s="376" customFormat="1" ht="15.75" thickBot="1">
      <c r="A11" s="399" t="s">
        <v>347</v>
      </c>
      <c r="B11" s="402"/>
      <c r="C11" s="403"/>
      <c r="G11" s="377"/>
    </row>
    <row r="12" spans="1:7">
      <c r="A12" s="44"/>
      <c r="B12" s="43"/>
      <c r="C12" s="96"/>
    </row>
    <row r="13" spans="1:7" s="376" customFormat="1">
      <c r="A13" s="753" t="s">
        <v>612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691</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569</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693</v>
      </c>
      <c r="C6" s="410" t="s">
        <v>345</v>
      </c>
    </row>
    <row r="7" spans="1:3" s="326" customFormat="1">
      <c r="A7" s="411" t="s">
        <v>692</v>
      </c>
      <c r="B7" s="412" t="s">
        <v>598</v>
      </c>
      <c r="C7" s="413" t="s">
        <v>597</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191813.022</v>
      </c>
      <c r="D10" s="674">
        <f ca="1">tertiair!C16</f>
        <v>1444.5</v>
      </c>
      <c r="E10" s="674">
        <f ca="1">tertiair!D16</f>
        <v>185438.02585400001</v>
      </c>
      <c r="F10" s="674">
        <f>tertiair!E16</f>
        <v>3738.8396514251058</v>
      </c>
      <c r="G10" s="674">
        <f ca="1">tertiair!F16</f>
        <v>34975.673383306406</v>
      </c>
      <c r="H10" s="674">
        <f>tertiair!G16</f>
        <v>0</v>
      </c>
      <c r="I10" s="674">
        <f>tertiair!H16</f>
        <v>0</v>
      </c>
      <c r="J10" s="674">
        <f>tertiair!I16</f>
        <v>0</v>
      </c>
      <c r="K10" s="674">
        <f>tertiair!J16</f>
        <v>0</v>
      </c>
      <c r="L10" s="674">
        <f>tertiair!K16</f>
        <v>0</v>
      </c>
      <c r="M10" s="674">
        <f ca="1">tertiair!L16</f>
        <v>0</v>
      </c>
      <c r="N10" s="674">
        <f>tertiair!M16</f>
        <v>0</v>
      </c>
      <c r="O10" s="674">
        <f ca="1">tertiair!N16</f>
        <v>520.17912276242259</v>
      </c>
      <c r="P10" s="674">
        <f>tertiair!O16</f>
        <v>1.5633333333333335</v>
      </c>
      <c r="Q10" s="675">
        <f>tertiair!P16</f>
        <v>152.53333333333333</v>
      </c>
      <c r="R10" s="677">
        <f ca="1">SUM(C10:Q10)</f>
        <v>418084.33667816059</v>
      </c>
      <c r="S10" s="67"/>
    </row>
    <row r="11" spans="1:19" s="443" customFormat="1">
      <c r="A11" s="789" t="s">
        <v>214</v>
      </c>
      <c r="B11" s="794"/>
      <c r="C11" s="674">
        <f>huishoudens!B8</f>
        <v>141331.00350271066</v>
      </c>
      <c r="D11" s="674">
        <f>huishoudens!C8</f>
        <v>0</v>
      </c>
      <c r="E11" s="674">
        <f>huishoudens!D8</f>
        <v>318078.84550200001</v>
      </c>
      <c r="F11" s="674">
        <f>huishoudens!E8</f>
        <v>6291.3895509473214</v>
      </c>
      <c r="G11" s="674">
        <f>huishoudens!F8</f>
        <v>214752.7800667288</v>
      </c>
      <c r="H11" s="674">
        <f>huishoudens!G8</f>
        <v>0</v>
      </c>
      <c r="I11" s="674">
        <f>huishoudens!H8</f>
        <v>0</v>
      </c>
      <c r="J11" s="674">
        <f>huishoudens!I8</f>
        <v>0</v>
      </c>
      <c r="K11" s="674">
        <f>huishoudens!J8</f>
        <v>4835.6881471319202</v>
      </c>
      <c r="L11" s="674">
        <f>huishoudens!K8</f>
        <v>0</v>
      </c>
      <c r="M11" s="674">
        <f>huishoudens!L8</f>
        <v>0</v>
      </c>
      <c r="N11" s="674">
        <f>huishoudens!M8</f>
        <v>0</v>
      </c>
      <c r="O11" s="674">
        <f>huishoudens!N8</f>
        <v>39811.411439371681</v>
      </c>
      <c r="P11" s="674">
        <f>huishoudens!O8</f>
        <v>317.35666666666668</v>
      </c>
      <c r="Q11" s="675">
        <f>huishoudens!P8</f>
        <v>1067.7333333333333</v>
      </c>
      <c r="R11" s="677">
        <f>SUM(C11:Q11)</f>
        <v>726486.20820889028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642</v>
      </c>
      <c r="B13" s="798" t="s">
        <v>640</v>
      </c>
      <c r="C13" s="674">
        <f>industrie!B18</f>
        <v>62482.986000000004</v>
      </c>
      <c r="D13" s="674">
        <f>industrie!C18</f>
        <v>133.92857142857144</v>
      </c>
      <c r="E13" s="674">
        <f>industrie!D18</f>
        <v>76364.575459142856</v>
      </c>
      <c r="F13" s="674">
        <f>industrie!E18</f>
        <v>1060.7016004638876</v>
      </c>
      <c r="G13" s="674">
        <f>industrie!F18</f>
        <v>28118.368807735602</v>
      </c>
      <c r="H13" s="674">
        <f>industrie!G18</f>
        <v>0</v>
      </c>
      <c r="I13" s="674">
        <f>industrie!H18</f>
        <v>0</v>
      </c>
      <c r="J13" s="674">
        <f>industrie!I18</f>
        <v>0</v>
      </c>
      <c r="K13" s="674">
        <f>industrie!J18</f>
        <v>204.79607477479763</v>
      </c>
      <c r="L13" s="674">
        <f>industrie!K18</f>
        <v>0</v>
      </c>
      <c r="M13" s="674">
        <f>industrie!L18</f>
        <v>0</v>
      </c>
      <c r="N13" s="674">
        <f>industrie!M18</f>
        <v>0</v>
      </c>
      <c r="O13" s="674">
        <f>industrie!N18</f>
        <v>2428.4108709328448</v>
      </c>
      <c r="P13" s="674">
        <f>industrie!O18</f>
        <v>0</v>
      </c>
      <c r="Q13" s="675">
        <f>industrie!P18</f>
        <v>0</v>
      </c>
      <c r="R13" s="677">
        <f>SUM(C13:Q13)</f>
        <v>170793.76738447856</v>
      </c>
      <c r="S13" s="67"/>
    </row>
    <row r="14" spans="1:19" s="443" customFormat="1">
      <c r="A14" s="789"/>
      <c r="B14" s="798" t="s">
        <v>641</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889</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395627.01150271064</v>
      </c>
      <c r="D16" s="707">
        <f t="shared" ref="D16:R16" ca="1" si="0">SUM(D9:D15)</f>
        <v>1578.4285714285716</v>
      </c>
      <c r="E16" s="707">
        <f t="shared" ca="1" si="0"/>
        <v>579881.44681514287</v>
      </c>
      <c r="F16" s="707">
        <f t="shared" si="0"/>
        <v>11090.930802836316</v>
      </c>
      <c r="G16" s="707">
        <f t="shared" ca="1" si="0"/>
        <v>277846.82225777081</v>
      </c>
      <c r="H16" s="707">
        <f t="shared" si="0"/>
        <v>0</v>
      </c>
      <c r="I16" s="707">
        <f t="shared" si="0"/>
        <v>0</v>
      </c>
      <c r="J16" s="707">
        <f t="shared" si="0"/>
        <v>0</v>
      </c>
      <c r="K16" s="707">
        <f t="shared" si="0"/>
        <v>5040.4842219067177</v>
      </c>
      <c r="L16" s="707">
        <f t="shared" si="0"/>
        <v>0</v>
      </c>
      <c r="M16" s="707">
        <f t="shared" ca="1" si="0"/>
        <v>0</v>
      </c>
      <c r="N16" s="707">
        <f t="shared" si="0"/>
        <v>0</v>
      </c>
      <c r="O16" s="707">
        <f t="shared" ca="1" si="0"/>
        <v>42760.001433066944</v>
      </c>
      <c r="P16" s="707">
        <f t="shared" si="0"/>
        <v>318.92</v>
      </c>
      <c r="Q16" s="707">
        <f t="shared" si="0"/>
        <v>1220.2666666666667</v>
      </c>
      <c r="R16" s="707">
        <f t="shared" ca="1" si="0"/>
        <v>1315364.3122715296</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87.498052696201981</v>
      </c>
      <c r="D19" s="674">
        <f>transport!C54</f>
        <v>0</v>
      </c>
      <c r="E19" s="674">
        <f>transport!D54</f>
        <v>0</v>
      </c>
      <c r="F19" s="674">
        <f>transport!E54</f>
        <v>0</v>
      </c>
      <c r="G19" s="674">
        <f>transport!F54</f>
        <v>0</v>
      </c>
      <c r="H19" s="674">
        <f>transport!G54</f>
        <v>18981.824064385681</v>
      </c>
      <c r="I19" s="674">
        <f>transport!H54</f>
        <v>0</v>
      </c>
      <c r="J19" s="674">
        <f>transport!I54</f>
        <v>0</v>
      </c>
      <c r="K19" s="674">
        <f>transport!J54</f>
        <v>0</v>
      </c>
      <c r="L19" s="674">
        <f>transport!K54</f>
        <v>0</v>
      </c>
      <c r="M19" s="674">
        <f>transport!L54</f>
        <v>0</v>
      </c>
      <c r="N19" s="674">
        <f>transport!M54</f>
        <v>812.72879252376265</v>
      </c>
      <c r="O19" s="674">
        <f>transport!N54</f>
        <v>0</v>
      </c>
      <c r="P19" s="674">
        <f>transport!O54</f>
        <v>0</v>
      </c>
      <c r="Q19" s="675">
        <f>transport!P54</f>
        <v>0</v>
      </c>
      <c r="R19" s="677">
        <f>SUM(C19:Q19)</f>
        <v>19882.050909605645</v>
      </c>
      <c r="S19" s="67"/>
    </row>
    <row r="20" spans="1:19" s="443" customFormat="1">
      <c r="A20" s="789" t="s">
        <v>296</v>
      </c>
      <c r="B20" s="794"/>
      <c r="C20" s="674">
        <f>transport!B14</f>
        <v>7.1029591219851076</v>
      </c>
      <c r="D20" s="674">
        <f>transport!C14</f>
        <v>0</v>
      </c>
      <c r="E20" s="674">
        <f>transport!D14</f>
        <v>23.717701773090131</v>
      </c>
      <c r="F20" s="674">
        <f>transport!E14</f>
        <v>2603.9430308295287</v>
      </c>
      <c r="G20" s="674">
        <f>transport!F14</f>
        <v>0</v>
      </c>
      <c r="H20" s="674">
        <f>transport!G14</f>
        <v>457725.00662831916</v>
      </c>
      <c r="I20" s="674">
        <f>transport!H14</f>
        <v>79482.309282412825</v>
      </c>
      <c r="J20" s="674">
        <f>transport!I14</f>
        <v>0</v>
      </c>
      <c r="K20" s="674">
        <f>transport!J14</f>
        <v>0</v>
      </c>
      <c r="L20" s="674">
        <f>transport!K14</f>
        <v>0</v>
      </c>
      <c r="M20" s="674">
        <f>transport!L14</f>
        <v>0</v>
      </c>
      <c r="N20" s="674">
        <f>transport!M14</f>
        <v>23376.59483935792</v>
      </c>
      <c r="O20" s="674">
        <f>transport!N14</f>
        <v>0</v>
      </c>
      <c r="P20" s="674">
        <f>transport!O14</f>
        <v>0</v>
      </c>
      <c r="Q20" s="675">
        <f>transport!P14</f>
        <v>0</v>
      </c>
      <c r="R20" s="677">
        <f>SUM(C20:Q20)</f>
        <v>563218.67444181454</v>
      </c>
      <c r="S20" s="67"/>
    </row>
    <row r="21" spans="1:19" s="443" customFormat="1" ht="15" thickBot="1">
      <c r="A21" s="811" t="s">
        <v>890</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94.601011818187089</v>
      </c>
      <c r="D22" s="792">
        <f t="shared" ref="D22:R22" si="1">SUM(D18:D21)</f>
        <v>0</v>
      </c>
      <c r="E22" s="792">
        <f t="shared" si="1"/>
        <v>23.717701773090131</v>
      </c>
      <c r="F22" s="792">
        <f t="shared" si="1"/>
        <v>2603.9430308295287</v>
      </c>
      <c r="G22" s="792">
        <f t="shared" si="1"/>
        <v>0</v>
      </c>
      <c r="H22" s="792">
        <f t="shared" si="1"/>
        <v>476706.83069270483</v>
      </c>
      <c r="I22" s="792">
        <f t="shared" si="1"/>
        <v>79482.309282412825</v>
      </c>
      <c r="J22" s="792">
        <f t="shared" si="1"/>
        <v>0</v>
      </c>
      <c r="K22" s="792">
        <f t="shared" si="1"/>
        <v>0</v>
      </c>
      <c r="L22" s="792">
        <f t="shared" si="1"/>
        <v>0</v>
      </c>
      <c r="M22" s="792">
        <f t="shared" si="1"/>
        <v>0</v>
      </c>
      <c r="N22" s="792">
        <f t="shared" si="1"/>
        <v>24189.323631881682</v>
      </c>
      <c r="O22" s="792">
        <f t="shared" si="1"/>
        <v>0</v>
      </c>
      <c r="P22" s="792">
        <f t="shared" si="1"/>
        <v>0</v>
      </c>
      <c r="Q22" s="792">
        <f t="shared" si="1"/>
        <v>0</v>
      </c>
      <c r="R22" s="792">
        <f t="shared" si="1"/>
        <v>583100.72535142023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635</v>
      </c>
      <c r="B24" s="794"/>
      <c r="C24" s="674">
        <f>+landbouw!B8</f>
        <v>3724.1689999999999</v>
      </c>
      <c r="D24" s="674">
        <f>+landbouw!C8</f>
        <v>0</v>
      </c>
      <c r="E24" s="674">
        <f>+landbouw!D8</f>
        <v>2521.7908540000003</v>
      </c>
      <c r="F24" s="674">
        <f>+landbouw!E8</f>
        <v>39.000304017709816</v>
      </c>
      <c r="G24" s="674">
        <f>+landbouw!F8</f>
        <v>15942.273087455955</v>
      </c>
      <c r="H24" s="674">
        <f>+landbouw!G8</f>
        <v>0</v>
      </c>
      <c r="I24" s="674">
        <f>+landbouw!H8</f>
        <v>0</v>
      </c>
      <c r="J24" s="674">
        <f>+landbouw!I8</f>
        <v>0</v>
      </c>
      <c r="K24" s="674">
        <f>+landbouw!J8</f>
        <v>332.60167199620344</v>
      </c>
      <c r="L24" s="674">
        <f>+landbouw!K8</f>
        <v>0</v>
      </c>
      <c r="M24" s="674">
        <f>+landbouw!L8</f>
        <v>0</v>
      </c>
      <c r="N24" s="674">
        <f>+landbouw!M8</f>
        <v>0</v>
      </c>
      <c r="O24" s="674">
        <f>+landbouw!N8</f>
        <v>0</v>
      </c>
      <c r="P24" s="674">
        <f>+landbouw!O8</f>
        <v>0</v>
      </c>
      <c r="Q24" s="675">
        <f>+landbouw!P8</f>
        <v>0</v>
      </c>
      <c r="R24" s="677">
        <f>SUM(C24:Q24)</f>
        <v>22559.834917469867</v>
      </c>
      <c r="S24" s="67"/>
    </row>
    <row r="25" spans="1:19" s="443" customFormat="1" ht="15" thickBot="1">
      <c r="A25" s="811" t="s">
        <v>891</v>
      </c>
      <c r="B25" s="966"/>
      <c r="C25" s="967">
        <f>IF(Onbekend_ele_kWh="---",0,Onbekend_ele_kWh)/1000+IF(REST_rest_ele_kWh="---",0,REST_rest_ele_kWh)/1000</f>
        <v>17333.755000000001</v>
      </c>
      <c r="D25" s="967"/>
      <c r="E25" s="967">
        <f>IF(onbekend_gas_kWh="---",0,onbekend_gas_kWh)/1000+IF(REST_rest_gas_kWh="---",0,REST_rest_gas_kWh)/1000</f>
        <v>25952</v>
      </c>
      <c r="F25" s="967"/>
      <c r="G25" s="967"/>
      <c r="H25" s="967"/>
      <c r="I25" s="967"/>
      <c r="J25" s="967"/>
      <c r="K25" s="967"/>
      <c r="L25" s="967"/>
      <c r="M25" s="967"/>
      <c r="N25" s="967"/>
      <c r="O25" s="967"/>
      <c r="P25" s="967"/>
      <c r="Q25" s="968"/>
      <c r="R25" s="677">
        <f>SUM(C25:Q25)</f>
        <v>43285.755000000005</v>
      </c>
      <c r="S25" s="67"/>
    </row>
    <row r="26" spans="1:19" s="443" customFormat="1" ht="15.75" thickBot="1">
      <c r="A26" s="680" t="s">
        <v>892</v>
      </c>
      <c r="B26" s="797"/>
      <c r="C26" s="792">
        <f>SUM(C24:C25)</f>
        <v>21057.923999999999</v>
      </c>
      <c r="D26" s="792">
        <f t="shared" ref="D26:R26" si="2">SUM(D24:D25)</f>
        <v>0</v>
      </c>
      <c r="E26" s="792">
        <f t="shared" si="2"/>
        <v>28473.790853999999</v>
      </c>
      <c r="F26" s="792">
        <f t="shared" si="2"/>
        <v>39.000304017709816</v>
      </c>
      <c r="G26" s="792">
        <f t="shared" si="2"/>
        <v>15942.273087455955</v>
      </c>
      <c r="H26" s="792">
        <f t="shared" si="2"/>
        <v>0</v>
      </c>
      <c r="I26" s="792">
        <f t="shared" si="2"/>
        <v>0</v>
      </c>
      <c r="J26" s="792">
        <f t="shared" si="2"/>
        <v>0</v>
      </c>
      <c r="K26" s="792">
        <f t="shared" si="2"/>
        <v>332.60167199620344</v>
      </c>
      <c r="L26" s="792">
        <f t="shared" si="2"/>
        <v>0</v>
      </c>
      <c r="M26" s="792">
        <f t="shared" si="2"/>
        <v>0</v>
      </c>
      <c r="N26" s="792">
        <f t="shared" si="2"/>
        <v>0</v>
      </c>
      <c r="O26" s="792">
        <f t="shared" si="2"/>
        <v>0</v>
      </c>
      <c r="P26" s="792">
        <f t="shared" si="2"/>
        <v>0</v>
      </c>
      <c r="Q26" s="792">
        <f t="shared" si="2"/>
        <v>0</v>
      </c>
      <c r="R26" s="792">
        <f t="shared" si="2"/>
        <v>65845.589917469872</v>
      </c>
      <c r="S26" s="67"/>
    </row>
    <row r="27" spans="1:19" s="443" customFormat="1" ht="17.25" thickTop="1" thickBot="1">
      <c r="A27" s="681" t="s">
        <v>109</v>
      </c>
      <c r="B27" s="784"/>
      <c r="C27" s="682">
        <f ca="1">C22+C16+C26</f>
        <v>416779.53651452879</v>
      </c>
      <c r="D27" s="682">
        <f t="shared" ref="D27:R27" ca="1" si="3">D22+D16+D26</f>
        <v>1578.4285714285716</v>
      </c>
      <c r="E27" s="682">
        <f t="shared" ca="1" si="3"/>
        <v>608378.95537091594</v>
      </c>
      <c r="F27" s="682">
        <f t="shared" si="3"/>
        <v>13733.874137683553</v>
      </c>
      <c r="G27" s="682">
        <f t="shared" ca="1" si="3"/>
        <v>293789.09534522676</v>
      </c>
      <c r="H27" s="682">
        <f t="shared" si="3"/>
        <v>476706.83069270483</v>
      </c>
      <c r="I27" s="682">
        <f t="shared" si="3"/>
        <v>79482.309282412825</v>
      </c>
      <c r="J27" s="682">
        <f t="shared" si="3"/>
        <v>0</v>
      </c>
      <c r="K27" s="682">
        <f t="shared" si="3"/>
        <v>5373.0858939029213</v>
      </c>
      <c r="L27" s="682">
        <f t="shared" si="3"/>
        <v>0</v>
      </c>
      <c r="M27" s="682">
        <f t="shared" ca="1" si="3"/>
        <v>0</v>
      </c>
      <c r="N27" s="682">
        <f t="shared" si="3"/>
        <v>24189.323631881682</v>
      </c>
      <c r="O27" s="682">
        <f t="shared" ca="1" si="3"/>
        <v>42760.001433066944</v>
      </c>
      <c r="P27" s="682">
        <f t="shared" si="3"/>
        <v>318.92</v>
      </c>
      <c r="Q27" s="682">
        <f t="shared" si="3"/>
        <v>1220.2666666666667</v>
      </c>
      <c r="R27" s="682">
        <f t="shared" ca="1" si="3"/>
        <v>1964310.6275404196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40457.702016327137</v>
      </c>
      <c r="D40" s="674">
        <f ca="1">tertiair!C20</f>
        <v>343.28117647058821</v>
      </c>
      <c r="E40" s="674">
        <f ca="1">tertiair!D20</f>
        <v>37458.481222508002</v>
      </c>
      <c r="F40" s="674">
        <f>tertiair!E20</f>
        <v>848.71660087349903</v>
      </c>
      <c r="G40" s="674">
        <f ca="1">tertiair!F20</f>
        <v>9338.5047933428104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88446.685809522038</v>
      </c>
    </row>
    <row r="41" spans="1:18">
      <c r="A41" s="802" t="s">
        <v>214</v>
      </c>
      <c r="B41" s="809"/>
      <c r="C41" s="674">
        <f ca="1">huishoudens!B12</f>
        <v>29809.903236815459</v>
      </c>
      <c r="D41" s="674">
        <f ca="1">huishoudens!C12</f>
        <v>0</v>
      </c>
      <c r="E41" s="674">
        <f>huishoudens!D12</f>
        <v>64251.926791404003</v>
      </c>
      <c r="F41" s="674">
        <f>huishoudens!E12</f>
        <v>1428.1454280650421</v>
      </c>
      <c r="G41" s="674">
        <f>huishoudens!F12</f>
        <v>57338.992277816593</v>
      </c>
      <c r="H41" s="674">
        <f>huishoudens!G12</f>
        <v>0</v>
      </c>
      <c r="I41" s="674">
        <f>huishoudens!H12</f>
        <v>0</v>
      </c>
      <c r="J41" s="674">
        <f>huishoudens!I12</f>
        <v>0</v>
      </c>
      <c r="K41" s="674">
        <f>huishoudens!J12</f>
        <v>1711.8336040846996</v>
      </c>
      <c r="L41" s="674">
        <f>huishoudens!K12</f>
        <v>0</v>
      </c>
      <c r="M41" s="674">
        <f>huishoudens!L12</f>
        <v>0</v>
      </c>
      <c r="N41" s="674">
        <f>huishoudens!M12</f>
        <v>0</v>
      </c>
      <c r="O41" s="674">
        <f>huishoudens!N12</f>
        <v>0</v>
      </c>
      <c r="P41" s="674">
        <f>huishoudens!O12</f>
        <v>0</v>
      </c>
      <c r="Q41" s="749">
        <f>huishoudens!P12</f>
        <v>0</v>
      </c>
      <c r="R41" s="830">
        <f t="shared" ca="1" si="4"/>
        <v>154540.80133818582</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643</v>
      </c>
      <c r="B43" s="817" t="s">
        <v>640</v>
      </c>
      <c r="C43" s="674">
        <f ca="1">industrie!B22</f>
        <v>13179.074091634615</v>
      </c>
      <c r="D43" s="674">
        <f ca="1">industrie!C22</f>
        <v>31.827731092436977</v>
      </c>
      <c r="E43" s="674">
        <f>industrie!D22</f>
        <v>15425.644242746857</v>
      </c>
      <c r="F43" s="674">
        <f>industrie!E22</f>
        <v>240.77926330530249</v>
      </c>
      <c r="G43" s="674">
        <f>industrie!F22</f>
        <v>7507.604471665406</v>
      </c>
      <c r="H43" s="674">
        <f>industrie!G22</f>
        <v>0</v>
      </c>
      <c r="I43" s="674">
        <f>industrie!H22</f>
        <v>0</v>
      </c>
      <c r="J43" s="674">
        <f>industrie!I22</f>
        <v>0</v>
      </c>
      <c r="K43" s="674">
        <f>industrie!J22</f>
        <v>72.497810470278353</v>
      </c>
      <c r="L43" s="674">
        <f>industrie!K22</f>
        <v>0</v>
      </c>
      <c r="M43" s="674">
        <f>industrie!L22</f>
        <v>0</v>
      </c>
      <c r="N43" s="674">
        <f>industrie!M22</f>
        <v>0</v>
      </c>
      <c r="O43" s="674">
        <f>industrie!N22</f>
        <v>0</v>
      </c>
      <c r="P43" s="674">
        <f>industrie!O22</f>
        <v>0</v>
      </c>
      <c r="Q43" s="749">
        <f>industrie!P22</f>
        <v>0</v>
      </c>
      <c r="R43" s="829">
        <f t="shared" ca="1" si="4"/>
        <v>36457.427610914892</v>
      </c>
    </row>
    <row r="44" spans="1:18">
      <c r="A44" s="802"/>
      <c r="B44" s="809" t="s">
        <v>641</v>
      </c>
      <c r="C44" s="674"/>
      <c r="D44" s="674"/>
      <c r="E44" s="674"/>
      <c r="F44" s="674"/>
      <c r="G44" s="674"/>
      <c r="H44" s="674"/>
      <c r="I44" s="674"/>
      <c r="J44" s="674"/>
      <c r="K44" s="674"/>
      <c r="L44" s="674"/>
      <c r="M44" s="674"/>
      <c r="N44" s="674"/>
      <c r="O44" s="674"/>
      <c r="P44" s="674"/>
      <c r="Q44" s="749"/>
      <c r="R44" s="830">
        <f t="shared" si="4"/>
        <v>0</v>
      </c>
    </row>
    <row r="45" spans="1:18" ht="15" thickBot="1">
      <c r="A45" s="965" t="s">
        <v>889</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83446.679344777207</v>
      </c>
      <c r="D46" s="707">
        <f t="shared" ref="D46:Q46" ca="1" si="5">SUM(D39:D45)</f>
        <v>375.10890756302518</v>
      </c>
      <c r="E46" s="707">
        <f t="shared" ca="1" si="5"/>
        <v>117136.05225665886</v>
      </c>
      <c r="F46" s="707">
        <f t="shared" si="5"/>
        <v>2517.641292243844</v>
      </c>
      <c r="G46" s="707">
        <f t="shared" ca="1" si="5"/>
        <v>74185.101542824807</v>
      </c>
      <c r="H46" s="707">
        <f t="shared" si="5"/>
        <v>0</v>
      </c>
      <c r="I46" s="707">
        <f t="shared" si="5"/>
        <v>0</v>
      </c>
      <c r="J46" s="707">
        <f t="shared" si="5"/>
        <v>0</v>
      </c>
      <c r="K46" s="707">
        <f t="shared" si="5"/>
        <v>1784.331414554978</v>
      </c>
      <c r="L46" s="707">
        <f t="shared" si="5"/>
        <v>0</v>
      </c>
      <c r="M46" s="707">
        <f t="shared" ca="1" si="5"/>
        <v>0</v>
      </c>
      <c r="N46" s="707">
        <f t="shared" si="5"/>
        <v>0</v>
      </c>
      <c r="O46" s="707">
        <f t="shared" ca="1" si="5"/>
        <v>0</v>
      </c>
      <c r="P46" s="707">
        <f t="shared" si="5"/>
        <v>0</v>
      </c>
      <c r="Q46" s="707">
        <f t="shared" si="5"/>
        <v>0</v>
      </c>
      <c r="R46" s="707">
        <f ca="1">SUM(R39:R45)</f>
        <v>279444.91475862276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18.455317089951425</v>
      </c>
      <c r="D49" s="674">
        <f ca="1">transport!C58</f>
        <v>0</v>
      </c>
      <c r="E49" s="674">
        <f>transport!D58</f>
        <v>0</v>
      </c>
      <c r="F49" s="674">
        <f>transport!E58</f>
        <v>0</v>
      </c>
      <c r="G49" s="674">
        <f>transport!F58</f>
        <v>0</v>
      </c>
      <c r="H49" s="674">
        <f>transport!G58</f>
        <v>5068.1470251909768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5086.6023422809285</v>
      </c>
    </row>
    <row r="50" spans="1:18">
      <c r="A50" s="805" t="s">
        <v>296</v>
      </c>
      <c r="B50" s="815"/>
      <c r="C50" s="973">
        <f ca="1">transport!B18</f>
        <v>1.4981746317068405</v>
      </c>
      <c r="D50" s="973">
        <f>transport!C18</f>
        <v>0</v>
      </c>
      <c r="E50" s="973">
        <f>transport!D18</f>
        <v>4.7909757581642065</v>
      </c>
      <c r="F50" s="973">
        <f>transport!E18</f>
        <v>591.09506799830308</v>
      </c>
      <c r="G50" s="973">
        <f>transport!F18</f>
        <v>0</v>
      </c>
      <c r="H50" s="973">
        <f>transport!G18</f>
        <v>122212.57676976122</v>
      </c>
      <c r="I50" s="973">
        <f>transport!H18</f>
        <v>19791.095011320795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142601.05599947018</v>
      </c>
    </row>
    <row r="51" spans="1:18" ht="15" thickBot="1">
      <c r="A51" s="802" t="s">
        <v>890</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19.953491721658267</v>
      </c>
      <c r="D52" s="707">
        <f t="shared" ref="D52:Q52" ca="1" si="6">SUM(D48:D51)</f>
        <v>0</v>
      </c>
      <c r="E52" s="707">
        <f t="shared" si="6"/>
        <v>4.7909757581642065</v>
      </c>
      <c r="F52" s="707">
        <f t="shared" si="6"/>
        <v>591.09506799830308</v>
      </c>
      <c r="G52" s="707">
        <f t="shared" si="6"/>
        <v>0</v>
      </c>
      <c r="H52" s="707">
        <f t="shared" si="6"/>
        <v>127280.7237949522</v>
      </c>
      <c r="I52" s="707">
        <f t="shared" si="6"/>
        <v>19791.095011320795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147687.65834175111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635</v>
      </c>
      <c r="B54" s="815"/>
      <c r="C54" s="973">
        <f ca="1">+landbouw!B12</f>
        <v>785.51142195363047</v>
      </c>
      <c r="D54" s="973">
        <f ca="1">+landbouw!C12</f>
        <v>0</v>
      </c>
      <c r="E54" s="973">
        <f>+landbouw!D12</f>
        <v>509.40175250800007</v>
      </c>
      <c r="F54" s="973">
        <f>+landbouw!E12</f>
        <v>8.8530690120201285</v>
      </c>
      <c r="G54" s="973">
        <f>+landbouw!F12</f>
        <v>4256.5869143507398</v>
      </c>
      <c r="H54" s="973">
        <f>+landbouw!G12</f>
        <v>0</v>
      </c>
      <c r="I54" s="973">
        <f>+landbouw!H12</f>
        <v>0</v>
      </c>
      <c r="J54" s="973">
        <f>+landbouw!I12</f>
        <v>0</v>
      </c>
      <c r="K54" s="973">
        <f>+landbouw!J12</f>
        <v>117.740991886656</v>
      </c>
      <c r="L54" s="973">
        <f>+landbouw!K12</f>
        <v>0</v>
      </c>
      <c r="M54" s="973">
        <f>+landbouw!L12</f>
        <v>0</v>
      </c>
      <c r="N54" s="973">
        <f>+landbouw!M12</f>
        <v>0</v>
      </c>
      <c r="O54" s="973">
        <f>+landbouw!N12</f>
        <v>0</v>
      </c>
      <c r="P54" s="973">
        <f>+landbouw!O12</f>
        <v>0</v>
      </c>
      <c r="Q54" s="974">
        <f>+landbouw!P12</f>
        <v>0</v>
      </c>
      <c r="R54" s="706">
        <f ca="1">SUM(C54:Q54)</f>
        <v>5678.0941497110471</v>
      </c>
    </row>
    <row r="55" spans="1:18" ht="15" thickBot="1">
      <c r="A55" s="805" t="s">
        <v>891</v>
      </c>
      <c r="B55" s="815"/>
      <c r="C55" s="973">
        <f ca="1">C25*'EF ele_warmte'!B12</f>
        <v>3656.0807358221</v>
      </c>
      <c r="D55" s="973"/>
      <c r="E55" s="973">
        <f>E25*EF_CO2_aardgas</f>
        <v>5242.3040000000001</v>
      </c>
      <c r="F55" s="973"/>
      <c r="G55" s="973"/>
      <c r="H55" s="973"/>
      <c r="I55" s="973"/>
      <c r="J55" s="973"/>
      <c r="K55" s="973"/>
      <c r="L55" s="973"/>
      <c r="M55" s="973"/>
      <c r="N55" s="973"/>
      <c r="O55" s="973"/>
      <c r="P55" s="973"/>
      <c r="Q55" s="974"/>
      <c r="R55" s="706">
        <f ca="1">SUM(C55:Q55)</f>
        <v>8898.3847358220992</v>
      </c>
    </row>
    <row r="56" spans="1:18" ht="15.75" thickBot="1">
      <c r="A56" s="803" t="s">
        <v>892</v>
      </c>
      <c r="B56" s="816"/>
      <c r="C56" s="707">
        <f ca="1">SUM(C54:C55)</f>
        <v>4441.5921577757308</v>
      </c>
      <c r="D56" s="707">
        <f t="shared" ref="D56:Q56" ca="1" si="7">SUM(D54:D55)</f>
        <v>0</v>
      </c>
      <c r="E56" s="707">
        <f t="shared" si="7"/>
        <v>5751.7057525079999</v>
      </c>
      <c r="F56" s="707">
        <f t="shared" si="7"/>
        <v>8.8530690120201285</v>
      </c>
      <c r="G56" s="707">
        <f t="shared" si="7"/>
        <v>4256.5869143507398</v>
      </c>
      <c r="H56" s="707">
        <f t="shared" si="7"/>
        <v>0</v>
      </c>
      <c r="I56" s="707">
        <f t="shared" si="7"/>
        <v>0</v>
      </c>
      <c r="J56" s="707">
        <f t="shared" si="7"/>
        <v>0</v>
      </c>
      <c r="K56" s="707">
        <f t="shared" si="7"/>
        <v>117.740991886656</v>
      </c>
      <c r="L56" s="707">
        <f t="shared" si="7"/>
        <v>0</v>
      </c>
      <c r="M56" s="707">
        <f t="shared" si="7"/>
        <v>0</v>
      </c>
      <c r="N56" s="707">
        <f t="shared" si="7"/>
        <v>0</v>
      </c>
      <c r="O56" s="707">
        <f t="shared" si="7"/>
        <v>0</v>
      </c>
      <c r="P56" s="707">
        <f t="shared" si="7"/>
        <v>0</v>
      </c>
      <c r="Q56" s="708">
        <f t="shared" si="7"/>
        <v>0</v>
      </c>
      <c r="R56" s="709">
        <f ca="1">SUM(R54:R55)</f>
        <v>14576.478885533146</v>
      </c>
    </row>
    <row r="57" spans="1:18" ht="15.75">
      <c r="A57" s="783" t="s">
        <v>636</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87908.224994274584</v>
      </c>
      <c r="D61" s="715">
        <f t="shared" ref="D61:Q61" ca="1" si="8">D46+D52+D56</f>
        <v>375.10890756302518</v>
      </c>
      <c r="E61" s="715">
        <f t="shared" ca="1" si="8"/>
        <v>122892.54898492503</v>
      </c>
      <c r="F61" s="715">
        <f t="shared" si="8"/>
        <v>3117.589429254167</v>
      </c>
      <c r="G61" s="715">
        <f t="shared" ca="1" si="8"/>
        <v>78441.688457175551</v>
      </c>
      <c r="H61" s="715">
        <f t="shared" si="8"/>
        <v>127280.7237949522</v>
      </c>
      <c r="I61" s="715">
        <f t="shared" si="8"/>
        <v>19791.095011320795</v>
      </c>
      <c r="J61" s="715">
        <f t="shared" si="8"/>
        <v>0</v>
      </c>
      <c r="K61" s="715">
        <f t="shared" si="8"/>
        <v>1902.072406441634</v>
      </c>
      <c r="L61" s="715">
        <f t="shared" si="8"/>
        <v>0</v>
      </c>
      <c r="M61" s="715">
        <f t="shared" ca="1" si="8"/>
        <v>0</v>
      </c>
      <c r="N61" s="715">
        <f t="shared" si="8"/>
        <v>0</v>
      </c>
      <c r="O61" s="715">
        <f t="shared" ca="1" si="8"/>
        <v>0</v>
      </c>
      <c r="P61" s="715">
        <f t="shared" si="8"/>
        <v>0</v>
      </c>
      <c r="Q61" s="715">
        <f t="shared" si="8"/>
        <v>0</v>
      </c>
      <c r="R61" s="715">
        <f ca="1">R46+R52+R56</f>
        <v>441709.05198590702</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0.21092260366101284</v>
      </c>
      <c r="D63" s="759">
        <f t="shared" ca="1" si="9"/>
        <v>0.23764705882352938</v>
      </c>
      <c r="E63" s="975">
        <f t="shared" ca="1" si="9"/>
        <v>0.20200000000000001</v>
      </c>
      <c r="F63" s="759">
        <f t="shared" si="9"/>
        <v>0.22700000000000004</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646</v>
      </c>
      <c r="Q69" s="1101" t="s">
        <v>645</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644</v>
      </c>
      <c r="C71" s="951" t="s">
        <v>893</v>
      </c>
      <c r="D71" s="978" t="s">
        <v>192</v>
      </c>
      <c r="E71" s="979" t="s">
        <v>193</v>
      </c>
      <c r="F71" s="946" t="s">
        <v>194</v>
      </c>
      <c r="G71" s="943" t="s">
        <v>196</v>
      </c>
      <c r="H71" s="980" t="s">
        <v>197</v>
      </c>
      <c r="I71" s="947"/>
      <c r="J71" s="947"/>
      <c r="K71" s="947"/>
      <c r="L71" s="947"/>
      <c r="M71" s="944"/>
      <c r="N71" s="947"/>
      <c r="O71" s="952"/>
      <c r="P71" s="981"/>
      <c r="Q71" s="954" t="s">
        <v>647</v>
      </c>
      <c r="R71" s="952" t="s">
        <v>648</v>
      </c>
    </row>
    <row r="72" spans="1:18" ht="15.75" thickTop="1">
      <c r="A72" s="725" t="s">
        <v>238</v>
      </c>
      <c r="B72" s="823">
        <f>'lokale energieproductie'!B4</f>
        <v>6607.4746365291803</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11243.015909762253</v>
      </c>
      <c r="C74" s="1125"/>
      <c r="D74" s="1125"/>
      <c r="E74" s="1107"/>
      <c r="F74" s="1107"/>
      <c r="G74" s="1119"/>
      <c r="H74" s="1122"/>
      <c r="I74" s="1125"/>
      <c r="J74" s="950"/>
      <c r="K74" s="1107"/>
      <c r="L74" s="1107"/>
      <c r="M74" s="1107"/>
      <c r="N74" s="1107"/>
      <c r="O74" s="1110"/>
      <c r="P74" s="832">
        <v>0</v>
      </c>
      <c r="Q74" s="838"/>
      <c r="R74" s="832">
        <v>0</v>
      </c>
    </row>
    <row r="75" spans="1:18" ht="15.75" thickBot="1">
      <c r="A75" s="726" t="s">
        <v>886</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1104.9000000000001</v>
      </c>
      <c r="D76" s="985">
        <f>'lokale energieproductie'!C8</f>
        <v>1299.8823529411768</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262.57623529411774</v>
      </c>
      <c r="R76" s="832">
        <v>0</v>
      </c>
    </row>
    <row r="77" spans="1:18" ht="30.75" thickBot="1">
      <c r="A77" s="728" t="s">
        <v>340</v>
      </c>
      <c r="B77" s="725">
        <f>'lokale energieproductie'!B9*IFERROR(SUM(I77:O77)/SUM(D77:O77),0)</f>
        <v>1237.5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3535.7142857142858</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19087.990546291432</v>
      </c>
      <c r="C78" s="730">
        <f>SUM(C72:C77)</f>
        <v>1104.9000000000001</v>
      </c>
      <c r="D78" s="731">
        <f t="shared" ref="D78:H78" si="10">SUM(D76:D77)</f>
        <v>1299.8823529411768</v>
      </c>
      <c r="E78" s="731">
        <f t="shared" si="10"/>
        <v>0</v>
      </c>
      <c r="F78" s="731">
        <f t="shared" si="10"/>
        <v>0</v>
      </c>
      <c r="G78" s="731">
        <f t="shared" si="10"/>
        <v>0</v>
      </c>
      <c r="H78" s="731">
        <f t="shared" si="10"/>
        <v>0</v>
      </c>
      <c r="I78" s="731">
        <f>SUM(I76:I77)</f>
        <v>0</v>
      </c>
      <c r="J78" s="731">
        <f>SUM(J76:J77)</f>
        <v>3535.7142857142858</v>
      </c>
      <c r="K78" s="731">
        <f t="shared" ref="K78:L78" si="11">SUM(K76:K77)</f>
        <v>0</v>
      </c>
      <c r="L78" s="731">
        <f t="shared" si="11"/>
        <v>0</v>
      </c>
      <c r="M78" s="731">
        <f>SUM(M76:M77)</f>
        <v>0</v>
      </c>
      <c r="N78" s="731">
        <f>SUM(N76:N77)</f>
        <v>0</v>
      </c>
      <c r="O78" s="840">
        <f>SUM(O76:O77)</f>
        <v>0</v>
      </c>
      <c r="P78" s="732">
        <v>0</v>
      </c>
      <c r="Q78" s="732">
        <f>SUM(Q76:Q77)</f>
        <v>262.57623529411774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646</v>
      </c>
      <c r="Q84" s="1094" t="s">
        <v>645</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644</v>
      </c>
      <c r="C86" s="824" t="s">
        <v>893</v>
      </c>
      <c r="D86" s="954" t="s">
        <v>192</v>
      </c>
      <c r="E86" s="947" t="s">
        <v>193</v>
      </c>
      <c r="F86" s="945" t="s">
        <v>194</v>
      </c>
      <c r="G86" s="947" t="s">
        <v>196</v>
      </c>
      <c r="H86" s="739" t="s">
        <v>197</v>
      </c>
      <c r="I86" s="1136"/>
      <c r="J86" s="1137"/>
      <c r="K86" s="1087"/>
      <c r="L86" s="1087"/>
      <c r="M86" s="1140"/>
      <c r="N86" s="1087"/>
      <c r="O86" s="1142"/>
      <c r="P86" s="981"/>
      <c r="Q86" s="954" t="s">
        <v>647</v>
      </c>
      <c r="R86" s="952" t="s">
        <v>648</v>
      </c>
    </row>
    <row r="87" spans="1:19" ht="15.75" thickTop="1">
      <c r="A87" s="740" t="s">
        <v>241</v>
      </c>
      <c r="B87" s="741">
        <f>'lokale energieproductie'!B17*IFERROR(SUM(I87:O87)/SUM(D87:O87),0)</f>
        <v>0</v>
      </c>
      <c r="C87" s="741">
        <f>'lokale energieproductie'!B17*IFERROR(SUM(D87:H87)/SUM(D87:O87),0)</f>
        <v>1578.4285714285713</v>
      </c>
      <c r="D87" s="752">
        <f>'lokale energieproductie'!C17</f>
        <v>1856.9747899159665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375.10890756302524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1578.4285714285713</v>
      </c>
      <c r="D90" s="730">
        <f t="shared" ref="D90:H90" si="12">SUM(D87:D89)</f>
        <v>1856.9747899159665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375.10890756302524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547</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141331.00350271066</v>
      </c>
      <c r="C4" s="447">
        <f>huishoudens!C8</f>
        <v>0</v>
      </c>
      <c r="D4" s="447">
        <f>huishoudens!D8</f>
        <v>318078.84550200001</v>
      </c>
      <c r="E4" s="447">
        <f>huishoudens!E8</f>
        <v>6291.3895509473214</v>
      </c>
      <c r="F4" s="447">
        <f>huishoudens!F8</f>
        <v>214752.7800667288</v>
      </c>
      <c r="G4" s="447">
        <f>huishoudens!G8</f>
        <v>0</v>
      </c>
      <c r="H4" s="447">
        <f>huishoudens!H8</f>
        <v>0</v>
      </c>
      <c r="I4" s="447">
        <f>huishoudens!I8</f>
        <v>0</v>
      </c>
      <c r="J4" s="447">
        <f>huishoudens!J8</f>
        <v>4835.6881471319202</v>
      </c>
      <c r="K4" s="447">
        <f>huishoudens!K8</f>
        <v>0</v>
      </c>
      <c r="L4" s="447">
        <f>huishoudens!L8</f>
        <v>0</v>
      </c>
      <c r="M4" s="447">
        <f>huishoudens!M8</f>
        <v>0</v>
      </c>
      <c r="N4" s="447">
        <f>huishoudens!N8</f>
        <v>39811.411439371681</v>
      </c>
      <c r="O4" s="447">
        <f>huishoudens!O8</f>
        <v>317.35666666666668</v>
      </c>
      <c r="P4" s="448">
        <f>huishoudens!P8</f>
        <v>1067.7333333333333</v>
      </c>
      <c r="Q4" s="449">
        <f>SUM(B4:P4)</f>
        <v>726486.20820889028</v>
      </c>
    </row>
    <row r="5" spans="1:17">
      <c r="A5" s="446" t="s">
        <v>149</v>
      </c>
      <c r="B5" s="447">
        <f ca="1">tertiair!B16</f>
        <v>186836.46299999999</v>
      </c>
      <c r="C5" s="447">
        <f ca="1">tertiair!C16</f>
        <v>1444.5</v>
      </c>
      <c r="D5" s="447">
        <f ca="1">tertiair!D16</f>
        <v>185438.02585400001</v>
      </c>
      <c r="E5" s="447">
        <f>tertiair!E16</f>
        <v>3738.8396514251058</v>
      </c>
      <c r="F5" s="447">
        <f ca="1">tertiair!F16</f>
        <v>34975.673383306406</v>
      </c>
      <c r="G5" s="447">
        <f>tertiair!G16</f>
        <v>0</v>
      </c>
      <c r="H5" s="447">
        <f>tertiair!H16</f>
        <v>0</v>
      </c>
      <c r="I5" s="447">
        <f>tertiair!I16</f>
        <v>0</v>
      </c>
      <c r="J5" s="447">
        <f>tertiair!J16</f>
        <v>0</v>
      </c>
      <c r="K5" s="447">
        <f>tertiair!K16</f>
        <v>0</v>
      </c>
      <c r="L5" s="447">
        <f ca="1">tertiair!L16</f>
        <v>0</v>
      </c>
      <c r="M5" s="447">
        <f>tertiair!M16</f>
        <v>0</v>
      </c>
      <c r="N5" s="447">
        <f ca="1">tertiair!N16</f>
        <v>520.17912276242259</v>
      </c>
      <c r="O5" s="447">
        <f>tertiair!O16</f>
        <v>1.5633333333333335</v>
      </c>
      <c r="P5" s="448">
        <f>tertiair!P16</f>
        <v>152.53333333333333</v>
      </c>
      <c r="Q5" s="446">
        <f t="shared" ref="Q5:Q14" ca="1" si="0">SUM(B5:P5)</f>
        <v>413107.77767816058</v>
      </c>
    </row>
    <row r="6" spans="1:17">
      <c r="A6" s="446" t="s">
        <v>187</v>
      </c>
      <c r="B6" s="447">
        <f>'openbare verlichting'!B8</f>
        <v>4976.5590000000002</v>
      </c>
      <c r="C6" s="447"/>
      <c r="D6" s="447"/>
      <c r="E6" s="447"/>
      <c r="F6" s="447"/>
      <c r="G6" s="447"/>
      <c r="H6" s="447"/>
      <c r="I6" s="447"/>
      <c r="J6" s="447"/>
      <c r="K6" s="447"/>
      <c r="L6" s="447"/>
      <c r="M6" s="447"/>
      <c r="N6" s="447"/>
      <c r="O6" s="447"/>
      <c r="P6" s="448"/>
      <c r="Q6" s="446">
        <f t="shared" si="0"/>
        <v>4976.5590000000002</v>
      </c>
    </row>
    <row r="7" spans="1:17">
      <c r="A7" s="446" t="s">
        <v>105</v>
      </c>
      <c r="B7" s="447">
        <f>landbouw!B8</f>
        <v>3724.1689999999999</v>
      </c>
      <c r="C7" s="447">
        <f>landbouw!C8</f>
        <v>0</v>
      </c>
      <c r="D7" s="447">
        <f>landbouw!D8</f>
        <v>2521.7908540000003</v>
      </c>
      <c r="E7" s="447">
        <f>landbouw!E8</f>
        <v>39.000304017709816</v>
      </c>
      <c r="F7" s="447">
        <f>landbouw!F8</f>
        <v>15942.273087455955</v>
      </c>
      <c r="G7" s="447">
        <f>landbouw!G8</f>
        <v>0</v>
      </c>
      <c r="H7" s="447">
        <f>landbouw!H8</f>
        <v>0</v>
      </c>
      <c r="I7" s="447">
        <f>landbouw!I8</f>
        <v>0</v>
      </c>
      <c r="J7" s="447">
        <f>landbouw!J8</f>
        <v>332.60167199620344</v>
      </c>
      <c r="K7" s="447">
        <f>landbouw!K8</f>
        <v>0</v>
      </c>
      <c r="L7" s="447">
        <f>landbouw!L8</f>
        <v>0</v>
      </c>
      <c r="M7" s="447">
        <f>landbouw!M8</f>
        <v>0</v>
      </c>
      <c r="N7" s="447">
        <f>landbouw!N8</f>
        <v>0</v>
      </c>
      <c r="O7" s="447">
        <f>landbouw!O8</f>
        <v>0</v>
      </c>
      <c r="P7" s="448">
        <f>landbouw!P8</f>
        <v>0</v>
      </c>
      <c r="Q7" s="446">
        <f t="shared" si="0"/>
        <v>22559.834917469867</v>
      </c>
    </row>
    <row r="8" spans="1:17">
      <c r="A8" s="446" t="s">
        <v>639</v>
      </c>
      <c r="B8" s="447">
        <f>industrie!B18</f>
        <v>62482.986000000004</v>
      </c>
      <c r="C8" s="447">
        <f>industrie!C18</f>
        <v>133.92857142857144</v>
      </c>
      <c r="D8" s="447">
        <f>industrie!D18</f>
        <v>76364.575459142856</v>
      </c>
      <c r="E8" s="447">
        <f>industrie!E18</f>
        <v>1060.7016004638876</v>
      </c>
      <c r="F8" s="447">
        <f>industrie!F18</f>
        <v>28118.368807735602</v>
      </c>
      <c r="G8" s="447">
        <f>industrie!G18</f>
        <v>0</v>
      </c>
      <c r="H8" s="447">
        <f>industrie!H18</f>
        <v>0</v>
      </c>
      <c r="I8" s="447">
        <f>industrie!I18</f>
        <v>0</v>
      </c>
      <c r="J8" s="447">
        <f>industrie!J18</f>
        <v>204.79607477479763</v>
      </c>
      <c r="K8" s="447">
        <f>industrie!K18</f>
        <v>0</v>
      </c>
      <c r="L8" s="447">
        <f>industrie!L18</f>
        <v>0</v>
      </c>
      <c r="M8" s="447">
        <f>industrie!M18</f>
        <v>0</v>
      </c>
      <c r="N8" s="447">
        <f>industrie!N18</f>
        <v>2428.4108709328448</v>
      </c>
      <c r="O8" s="447">
        <f>industrie!O18</f>
        <v>0</v>
      </c>
      <c r="P8" s="448">
        <f>industrie!P18</f>
        <v>0</v>
      </c>
      <c r="Q8" s="446">
        <f t="shared" si="0"/>
        <v>170793.76738447856</v>
      </c>
    </row>
    <row r="9" spans="1:17" s="452" customFormat="1">
      <c r="A9" s="450" t="s">
        <v>558</v>
      </c>
      <c r="B9" s="451">
        <f>transport!B14</f>
        <v>7.1029591219851076</v>
      </c>
      <c r="C9" s="451">
        <f>transport!C14</f>
        <v>0</v>
      </c>
      <c r="D9" s="451">
        <f>transport!D14</f>
        <v>23.717701773090131</v>
      </c>
      <c r="E9" s="451">
        <f>transport!E14</f>
        <v>2603.9430308295287</v>
      </c>
      <c r="F9" s="451">
        <f>transport!F14</f>
        <v>0</v>
      </c>
      <c r="G9" s="451">
        <f>transport!G14</f>
        <v>457725.00662831916</v>
      </c>
      <c r="H9" s="451">
        <f>transport!H14</f>
        <v>79482.309282412825</v>
      </c>
      <c r="I9" s="451">
        <f>transport!I14</f>
        <v>0</v>
      </c>
      <c r="J9" s="451">
        <f>transport!J14</f>
        <v>0</v>
      </c>
      <c r="K9" s="451">
        <f>transport!K14</f>
        <v>0</v>
      </c>
      <c r="L9" s="451">
        <f>transport!L14</f>
        <v>0</v>
      </c>
      <c r="M9" s="451">
        <f>transport!M14</f>
        <v>23376.59483935792</v>
      </c>
      <c r="N9" s="451">
        <f>transport!N14</f>
        <v>0</v>
      </c>
      <c r="O9" s="451">
        <f>transport!O14</f>
        <v>0</v>
      </c>
      <c r="P9" s="451">
        <f>transport!P14</f>
        <v>0</v>
      </c>
      <c r="Q9" s="450">
        <f>SUM(B9:P9)</f>
        <v>563218.67444181454</v>
      </c>
    </row>
    <row r="10" spans="1:17">
      <c r="A10" s="446" t="s">
        <v>548</v>
      </c>
      <c r="B10" s="447">
        <f>transport!B54</f>
        <v>87.498052696201981</v>
      </c>
      <c r="C10" s="447">
        <f>transport!C54</f>
        <v>0</v>
      </c>
      <c r="D10" s="447">
        <f>transport!D54</f>
        <v>0</v>
      </c>
      <c r="E10" s="447">
        <f>transport!E54</f>
        <v>0</v>
      </c>
      <c r="F10" s="447">
        <f>transport!F54</f>
        <v>0</v>
      </c>
      <c r="G10" s="447">
        <f>transport!G54</f>
        <v>18981.824064385681</v>
      </c>
      <c r="H10" s="447">
        <f>transport!H54</f>
        <v>0</v>
      </c>
      <c r="I10" s="447">
        <f>transport!I54</f>
        <v>0</v>
      </c>
      <c r="J10" s="447">
        <f>transport!J54</f>
        <v>0</v>
      </c>
      <c r="K10" s="447">
        <f>transport!K54</f>
        <v>0</v>
      </c>
      <c r="L10" s="447">
        <f>transport!L54</f>
        <v>0</v>
      </c>
      <c r="M10" s="447">
        <f>transport!M54</f>
        <v>812.72879252376265</v>
      </c>
      <c r="N10" s="447">
        <f>transport!N54</f>
        <v>0</v>
      </c>
      <c r="O10" s="447">
        <f>transport!O54</f>
        <v>0</v>
      </c>
      <c r="P10" s="448">
        <f>transport!P54</f>
        <v>0</v>
      </c>
      <c r="Q10" s="446">
        <f t="shared" si="0"/>
        <v>19882.050909605645</v>
      </c>
    </row>
    <row r="11" spans="1:17">
      <c r="A11" s="446" t="s">
        <v>549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895</v>
      </c>
      <c r="B14" s="454">
        <f>'SEAP template'!C25</f>
        <v>17333.755000000001</v>
      </c>
      <c r="C14" s="454"/>
      <c r="D14" s="454">
        <f>'SEAP template'!E25</f>
        <v>25952</v>
      </c>
      <c r="E14" s="454"/>
      <c r="F14" s="454"/>
      <c r="G14" s="454"/>
      <c r="H14" s="454"/>
      <c r="I14" s="454"/>
      <c r="J14" s="454"/>
      <c r="K14" s="454"/>
      <c r="L14" s="454"/>
      <c r="M14" s="454"/>
      <c r="N14" s="454"/>
      <c r="O14" s="454"/>
      <c r="P14" s="455"/>
      <c r="Q14" s="446">
        <f t="shared" si="0"/>
        <v>43285.755000000005</v>
      </c>
    </row>
    <row r="15" spans="1:17" s="459" customFormat="1">
      <c r="A15" s="456" t="s">
        <v>552</v>
      </c>
      <c r="B15" s="457">
        <f ca="1">SUM(B4:B14)</f>
        <v>416779.53651452879</v>
      </c>
      <c r="C15" s="457">
        <f t="shared" ref="C15:Q15" ca="1" si="1">SUM(C4:C14)</f>
        <v>1578.4285714285716</v>
      </c>
      <c r="D15" s="457">
        <f t="shared" ca="1" si="1"/>
        <v>608378.95537091594</v>
      </c>
      <c r="E15" s="457">
        <f t="shared" si="1"/>
        <v>13733.874137683553</v>
      </c>
      <c r="F15" s="457">
        <f t="shared" ca="1" si="1"/>
        <v>293789.09534522676</v>
      </c>
      <c r="G15" s="457">
        <f t="shared" si="1"/>
        <v>476706.83069270483</v>
      </c>
      <c r="H15" s="457">
        <f t="shared" si="1"/>
        <v>79482.309282412825</v>
      </c>
      <c r="I15" s="457">
        <f t="shared" si="1"/>
        <v>0</v>
      </c>
      <c r="J15" s="457">
        <f t="shared" si="1"/>
        <v>5373.0858939029213</v>
      </c>
      <c r="K15" s="457">
        <f t="shared" si="1"/>
        <v>0</v>
      </c>
      <c r="L15" s="457">
        <f t="shared" ca="1" si="1"/>
        <v>0</v>
      </c>
      <c r="M15" s="457">
        <f t="shared" si="1"/>
        <v>24189.323631881682</v>
      </c>
      <c r="N15" s="457">
        <f t="shared" ca="1" si="1"/>
        <v>42760.001433066944</v>
      </c>
      <c r="O15" s="457">
        <f t="shared" si="1"/>
        <v>318.92</v>
      </c>
      <c r="P15" s="457">
        <f t="shared" si="1"/>
        <v>1220.2666666666667</v>
      </c>
      <c r="Q15" s="457">
        <f t="shared" ca="1" si="1"/>
        <v>1964310.6275404193</v>
      </c>
    </row>
    <row r="17" spans="1:17">
      <c r="A17" s="460" t="s">
        <v>553</v>
      </c>
      <c r="B17" s="764">
        <f ca="1">huishoudens!B10</f>
        <v>0.21092260366101284</v>
      </c>
      <c r="C17" s="764">
        <f ca="1">huishoudens!C10</f>
        <v>0.23764705882352941</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555</v>
      </c>
      <c r="B19" s="1144" t="s">
        <v>554</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29809.903236815459</v>
      </c>
      <c r="C22" s="447">
        <f t="shared" ref="C22:C32" ca="1" si="3">C4*$C$17</f>
        <v>0</v>
      </c>
      <c r="D22" s="447">
        <f t="shared" ref="D22:D32" si="4">D4*$D$17</f>
        <v>64251.926791404003</v>
      </c>
      <c r="E22" s="447">
        <f t="shared" ref="E22:E32" si="5">E4*$E$17</f>
        <v>1428.1454280650421</v>
      </c>
      <c r="F22" s="447">
        <f t="shared" ref="F22:F32" si="6">F4*$F$17</f>
        <v>57338.992277816593</v>
      </c>
      <c r="G22" s="447">
        <f t="shared" ref="G22:G32" si="7">G4*$G$17</f>
        <v>0</v>
      </c>
      <c r="H22" s="447">
        <f t="shared" ref="H22:H32" si="8">H4*$H$17</f>
        <v>0</v>
      </c>
      <c r="I22" s="447">
        <f t="shared" ref="I22:I32" si="9">I4*$I$17</f>
        <v>0</v>
      </c>
      <c r="J22" s="447">
        <f t="shared" ref="J22:J32" si="10">J4*$J$17</f>
        <v>1711.8336040846996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154540.80133818582</v>
      </c>
    </row>
    <row r="23" spans="1:17">
      <c r="A23" s="446" t="s">
        <v>149</v>
      </c>
      <c r="B23" s="447">
        <f t="shared" ca="1" si="2"/>
        <v>39408.033234774492</v>
      </c>
      <c r="C23" s="447">
        <f t="shared" ca="1" si="3"/>
        <v>343.28117647058821</v>
      </c>
      <c r="D23" s="447">
        <f t="shared" ca="1" si="4"/>
        <v>37458.481222508002</v>
      </c>
      <c r="E23" s="447">
        <f t="shared" si="5"/>
        <v>848.71660087349903</v>
      </c>
      <c r="F23" s="447">
        <f t="shared" ca="1" si="6"/>
        <v>9338.5047933428104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87397.017027969399</v>
      </c>
    </row>
    <row r="24" spans="1:17">
      <c r="A24" s="446" t="s">
        <v>187</v>
      </c>
      <c r="B24" s="447">
        <f t="shared" ca="1" si="2"/>
        <v>1049.6687815526464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1049.6687815526464</v>
      </c>
    </row>
    <row r="25" spans="1:17">
      <c r="A25" s="446" t="s">
        <v>105</v>
      </c>
      <c r="B25" s="447">
        <f t="shared" ca="1" si="2"/>
        <v>785.51142195363047</v>
      </c>
      <c r="C25" s="447">
        <f t="shared" ca="1" si="3"/>
        <v>0</v>
      </c>
      <c r="D25" s="447">
        <f t="shared" si="4"/>
        <v>509.40175250800007</v>
      </c>
      <c r="E25" s="447">
        <f t="shared" si="5"/>
        <v>8.8530690120201285</v>
      </c>
      <c r="F25" s="447">
        <f t="shared" si="6"/>
        <v>4256.5869143507398</v>
      </c>
      <c r="G25" s="447">
        <f t="shared" si="7"/>
        <v>0</v>
      </c>
      <c r="H25" s="447">
        <f t="shared" si="8"/>
        <v>0</v>
      </c>
      <c r="I25" s="447">
        <f t="shared" si="9"/>
        <v>0</v>
      </c>
      <c r="J25" s="447">
        <f t="shared" si="10"/>
        <v>117.740991886656</v>
      </c>
      <c r="K25" s="447">
        <f t="shared" si="11"/>
        <v>0</v>
      </c>
      <c r="L25" s="447">
        <f t="shared" si="12"/>
        <v>0</v>
      </c>
      <c r="M25" s="447">
        <f t="shared" si="13"/>
        <v>0</v>
      </c>
      <c r="N25" s="447">
        <f t="shared" si="14"/>
        <v>0</v>
      </c>
      <c r="O25" s="447">
        <f t="shared" si="15"/>
        <v>0</v>
      </c>
      <c r="P25" s="448">
        <f t="shared" si="16"/>
        <v>0</v>
      </c>
      <c r="Q25" s="446">
        <f t="shared" ca="1" si="17"/>
        <v>5678.0941497110471</v>
      </c>
    </row>
    <row r="26" spans="1:17">
      <c r="A26" s="446" t="s">
        <v>639</v>
      </c>
      <c r="B26" s="447">
        <f t="shared" ca="1" si="2"/>
        <v>13179.074091634615</v>
      </c>
      <c r="C26" s="447">
        <f t="shared" ca="1" si="3"/>
        <v>31.827731092436977</v>
      </c>
      <c r="D26" s="447">
        <f t="shared" si="4"/>
        <v>15425.644242746857</v>
      </c>
      <c r="E26" s="447">
        <f t="shared" si="5"/>
        <v>240.77926330530249</v>
      </c>
      <c r="F26" s="447">
        <f t="shared" si="6"/>
        <v>7507.604471665406</v>
      </c>
      <c r="G26" s="447">
        <f t="shared" si="7"/>
        <v>0</v>
      </c>
      <c r="H26" s="447">
        <f t="shared" si="8"/>
        <v>0</v>
      </c>
      <c r="I26" s="447">
        <f t="shared" si="9"/>
        <v>0</v>
      </c>
      <c r="J26" s="447">
        <f t="shared" si="10"/>
        <v>72.497810470278353</v>
      </c>
      <c r="K26" s="447">
        <f t="shared" si="11"/>
        <v>0</v>
      </c>
      <c r="L26" s="447">
        <f t="shared" si="12"/>
        <v>0</v>
      </c>
      <c r="M26" s="447">
        <f t="shared" si="13"/>
        <v>0</v>
      </c>
      <c r="N26" s="447">
        <f t="shared" si="14"/>
        <v>0</v>
      </c>
      <c r="O26" s="447">
        <f t="shared" si="15"/>
        <v>0</v>
      </c>
      <c r="P26" s="448">
        <f t="shared" si="16"/>
        <v>0</v>
      </c>
      <c r="Q26" s="446">
        <f t="shared" ca="1" si="17"/>
        <v>36457.427610914892</v>
      </c>
    </row>
    <row r="27" spans="1:17" s="452" customFormat="1">
      <c r="A27" s="450" t="s">
        <v>558</v>
      </c>
      <c r="B27" s="758">
        <f t="shared" ca="1" si="2"/>
        <v>1.4981746317068405</v>
      </c>
      <c r="C27" s="451">
        <f t="shared" ca="1" si="3"/>
        <v>0</v>
      </c>
      <c r="D27" s="451">
        <f t="shared" si="4"/>
        <v>4.7909757581642065</v>
      </c>
      <c r="E27" s="451">
        <f t="shared" si="5"/>
        <v>591.09506799830308</v>
      </c>
      <c r="F27" s="451">
        <f t="shared" si="6"/>
        <v>0</v>
      </c>
      <c r="G27" s="451">
        <f t="shared" si="7"/>
        <v>122212.57676976122</v>
      </c>
      <c r="H27" s="451">
        <f t="shared" si="8"/>
        <v>19791.095011320795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142601.05599947018</v>
      </c>
    </row>
    <row r="28" spans="1:17">
      <c r="A28" s="446" t="s">
        <v>548</v>
      </c>
      <c r="B28" s="447">
        <f t="shared" ca="1" si="2"/>
        <v>18.455317089951425</v>
      </c>
      <c r="C28" s="447">
        <f t="shared" ca="1" si="3"/>
        <v>0</v>
      </c>
      <c r="D28" s="447">
        <f t="shared" si="4"/>
        <v>0</v>
      </c>
      <c r="E28" s="447">
        <f t="shared" si="5"/>
        <v>0</v>
      </c>
      <c r="F28" s="447">
        <f t="shared" si="6"/>
        <v>0</v>
      </c>
      <c r="G28" s="447">
        <f t="shared" si="7"/>
        <v>5068.1470251909768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5086.6023422809285</v>
      </c>
    </row>
    <row r="29" spans="1:17">
      <c r="A29" s="446" t="s">
        <v>549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895</v>
      </c>
      <c r="B32" s="447">
        <f t="shared" ca="1" si="2"/>
        <v>3656.0807358221</v>
      </c>
      <c r="C32" s="447">
        <f t="shared" ca="1" si="3"/>
        <v>0</v>
      </c>
      <c r="D32" s="447">
        <f t="shared" si="4"/>
        <v>5242.3040000000001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8898.3847358220992</v>
      </c>
    </row>
    <row r="33" spans="1:17" s="459" customFormat="1">
      <c r="A33" s="456" t="s">
        <v>552</v>
      </c>
      <c r="B33" s="457">
        <f ca="1">SUM(B22:B32)</f>
        <v>87908.224994274613</v>
      </c>
      <c r="C33" s="457">
        <f t="shared" ref="C33:Q33" ca="1" si="19">SUM(C22:C32)</f>
        <v>375.10890756302518</v>
      </c>
      <c r="D33" s="457">
        <f t="shared" ca="1" si="19"/>
        <v>122892.54898492503</v>
      </c>
      <c r="E33" s="457">
        <f t="shared" si="19"/>
        <v>3117.5894292541666</v>
      </c>
      <c r="F33" s="457">
        <f t="shared" ca="1" si="19"/>
        <v>78441.688457175551</v>
      </c>
      <c r="G33" s="457">
        <f t="shared" si="19"/>
        <v>127280.7237949522</v>
      </c>
      <c r="H33" s="457">
        <f t="shared" si="19"/>
        <v>19791.095011320795</v>
      </c>
      <c r="I33" s="457">
        <f t="shared" si="19"/>
        <v>0</v>
      </c>
      <c r="J33" s="457">
        <f t="shared" si="19"/>
        <v>1902.072406441634</v>
      </c>
      <c r="K33" s="457">
        <f t="shared" si="19"/>
        <v>0</v>
      </c>
      <c r="L33" s="457">
        <f t="shared" ca="1" si="19"/>
        <v>0</v>
      </c>
      <c r="M33" s="457">
        <f t="shared" si="19"/>
        <v>0</v>
      </c>
      <c r="N33" s="457">
        <f t="shared" ca="1" si="19"/>
        <v>0</v>
      </c>
      <c r="O33" s="457">
        <f t="shared" si="19"/>
        <v>0</v>
      </c>
      <c r="P33" s="457">
        <f t="shared" si="19"/>
        <v>0</v>
      </c>
      <c r="Q33" s="457">
        <f t="shared" ca="1" si="19"/>
        <v>441709.05198590696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547</v>
      </c>
      <c r="B1" s="1153" t="s">
        <v>849</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850</v>
      </c>
      <c r="C4" s="934" t="s">
        <v>851</v>
      </c>
      <c r="D4" s="935" t="s">
        <v>852</v>
      </c>
      <c r="E4" s="936" t="s">
        <v>853</v>
      </c>
      <c r="F4" s="936" t="s">
        <v>854</v>
      </c>
      <c r="G4" s="937" t="s">
        <v>857</v>
      </c>
      <c r="H4" s="937" t="s">
        <v>857</v>
      </c>
      <c r="I4" s="937" t="s">
        <v>857</v>
      </c>
      <c r="J4" s="936" t="s">
        <v>856</v>
      </c>
      <c r="K4" s="937" t="s">
        <v>857</v>
      </c>
      <c r="L4" s="937" t="s">
        <v>857</v>
      </c>
      <c r="M4" s="937" t="s">
        <v>857</v>
      </c>
      <c r="N4" s="936" t="s">
        <v>858</v>
      </c>
      <c r="O4" s="938" t="s">
        <v>859</v>
      </c>
      <c r="P4" s="939" t="s">
        <v>860</v>
      </c>
      <c r="Q4" s="940"/>
    </row>
    <row r="5" spans="1:17" ht="124.35" customHeight="1">
      <c r="A5" s="915" t="s">
        <v>149</v>
      </c>
      <c r="B5" s="916" t="s">
        <v>861</v>
      </c>
      <c r="C5" s="917" t="s">
        <v>862</v>
      </c>
      <c r="D5" s="917" t="s">
        <v>863</v>
      </c>
      <c r="E5" s="918" t="s">
        <v>864</v>
      </c>
      <c r="F5" s="918" t="s">
        <v>865</v>
      </c>
      <c r="G5" s="919" t="s">
        <v>857</v>
      </c>
      <c r="H5" s="919" t="s">
        <v>857</v>
      </c>
      <c r="I5" s="919" t="s">
        <v>857</v>
      </c>
      <c r="J5" s="918" t="s">
        <v>866</v>
      </c>
      <c r="K5" s="916" t="s">
        <v>867</v>
      </c>
      <c r="L5" s="919" t="s">
        <v>857</v>
      </c>
      <c r="M5" s="919" t="s">
        <v>857</v>
      </c>
      <c r="N5" s="918" t="s">
        <v>868</v>
      </c>
      <c r="O5" s="920" t="s">
        <v>859</v>
      </c>
      <c r="P5" s="928" t="s">
        <v>860</v>
      </c>
      <c r="Q5" s="911"/>
    </row>
    <row r="6" spans="1:17" ht="124.35" customHeight="1">
      <c r="A6" s="915" t="s">
        <v>187</v>
      </c>
      <c r="B6" s="921" t="s">
        <v>869</v>
      </c>
      <c r="C6" s="922" t="s">
        <v>855</v>
      </c>
      <c r="D6" s="919" t="s">
        <v>855</v>
      </c>
      <c r="E6" s="919" t="s">
        <v>855</v>
      </c>
      <c r="F6" s="919" t="s">
        <v>855</v>
      </c>
      <c r="G6" s="919" t="s">
        <v>855</v>
      </c>
      <c r="H6" s="919" t="s">
        <v>855</v>
      </c>
      <c r="I6" s="919" t="s">
        <v>855</v>
      </c>
      <c r="J6" s="919" t="s">
        <v>855</v>
      </c>
      <c r="K6" s="919" t="s">
        <v>855</v>
      </c>
      <c r="L6" s="919" t="s">
        <v>855</v>
      </c>
      <c r="M6" s="919" t="s">
        <v>855</v>
      </c>
      <c r="N6" s="919" t="s">
        <v>855</v>
      </c>
      <c r="O6" s="923" t="s">
        <v>855</v>
      </c>
      <c r="P6" s="929" t="s">
        <v>855</v>
      </c>
      <c r="Q6" s="912"/>
    </row>
    <row r="7" spans="1:17" ht="124.35" customHeight="1">
      <c r="A7" s="915" t="s">
        <v>105</v>
      </c>
      <c r="B7" s="921" t="s">
        <v>869</v>
      </c>
      <c r="C7" s="917" t="s">
        <v>862</v>
      </c>
      <c r="D7" s="917" t="s">
        <v>863</v>
      </c>
      <c r="E7" s="918" t="s">
        <v>864</v>
      </c>
      <c r="F7" s="918" t="s">
        <v>865</v>
      </c>
      <c r="G7" s="919" t="s">
        <v>857</v>
      </c>
      <c r="H7" s="919" t="s">
        <v>857</v>
      </c>
      <c r="I7" s="919" t="s">
        <v>857</v>
      </c>
      <c r="J7" s="918" t="s">
        <v>866</v>
      </c>
      <c r="K7" s="919" t="s">
        <v>857</v>
      </c>
      <c r="L7" s="919" t="s">
        <v>857</v>
      </c>
      <c r="M7" s="919" t="s">
        <v>857</v>
      </c>
      <c r="N7" s="924" t="s">
        <v>857</v>
      </c>
      <c r="O7" s="922" t="s">
        <v>857</v>
      </c>
      <c r="P7" s="930" t="s">
        <v>857</v>
      </c>
      <c r="Q7" s="911"/>
    </row>
    <row r="8" spans="1:17" ht="124.35" customHeight="1">
      <c r="A8" s="915" t="s">
        <v>639</v>
      </c>
      <c r="B8" s="916" t="s">
        <v>870</v>
      </c>
      <c r="C8" s="917" t="s">
        <v>862</v>
      </c>
      <c r="D8" s="917" t="s">
        <v>863</v>
      </c>
      <c r="E8" s="918" t="s">
        <v>864</v>
      </c>
      <c r="F8" s="918" t="s">
        <v>865</v>
      </c>
      <c r="G8" s="919" t="s">
        <v>857</v>
      </c>
      <c r="H8" s="919" t="s">
        <v>857</v>
      </c>
      <c r="I8" s="919" t="s">
        <v>857</v>
      </c>
      <c r="J8" s="918" t="s">
        <v>866</v>
      </c>
      <c r="K8" s="916" t="s">
        <v>867</v>
      </c>
      <c r="L8" s="919" t="s">
        <v>857</v>
      </c>
      <c r="M8" s="919" t="s">
        <v>857</v>
      </c>
      <c r="N8" s="918" t="s">
        <v>868</v>
      </c>
      <c r="O8" s="920" t="s">
        <v>859</v>
      </c>
      <c r="P8" s="928" t="s">
        <v>860</v>
      </c>
      <c r="Q8" s="911"/>
    </row>
    <row r="9" spans="1:17" s="452" customFormat="1" ht="124.35" customHeight="1">
      <c r="A9" s="925" t="s">
        <v>558</v>
      </c>
      <c r="B9" s="918" t="s">
        <v>871</v>
      </c>
      <c r="C9" s="923" t="s">
        <v>855</v>
      </c>
      <c r="D9" s="918" t="s">
        <v>872</v>
      </c>
      <c r="E9" s="918" t="s">
        <v>873</v>
      </c>
      <c r="F9" s="919" t="s">
        <v>855</v>
      </c>
      <c r="G9" s="918" t="s">
        <v>874</v>
      </c>
      <c r="H9" s="918" t="s">
        <v>875</v>
      </c>
      <c r="I9" s="919" t="s">
        <v>855</v>
      </c>
      <c r="J9" s="919" t="s">
        <v>855</v>
      </c>
      <c r="K9" s="919" t="s">
        <v>855</v>
      </c>
      <c r="L9" s="919" t="s">
        <v>855</v>
      </c>
      <c r="M9" s="918" t="s">
        <v>871</v>
      </c>
      <c r="N9" s="919" t="s">
        <v>855</v>
      </c>
      <c r="O9" s="919" t="s">
        <v>855</v>
      </c>
      <c r="P9" s="931" t="s">
        <v>855</v>
      </c>
      <c r="Q9" s="913"/>
    </row>
    <row r="10" spans="1:17" ht="124.35" customHeight="1">
      <c r="A10" s="915" t="s">
        <v>548</v>
      </c>
      <c r="B10" s="916" t="s">
        <v>885</v>
      </c>
      <c r="C10" s="923" t="s">
        <v>855</v>
      </c>
      <c r="D10" s="923" t="s">
        <v>855</v>
      </c>
      <c r="E10" s="923" t="s">
        <v>855</v>
      </c>
      <c r="F10" s="919" t="s">
        <v>855</v>
      </c>
      <c r="G10" s="916" t="s">
        <v>876</v>
      </c>
      <c r="H10" s="919" t="s">
        <v>855</v>
      </c>
      <c r="I10" s="919" t="s">
        <v>855</v>
      </c>
      <c r="J10" s="919" t="s">
        <v>855</v>
      </c>
      <c r="K10" s="919" t="s">
        <v>855</v>
      </c>
      <c r="L10" s="919" t="s">
        <v>855</v>
      </c>
      <c r="M10" s="916" t="s">
        <v>877</v>
      </c>
      <c r="N10" s="919" t="s">
        <v>855</v>
      </c>
      <c r="O10" s="919" t="s">
        <v>855</v>
      </c>
      <c r="P10" s="931" t="s">
        <v>855</v>
      </c>
      <c r="Q10" s="911"/>
    </row>
    <row r="11" spans="1:17" ht="21">
      <c r="A11" s="915" t="s">
        <v>549</v>
      </c>
      <c r="B11" s="926" t="s">
        <v>878</v>
      </c>
      <c r="C11" s="926" t="s">
        <v>878</v>
      </c>
      <c r="D11" s="926" t="s">
        <v>878</v>
      </c>
      <c r="E11" s="926" t="s">
        <v>878</v>
      </c>
      <c r="F11" s="926" t="s">
        <v>878</v>
      </c>
      <c r="G11" s="926" t="s">
        <v>878</v>
      </c>
      <c r="H11" s="926" t="s">
        <v>878</v>
      </c>
      <c r="I11" s="926" t="s">
        <v>878</v>
      </c>
      <c r="J11" s="926" t="s">
        <v>878</v>
      </c>
      <c r="K11" s="926" t="s">
        <v>878</v>
      </c>
      <c r="L11" s="926" t="s">
        <v>878</v>
      </c>
      <c r="M11" s="926" t="s">
        <v>878</v>
      </c>
      <c r="N11" s="926" t="s">
        <v>878</v>
      </c>
      <c r="O11" s="926" t="s">
        <v>878</v>
      </c>
      <c r="P11" s="941" t="s">
        <v>878</v>
      </c>
      <c r="Q11" s="942"/>
    </row>
    <row r="12" spans="1:17" ht="21">
      <c r="A12" s="915" t="s">
        <v>550</v>
      </c>
      <c r="B12" s="926" t="s">
        <v>878</v>
      </c>
      <c r="C12" s="926" t="s">
        <v>855</v>
      </c>
      <c r="D12" s="926" t="s">
        <v>855</v>
      </c>
      <c r="E12" s="926" t="s">
        <v>855</v>
      </c>
      <c r="F12" s="926" t="s">
        <v>855</v>
      </c>
      <c r="G12" s="926" t="s">
        <v>855</v>
      </c>
      <c r="H12" s="926" t="s">
        <v>855</v>
      </c>
      <c r="I12" s="926" t="s">
        <v>855</v>
      </c>
      <c r="J12" s="926" t="s">
        <v>855</v>
      </c>
      <c r="K12" s="926" t="s">
        <v>855</v>
      </c>
      <c r="L12" s="926" t="s">
        <v>855</v>
      </c>
      <c r="M12" s="926" t="s">
        <v>855</v>
      </c>
      <c r="N12" s="926" t="s">
        <v>855</v>
      </c>
      <c r="O12" s="926" t="s">
        <v>855</v>
      </c>
      <c r="P12" s="932" t="s">
        <v>855</v>
      </c>
      <c r="Q12" s="448"/>
    </row>
    <row r="13" spans="1:17" ht="21">
      <c r="A13" s="915" t="s">
        <v>551</v>
      </c>
      <c r="B13" s="926" t="s">
        <v>878</v>
      </c>
      <c r="C13" s="926" t="s">
        <v>855</v>
      </c>
      <c r="D13" s="926" t="s">
        <v>878</v>
      </c>
      <c r="E13" s="926" t="s">
        <v>878</v>
      </c>
      <c r="F13" s="926" t="s">
        <v>855</v>
      </c>
      <c r="G13" s="926" t="s">
        <v>878</v>
      </c>
      <c r="H13" s="926" t="s">
        <v>878</v>
      </c>
      <c r="I13" s="926" t="s">
        <v>855</v>
      </c>
      <c r="J13" s="926" t="s">
        <v>855</v>
      </c>
      <c r="K13" s="926" t="s">
        <v>855</v>
      </c>
      <c r="L13" s="926" t="s">
        <v>855</v>
      </c>
      <c r="M13" s="926" t="s">
        <v>878</v>
      </c>
      <c r="N13" s="926" t="s">
        <v>855</v>
      </c>
      <c r="O13" s="926" t="s">
        <v>855</v>
      </c>
      <c r="P13" s="941" t="s">
        <v>855</v>
      </c>
      <c r="Q13" s="942"/>
    </row>
    <row r="14" spans="1:17" ht="30">
      <c r="A14" s="898" t="s">
        <v>895</v>
      </c>
      <c r="B14" s="921" t="s">
        <v>894</v>
      </c>
      <c r="C14" s="926" t="s">
        <v>855</v>
      </c>
      <c r="D14" s="921" t="s">
        <v>894</v>
      </c>
      <c r="E14" s="926" t="s">
        <v>855</v>
      </c>
      <c r="F14" s="926" t="s">
        <v>855</v>
      </c>
      <c r="G14" s="926" t="s">
        <v>855</v>
      </c>
      <c r="H14" s="926" t="s">
        <v>855</v>
      </c>
      <c r="I14" s="926" t="s">
        <v>855</v>
      </c>
      <c r="J14" s="926" t="s">
        <v>855</v>
      </c>
      <c r="K14" s="926" t="s">
        <v>855</v>
      </c>
      <c r="L14" s="926" t="s">
        <v>855</v>
      </c>
      <c r="M14" s="926" t="s">
        <v>855</v>
      </c>
      <c r="N14" s="926" t="s">
        <v>855</v>
      </c>
      <c r="O14" s="926" t="s">
        <v>855</v>
      </c>
      <c r="P14" s="941" t="s">
        <v>855</v>
      </c>
      <c r="Q14" s="1003"/>
    </row>
    <row r="15" spans="1:17" s="459" customFormat="1" ht="21">
      <c r="A15" s="899" t="s">
        <v>552</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879</v>
      </c>
      <c r="B18" s="907" t="s">
        <v>880</v>
      </c>
      <c r="C18" s="908" t="s">
        <v>881</v>
      </c>
      <c r="D18" s="909" t="s">
        <v>882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898</v>
      </c>
    </row>
    <row r="2" spans="1:16" ht="60">
      <c r="A2" s="1161"/>
      <c r="B2" s="1162"/>
      <c r="C2" s="1162"/>
      <c r="D2" s="1163" t="s">
        <v>190</v>
      </c>
      <c r="E2" s="1163"/>
      <c r="F2" s="1163"/>
      <c r="G2" s="1163"/>
      <c r="H2" s="1163"/>
      <c r="I2" s="1004" t="s">
        <v>899</v>
      </c>
      <c r="J2" s="1004" t="s">
        <v>223</v>
      </c>
      <c r="K2" s="1004" t="s">
        <v>900</v>
      </c>
      <c r="L2" s="1004" t="s">
        <v>886</v>
      </c>
      <c r="M2" s="1004" t="s">
        <v>234</v>
      </c>
      <c r="N2" s="1004" t="s">
        <v>901</v>
      </c>
      <c r="O2" s="1004" t="s">
        <v>120</v>
      </c>
      <c r="P2" s="1162"/>
    </row>
    <row r="3" spans="1:16" ht="30">
      <c r="A3" s="1161"/>
      <c r="B3" s="1004" t="s">
        <v>902</v>
      </c>
      <c r="C3" s="1004" t="s">
        <v>903</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6607.4746365291803</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11243.015909762253</v>
      </c>
      <c r="C6" s="1006"/>
      <c r="D6" s="1006"/>
      <c r="E6" s="1006"/>
      <c r="F6" s="1006"/>
      <c r="G6" s="1006"/>
      <c r="H6" s="1006"/>
      <c r="I6" s="1006"/>
      <c r="J6" s="1006"/>
      <c r="K6" s="1006"/>
      <c r="L6" s="1006"/>
      <c r="M6" s="1006"/>
      <c r="N6" s="1006"/>
      <c r="O6" s="1006"/>
      <c r="P6" s="1007">
        <f>'SEAP template'!Q74</f>
        <v>0</v>
      </c>
    </row>
    <row r="7" spans="1:16">
      <c r="A7" s="1008" t="s">
        <v>886</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1104.9000000000001</v>
      </c>
      <c r="D8" s="1006">
        <f>'SEAP template'!D76</f>
        <v>1299.8823529411768</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262.57623529411774</v>
      </c>
    </row>
    <row r="9" spans="1:16">
      <c r="A9" s="1009" t="s">
        <v>904</v>
      </c>
      <c r="B9" s="1006">
        <f>'SEAP template'!B77</f>
        <v>1237.5</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3535.7142857142858</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19087.990546291432</v>
      </c>
      <c r="C10" s="1010">
        <f>SUM(C4:C9)</f>
        <v>1104.9000000000001</v>
      </c>
      <c r="D10" s="1010">
        <f t="shared" ref="D10:H10" si="0">SUM(D8:D9)</f>
        <v>1299.8823529411768</v>
      </c>
      <c r="E10" s="1010">
        <f t="shared" si="0"/>
        <v>0</v>
      </c>
      <c r="F10" s="1010">
        <f t="shared" si="0"/>
        <v>0</v>
      </c>
      <c r="G10" s="1010">
        <f t="shared" si="0"/>
        <v>0</v>
      </c>
      <c r="H10" s="1010">
        <f t="shared" si="0"/>
        <v>0</v>
      </c>
      <c r="I10" s="1010">
        <f>SUM(I8:I9)</f>
        <v>0</v>
      </c>
      <c r="J10" s="1010">
        <f>SUM(J8:J9)</f>
        <v>3535.7142857142858</v>
      </c>
      <c r="K10" s="1010">
        <f t="shared" ref="K10:L10" si="1">SUM(K8:K9)</f>
        <v>0</v>
      </c>
      <c r="L10" s="1010">
        <f t="shared" si="1"/>
        <v>0</v>
      </c>
      <c r="M10" s="1010">
        <f>SUM(M8:M9)</f>
        <v>0</v>
      </c>
      <c r="N10" s="1010">
        <f>SUM(N8:N9)</f>
        <v>0</v>
      </c>
      <c r="O10" s="1010">
        <f>SUM(O8:O9)</f>
        <v>0</v>
      </c>
      <c r="P10" s="1010">
        <f>SUM(P8:P9)</f>
        <v>262.57623529411774</v>
      </c>
    </row>
    <row r="11" spans="1:16">
      <c r="A11" s="1011"/>
      <c r="B11" s="1011"/>
      <c r="C11" s="1011"/>
      <c r="D11" s="1011"/>
      <c r="E11" s="1011"/>
      <c r="F11" s="1011"/>
      <c r="G11" s="1011"/>
      <c r="H11" s="1011"/>
      <c r="I11" s="1011"/>
      <c r="J11" s="1011"/>
      <c r="K11" s="1011"/>
      <c r="L11" s="1011"/>
      <c r="M11" s="1011"/>
      <c r="N11" s="1011"/>
      <c r="O11" s="1011"/>
      <c r="P11" s="1011"/>
    </row>
    <row r="12" spans="1:16">
      <c r="A12" s="460" t="s">
        <v>905</v>
      </c>
      <c r="B12" s="764" t="s">
        <v>906</v>
      </c>
      <c r="C12" s="764">
        <f ca="1">'EF ele_warmte'!B12</f>
        <v>0.21092260366101284</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907</v>
      </c>
    </row>
    <row r="15" spans="1:16">
      <c r="A15" s="1161"/>
      <c r="B15" s="1162"/>
      <c r="C15" s="1162"/>
      <c r="D15" s="1164" t="s">
        <v>190</v>
      </c>
      <c r="E15" s="1164"/>
      <c r="F15" s="1164"/>
      <c r="G15" s="1164"/>
      <c r="H15" s="1164"/>
      <c r="I15" s="1162" t="s">
        <v>899</v>
      </c>
      <c r="J15" s="1162" t="s">
        <v>223</v>
      </c>
      <c r="K15" s="1162" t="s">
        <v>900</v>
      </c>
      <c r="L15" s="1162" t="s">
        <v>886</v>
      </c>
      <c r="M15" s="1162" t="s">
        <v>234</v>
      </c>
      <c r="N15" s="1162" t="s">
        <v>908</v>
      </c>
      <c r="O15" s="1162" t="s">
        <v>120</v>
      </c>
      <c r="P15" s="1162"/>
    </row>
    <row r="16" spans="1:16" ht="30">
      <c r="A16" s="1161"/>
      <c r="B16" s="1004" t="s">
        <v>909</v>
      </c>
      <c r="C16" s="1004" t="s">
        <v>910</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1578.4285714285713</v>
      </c>
      <c r="D17" s="1007">
        <f>'SEAP template'!D87</f>
        <v>1856.9747899159665</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375.10890756302524</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911</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1578.4285714285713</v>
      </c>
      <c r="D20" s="1010">
        <f t="shared" ref="D20:H20" si="2">SUM(D17:D19)</f>
        <v>1856.9747899159665</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375.10890756302524</v>
      </c>
    </row>
    <row r="22" spans="1:16">
      <c r="A22" s="460" t="s">
        <v>912</v>
      </c>
      <c r="B22" s="764" t="s">
        <v>906</v>
      </c>
      <c r="C22" s="764">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898</v>
      </c>
    </row>
    <row r="2" spans="1:16" ht="15.75">
      <c r="A2" s="1161"/>
      <c r="B2" s="1162"/>
      <c r="C2" s="1162"/>
      <c r="D2" s="1163" t="s">
        <v>190</v>
      </c>
      <c r="E2" s="1163"/>
      <c r="F2" s="1163"/>
      <c r="G2" s="1163"/>
      <c r="H2" s="1163"/>
      <c r="I2" s="1004" t="s">
        <v>899</v>
      </c>
      <c r="J2" s="1004" t="s">
        <v>223</v>
      </c>
      <c r="K2" s="1004" t="s">
        <v>900</v>
      </c>
      <c r="L2" s="1004" t="s">
        <v>886</v>
      </c>
      <c r="M2" s="1004" t="s">
        <v>234</v>
      </c>
      <c r="N2" s="1004" t="s">
        <v>901</v>
      </c>
      <c r="O2" s="1004" t="s">
        <v>120</v>
      </c>
      <c r="P2" s="1162"/>
    </row>
    <row r="3" spans="1:16" ht="30">
      <c r="A3" s="1161"/>
      <c r="B3" s="1004" t="s">
        <v>902</v>
      </c>
      <c r="C3" s="1004" t="s">
        <v>903</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913</v>
      </c>
      <c r="C4" s="1018" t="s">
        <v>855</v>
      </c>
      <c r="D4" s="1018" t="s">
        <v>855</v>
      </c>
      <c r="E4" s="1018" t="s">
        <v>855</v>
      </c>
      <c r="F4" s="1018" t="s">
        <v>855</v>
      </c>
      <c r="G4" s="1018" t="s">
        <v>855</v>
      </c>
      <c r="H4" s="1018" t="s">
        <v>855</v>
      </c>
      <c r="I4" s="1018" t="s">
        <v>855</v>
      </c>
      <c r="J4" s="1018" t="s">
        <v>855</v>
      </c>
      <c r="K4" s="1018" t="s">
        <v>855</v>
      </c>
      <c r="L4" s="1018" t="s">
        <v>855</v>
      </c>
      <c r="M4" s="1018" t="s">
        <v>855</v>
      </c>
      <c r="N4" s="1018" t="s">
        <v>855</v>
      </c>
      <c r="O4" s="1018" t="s">
        <v>855</v>
      </c>
      <c r="P4" s="1019" t="s">
        <v>914</v>
      </c>
    </row>
    <row r="5" spans="1:16" ht="135">
      <c r="A5" s="1020" t="s">
        <v>239</v>
      </c>
      <c r="B5" s="1017" t="s">
        <v>913</v>
      </c>
      <c r="C5" s="1018" t="s">
        <v>855</v>
      </c>
      <c r="D5" s="1018" t="s">
        <v>855</v>
      </c>
      <c r="E5" s="1018" t="s">
        <v>855</v>
      </c>
      <c r="F5" s="1018" t="s">
        <v>855</v>
      </c>
      <c r="G5" s="1018" t="s">
        <v>855</v>
      </c>
      <c r="H5" s="1018" t="s">
        <v>855</v>
      </c>
      <c r="I5" s="1018" t="s">
        <v>855</v>
      </c>
      <c r="J5" s="1018" t="s">
        <v>855</v>
      </c>
      <c r="K5" s="1018" t="s">
        <v>855</v>
      </c>
      <c r="L5" s="1018" t="s">
        <v>855</v>
      </c>
      <c r="M5" s="1018" t="s">
        <v>855</v>
      </c>
      <c r="N5" s="1018" t="s">
        <v>855</v>
      </c>
      <c r="O5" s="1018" t="s">
        <v>855</v>
      </c>
      <c r="P5" s="1019" t="s">
        <v>914</v>
      </c>
    </row>
    <row r="6" spans="1:16" ht="135">
      <c r="A6" s="1020" t="s">
        <v>240</v>
      </c>
      <c r="B6" s="1017" t="s">
        <v>913</v>
      </c>
      <c r="C6" s="1018" t="s">
        <v>855</v>
      </c>
      <c r="D6" s="1018" t="s">
        <v>855</v>
      </c>
      <c r="E6" s="1018" t="s">
        <v>855</v>
      </c>
      <c r="F6" s="1018" t="s">
        <v>855</v>
      </c>
      <c r="G6" s="1018" t="s">
        <v>855</v>
      </c>
      <c r="H6" s="1018" t="s">
        <v>855</v>
      </c>
      <c r="I6" s="1018" t="s">
        <v>855</v>
      </c>
      <c r="J6" s="1018" t="s">
        <v>855</v>
      </c>
      <c r="K6" s="1018" t="s">
        <v>855</v>
      </c>
      <c r="L6" s="1018" t="s">
        <v>855</v>
      </c>
      <c r="M6" s="1018" t="s">
        <v>855</v>
      </c>
      <c r="N6" s="1018" t="s">
        <v>855</v>
      </c>
      <c r="O6" s="1018" t="s">
        <v>855</v>
      </c>
      <c r="P6" s="1019" t="s">
        <v>914</v>
      </c>
    </row>
    <row r="7" spans="1:16" ht="135">
      <c r="A7" s="1020" t="s">
        <v>886</v>
      </c>
      <c r="B7" s="1018" t="s">
        <v>855</v>
      </c>
      <c r="C7" s="1018" t="s">
        <v>855</v>
      </c>
      <c r="D7" s="1018" t="s">
        <v>855</v>
      </c>
      <c r="E7" s="1018" t="s">
        <v>855</v>
      </c>
      <c r="F7" s="1018" t="s">
        <v>855</v>
      </c>
      <c r="G7" s="1018" t="s">
        <v>855</v>
      </c>
      <c r="H7" s="1018" t="s">
        <v>855</v>
      </c>
      <c r="I7" s="1018" t="s">
        <v>855</v>
      </c>
      <c r="J7" s="1018" t="s">
        <v>855</v>
      </c>
      <c r="K7" s="1018" t="s">
        <v>855</v>
      </c>
      <c r="L7" s="1018" t="s">
        <v>855</v>
      </c>
      <c r="M7" s="1018" t="s">
        <v>855</v>
      </c>
      <c r="N7" s="1018" t="s">
        <v>855</v>
      </c>
      <c r="O7" s="1018" t="s">
        <v>855</v>
      </c>
      <c r="P7" s="1019" t="s">
        <v>914</v>
      </c>
    </row>
    <row r="8" spans="1:16" ht="210">
      <c r="A8" s="1016" t="s">
        <v>241</v>
      </c>
      <c r="B8" s="1017" t="s">
        <v>915</v>
      </c>
      <c r="C8" s="1017" t="s">
        <v>915</v>
      </c>
      <c r="D8" s="1017" t="s">
        <v>915</v>
      </c>
      <c r="E8" s="1017" t="s">
        <v>915</v>
      </c>
      <c r="F8" s="1017" t="s">
        <v>915</v>
      </c>
      <c r="G8" s="1017" t="s">
        <v>915</v>
      </c>
      <c r="H8" s="1017" t="s">
        <v>915</v>
      </c>
      <c r="I8" s="1017" t="s">
        <v>915</v>
      </c>
      <c r="J8" s="1017" t="s">
        <v>915</v>
      </c>
      <c r="K8" s="1018" t="s">
        <v>855</v>
      </c>
      <c r="L8" s="1018" t="s">
        <v>855</v>
      </c>
      <c r="M8" s="1018" t="s">
        <v>855</v>
      </c>
      <c r="N8" s="1017" t="s">
        <v>916</v>
      </c>
      <c r="O8" s="1017" t="s">
        <v>916</v>
      </c>
      <c r="P8" s="1021"/>
    </row>
    <row r="9" spans="1:16" ht="210">
      <c r="A9" s="1022" t="s">
        <v>904</v>
      </c>
      <c r="B9" s="1017" t="s">
        <v>916</v>
      </c>
      <c r="C9" s="1017" t="s">
        <v>916</v>
      </c>
      <c r="D9" s="1017" t="s">
        <v>916</v>
      </c>
      <c r="E9" s="1017" t="s">
        <v>916</v>
      </c>
      <c r="F9" s="1017" t="s">
        <v>916</v>
      </c>
      <c r="G9" s="1017" t="s">
        <v>916</v>
      </c>
      <c r="H9" s="1017" t="s">
        <v>916</v>
      </c>
      <c r="I9" s="1017" t="s">
        <v>916</v>
      </c>
      <c r="J9" s="1017" t="s">
        <v>916</v>
      </c>
      <c r="K9" s="1018" t="s">
        <v>855</v>
      </c>
      <c r="L9" s="1017" t="s">
        <v>916</v>
      </c>
      <c r="M9" s="1017" t="s">
        <v>916</v>
      </c>
      <c r="N9" s="1017" t="s">
        <v>916</v>
      </c>
      <c r="O9" s="1017" t="s">
        <v>916</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905</v>
      </c>
      <c r="B12" s="764" t="s">
        <v>906</v>
      </c>
      <c r="C12" s="1024" t="s">
        <v>917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907</v>
      </c>
    </row>
    <row r="15" spans="1:16">
      <c r="A15" s="1161"/>
      <c r="B15" s="1162"/>
      <c r="C15" s="1162"/>
      <c r="D15" s="1164" t="s">
        <v>190</v>
      </c>
      <c r="E15" s="1164"/>
      <c r="F15" s="1164"/>
      <c r="G15" s="1164"/>
      <c r="H15" s="1164"/>
      <c r="I15" s="1162" t="s">
        <v>899</v>
      </c>
      <c r="J15" s="1162" t="s">
        <v>223</v>
      </c>
      <c r="K15" s="1162" t="s">
        <v>900</v>
      </c>
      <c r="L15" s="1162" t="s">
        <v>886</v>
      </c>
      <c r="M15" s="1162" t="s">
        <v>234</v>
      </c>
      <c r="N15" s="1162" t="s">
        <v>908</v>
      </c>
      <c r="O15" s="1162" t="s">
        <v>120</v>
      </c>
      <c r="P15" s="1162"/>
    </row>
    <row r="16" spans="1:16" ht="30">
      <c r="A16" s="1161"/>
      <c r="B16" s="1004" t="s">
        <v>909</v>
      </c>
      <c r="C16" s="1004" t="s">
        <v>910</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916</v>
      </c>
      <c r="C17" s="1017" t="s">
        <v>916</v>
      </c>
      <c r="D17" s="1017" t="s">
        <v>916</v>
      </c>
      <c r="E17" s="1017" t="s">
        <v>916</v>
      </c>
      <c r="F17" s="1017" t="s">
        <v>916</v>
      </c>
      <c r="G17" s="1017" t="s">
        <v>916</v>
      </c>
      <c r="H17" s="1017" t="s">
        <v>916</v>
      </c>
      <c r="I17" s="1017" t="s">
        <v>916</v>
      </c>
      <c r="J17" s="1017" t="s">
        <v>916</v>
      </c>
      <c r="K17" s="1018" t="s">
        <v>855</v>
      </c>
      <c r="L17" s="1018" t="s">
        <v>855</v>
      </c>
      <c r="M17" s="1018" t="s">
        <v>855</v>
      </c>
      <c r="N17" s="1017" t="s">
        <v>916</v>
      </c>
      <c r="O17" s="1017" t="s">
        <v>916</v>
      </c>
      <c r="P17" s="1025"/>
    </row>
    <row r="18" spans="1:16" ht="45">
      <c r="A18" s="1014" t="s">
        <v>247</v>
      </c>
      <c r="B18" s="1019" t="s">
        <v>878</v>
      </c>
      <c r="C18" s="1019" t="s">
        <v>878</v>
      </c>
      <c r="D18" s="1019" t="s">
        <v>878</v>
      </c>
      <c r="E18" s="1019" t="s">
        <v>878</v>
      </c>
      <c r="F18" s="1019" t="s">
        <v>878</v>
      </c>
      <c r="G18" s="1019" t="s">
        <v>878</v>
      </c>
      <c r="H18" s="1019" t="s">
        <v>878</v>
      </c>
      <c r="I18" s="1019" t="s">
        <v>878</v>
      </c>
      <c r="J18" s="1019" t="s">
        <v>878</v>
      </c>
      <c r="K18" s="1019" t="s">
        <v>878</v>
      </c>
      <c r="L18" s="1019" t="s">
        <v>878</v>
      </c>
      <c r="M18" s="1019" t="s">
        <v>878</v>
      </c>
      <c r="N18" s="1019" t="s">
        <v>878</v>
      </c>
      <c r="O18" s="1019" t="s">
        <v>878</v>
      </c>
      <c r="P18" s="1019" t="s">
        <v>878</v>
      </c>
    </row>
    <row r="19" spans="1:16" ht="45">
      <c r="A19" s="1009" t="s">
        <v>911</v>
      </c>
      <c r="B19" s="1019" t="s">
        <v>878</v>
      </c>
      <c r="C19" s="1019" t="s">
        <v>878</v>
      </c>
      <c r="D19" s="1019" t="s">
        <v>878</v>
      </c>
      <c r="E19" s="1019" t="s">
        <v>878</v>
      </c>
      <c r="F19" s="1019" t="s">
        <v>878</v>
      </c>
      <c r="G19" s="1019" t="s">
        <v>878</v>
      </c>
      <c r="H19" s="1019" t="s">
        <v>878</v>
      </c>
      <c r="I19" s="1019" t="s">
        <v>878</v>
      </c>
      <c r="J19" s="1019" t="s">
        <v>878</v>
      </c>
      <c r="K19" s="1019" t="s">
        <v>878</v>
      </c>
      <c r="L19" s="1019" t="s">
        <v>878</v>
      </c>
      <c r="M19" s="1019" t="s">
        <v>878</v>
      </c>
      <c r="N19" s="1019" t="s">
        <v>878</v>
      </c>
      <c r="O19" s="1019" t="s">
        <v>878</v>
      </c>
      <c r="P19" s="1019" t="s">
        <v>878</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912</v>
      </c>
      <c r="B22" s="764" t="s">
        <v>906</v>
      </c>
      <c r="C22" s="1024" t="s">
        <v>918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0" t="s">
        <v>733</v>
      </c>
    </row>
    <row r="7" spans="1:3">
      <c r="A7" s="125"/>
      <c r="B7" s="129"/>
      <c r="C7" s="122"/>
    </row>
    <row r="8" spans="1:3">
      <c r="A8" s="113" t="s">
        <v>577</v>
      </c>
      <c r="B8" s="75" t="s">
        <v>576</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611</v>
      </c>
    </row>
    <row r="13" spans="1:3">
      <c r="A13" s="141"/>
      <c r="B13" s="124"/>
      <c r="C13" s="296"/>
    </row>
    <row r="14" spans="1:3" s="11" customFormat="1">
      <c r="A14" s="113" t="s">
        <v>594</v>
      </c>
      <c r="B14" s="130" t="s">
        <v>595</v>
      </c>
      <c r="C14" s="131" t="s">
        <v>596</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606</v>
      </c>
      <c r="B4" s="462"/>
      <c r="C4" s="462"/>
      <c r="D4" s="462"/>
      <c r="E4" s="462"/>
      <c r="F4" s="462"/>
      <c r="G4" s="494"/>
      <c r="H4" s="494"/>
      <c r="I4" s="462"/>
      <c r="J4" s="462"/>
      <c r="K4" s="462"/>
      <c r="L4" s="462"/>
      <c r="M4" s="462"/>
      <c r="N4" s="462"/>
      <c r="O4" s="462"/>
      <c r="P4" s="462"/>
    </row>
    <row r="5" spans="1:16" outlineLevel="1">
      <c r="A5" s="669" t="s">
        <v>607</v>
      </c>
      <c r="B5" s="462"/>
      <c r="C5" s="462"/>
      <c r="D5" s="462"/>
      <c r="E5" s="462"/>
      <c r="F5" s="462"/>
      <c r="G5" s="494"/>
      <c r="H5" s="494"/>
      <c r="I5" s="462"/>
      <c r="J5" s="462"/>
      <c r="K5" s="462"/>
      <c r="L5" s="462"/>
      <c r="M5" s="462"/>
      <c r="N5" s="462"/>
      <c r="O5" s="462"/>
      <c r="P5" s="462"/>
    </row>
    <row r="6" spans="1:16" outlineLevel="1">
      <c r="A6" s="669" t="s">
        <v>608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610</v>
      </c>
      <c r="B10" s="462"/>
      <c r="C10" s="462"/>
      <c r="D10" s="462"/>
      <c r="E10" s="462"/>
      <c r="F10" s="462"/>
      <c r="G10" s="494"/>
      <c r="H10" s="494"/>
      <c r="I10" s="462"/>
      <c r="J10" s="462"/>
      <c r="K10" s="462"/>
      <c r="L10" s="462"/>
      <c r="M10" s="462"/>
      <c r="N10" s="462"/>
      <c r="O10" s="873" t="s">
        <v>629</v>
      </c>
      <c r="P10" s="873" t="s">
        <v>628</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572</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599</v>
      </c>
      <c r="B17" s="496">
        <f ca="1">'EF ele_warmte'!B12</f>
        <v>0.21092260366101284</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618</v>
      </c>
      <c r="B27" s="773">
        <f>B24*B25*B26</f>
        <v>0</v>
      </c>
      <c r="C27" s="487" t="s">
        <v>619</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618</v>
      </c>
      <c r="B35" s="772">
        <f>B31*B32*B33/1000-B31*B32*B33/1000/B34</f>
        <v>0</v>
      </c>
      <c r="C35" s="493" t="s">
        <v>619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572</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599</v>
      </c>
      <c r="B17" s="496">
        <f ca="1">'EF ele_warmte'!B12</f>
        <v>0.21092260366101284</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572</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590</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599</v>
      </c>
      <c r="B29" s="497">
        <f ca="1">'EF ele_warmte'!B12</f>
        <v>0.21092260366101284</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560</v>
      </c>
      <c r="B10" s="499"/>
      <c r="C10" s="142" t="s">
        <v>175</v>
      </c>
      <c r="D10" s="145" t="s">
        <v>380</v>
      </c>
      <c r="I10" s="1174"/>
      <c r="K10" s="58"/>
    </row>
    <row r="11" spans="1:11" s="43" customFormat="1">
      <c r="A11" s="44" t="s">
        <v>561</v>
      </c>
      <c r="B11" s="47"/>
      <c r="D11" s="143" t="s">
        <v>381</v>
      </c>
      <c r="I11" s="1174"/>
      <c r="K11" s="58"/>
    </row>
    <row r="12" spans="1:11" s="43" customFormat="1">
      <c r="A12" s="44" t="s">
        <v>562</v>
      </c>
      <c r="B12" s="47"/>
      <c r="D12" s="143" t="s">
        <v>381</v>
      </c>
      <c r="I12" s="1174"/>
      <c r="K12" s="58"/>
    </row>
    <row r="13" spans="1:11" s="43" customFormat="1">
      <c r="A13" s="44"/>
      <c r="B13" s="447"/>
      <c r="D13" s="96"/>
      <c r="I13" s="1174"/>
    </row>
    <row r="14" spans="1:11" s="43" customFormat="1">
      <c r="A14" s="298" t="s">
        <v>559</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570</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560</v>
      </c>
      <c r="B31" s="499"/>
      <c r="C31" s="142" t="s">
        <v>175</v>
      </c>
      <c r="D31" s="145" t="s">
        <v>380</v>
      </c>
    </row>
    <row r="32" spans="1:11">
      <c r="A32" s="437" t="s">
        <v>561</v>
      </c>
      <c r="B32" s="47"/>
      <c r="C32" s="48"/>
      <c r="D32" s="143" t="s">
        <v>381</v>
      </c>
    </row>
    <row r="33" spans="1:11">
      <c r="A33" s="44"/>
      <c r="B33" s="48"/>
      <c r="C33" s="48"/>
      <c r="D33" s="143"/>
    </row>
    <row r="34" spans="1:11" s="43" customFormat="1">
      <c r="A34" s="298" t="s">
        <v>559</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563</v>
      </c>
      <c r="B50" s="47"/>
      <c r="C50" s="32"/>
      <c r="D50" s="144" t="s">
        <v>382</v>
      </c>
    </row>
    <row r="51" spans="1:4">
      <c r="A51" s="44" t="s">
        <v>564</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565</v>
      </c>
      <c r="B57" s="47"/>
      <c r="C57" s="32"/>
      <c r="D57" s="143" t="s">
        <v>148</v>
      </c>
    </row>
    <row r="58" spans="1:4">
      <c r="A58" s="44" t="s">
        <v>566</v>
      </c>
      <c r="B58" s="47"/>
      <c r="C58" s="32"/>
      <c r="D58" s="143" t="s">
        <v>149</v>
      </c>
    </row>
    <row r="59" spans="1:4">
      <c r="A59" s="44" t="s">
        <v>567</v>
      </c>
      <c r="B59" s="47"/>
      <c r="C59" s="48"/>
      <c r="D59" s="143" t="s">
        <v>378</v>
      </c>
    </row>
    <row r="60" spans="1:4">
      <c r="A60" s="44" t="s">
        <v>568</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585</v>
      </c>
      <c r="B1" s="634"/>
      <c r="C1" s="634"/>
      <c r="D1" s="634"/>
      <c r="E1" s="635"/>
    </row>
    <row r="2" spans="1:5">
      <c r="A2" s="646" t="s">
        <v>383</v>
      </c>
      <c r="B2" s="651" t="s">
        <v>509</v>
      </c>
      <c r="C2" s="647"/>
      <c r="D2" s="647"/>
      <c r="E2" s="648"/>
    </row>
    <row r="3" spans="1:5">
      <c r="A3" s="649"/>
      <c r="B3" s="650"/>
      <c r="C3" s="638"/>
      <c r="D3" s="638"/>
      <c r="E3" s="639"/>
    </row>
    <row r="4" spans="1:5" s="326" customFormat="1" ht="45">
      <c r="A4" s="637" t="s">
        <v>589</v>
      </c>
      <c r="B4" s="645" t="s">
        <v>578</v>
      </c>
      <c r="C4" s="666" t="s">
        <v>600</v>
      </c>
      <c r="D4" s="667" t="s">
        <v>601</v>
      </c>
      <c r="E4" s="668" t="s">
        <v>602</v>
      </c>
    </row>
    <row r="5" spans="1:5">
      <c r="A5" s="640" t="s">
        <v>579</v>
      </c>
      <c r="B5" s="632" t="s">
        <v>580</v>
      </c>
      <c r="C5" s="663">
        <v>3.678273E-2</v>
      </c>
      <c r="D5" s="664">
        <v>0.27778000000000003</v>
      </c>
      <c r="E5" s="656">
        <f>C5*D5</f>
        <v>1.0217506739400001E-2</v>
      </c>
    </row>
    <row r="6" spans="1:5">
      <c r="A6" s="640" t="s">
        <v>579</v>
      </c>
      <c r="B6" s="632" t="s">
        <v>581</v>
      </c>
      <c r="C6" s="663">
        <v>4.2278999999999997E-2</v>
      </c>
      <c r="D6" s="664">
        <v>0.27778000000000003</v>
      </c>
      <c r="E6" s="656">
        <f t="shared" ref="E6:E21" si="0">C6*D6</f>
        <v>1.174426062E-2</v>
      </c>
    </row>
    <row r="7" spans="1:5">
      <c r="A7" s="640" t="s">
        <v>579</v>
      </c>
      <c r="B7" s="632" t="s">
        <v>582</v>
      </c>
      <c r="C7" s="663">
        <v>42.279000000000003</v>
      </c>
      <c r="D7" s="664">
        <v>0.27778000000000003</v>
      </c>
      <c r="E7" s="656">
        <f t="shared" si="0"/>
        <v>11.744260620000002</v>
      </c>
    </row>
    <row r="8" spans="1:5">
      <c r="A8" s="640" t="s">
        <v>583</v>
      </c>
      <c r="B8" s="632" t="s">
        <v>580</v>
      </c>
      <c r="C8" s="663">
        <v>3.8573799999999998E-2</v>
      </c>
      <c r="D8" s="664">
        <v>0.27778000000000003</v>
      </c>
      <c r="E8" s="656">
        <f t="shared" si="0"/>
        <v>1.0715030164E-2</v>
      </c>
    </row>
    <row r="9" spans="1:5">
      <c r="A9" s="640" t="s">
        <v>583</v>
      </c>
      <c r="B9" s="632" t="s">
        <v>581</v>
      </c>
      <c r="C9" s="663">
        <v>4.0604000000000001E-2</v>
      </c>
      <c r="D9" s="664">
        <v>0.27778000000000003</v>
      </c>
      <c r="E9" s="656">
        <f t="shared" si="0"/>
        <v>1.1278979120000001E-2</v>
      </c>
    </row>
    <row r="10" spans="1:5">
      <c r="A10" s="640" t="s">
        <v>583</v>
      </c>
      <c r="B10" s="632" t="s">
        <v>582</v>
      </c>
      <c r="C10" s="663">
        <v>40.603999999999999</v>
      </c>
      <c r="D10" s="664">
        <v>0.27778000000000003</v>
      </c>
      <c r="E10" s="656">
        <f t="shared" si="0"/>
        <v>11.278979120000001</v>
      </c>
    </row>
    <row r="11" spans="1:5">
      <c r="A11" s="640" t="s">
        <v>603</v>
      </c>
      <c r="B11" s="632" t="s">
        <v>580</v>
      </c>
      <c r="C11" s="663">
        <v>2.3511000000000001E-2</v>
      </c>
      <c r="D11" s="664">
        <v>0.27778000000000003</v>
      </c>
      <c r="E11" s="656">
        <f t="shared" si="0"/>
        <v>6.5308855800000004E-3</v>
      </c>
    </row>
    <row r="12" spans="1:5">
      <c r="A12" s="640" t="s">
        <v>603</v>
      </c>
      <c r="B12" s="632" t="s">
        <v>581</v>
      </c>
      <c r="C12" s="663">
        <v>4.6100000000000002E-2</v>
      </c>
      <c r="D12" s="664">
        <v>0.27778000000000003</v>
      </c>
      <c r="E12" s="656">
        <f t="shared" si="0"/>
        <v>1.2805658000000001E-2</v>
      </c>
    </row>
    <row r="13" spans="1:5">
      <c r="A13" s="640" t="s">
        <v>603</v>
      </c>
      <c r="B13" s="632" t="s">
        <v>582</v>
      </c>
      <c r="C13" s="663">
        <v>46.1</v>
      </c>
      <c r="D13" s="664">
        <v>0.27778000000000003</v>
      </c>
      <c r="E13" s="656">
        <f t="shared" si="0"/>
        <v>12.805658000000001</v>
      </c>
    </row>
    <row r="14" spans="1:5">
      <c r="A14" s="640" t="s">
        <v>604</v>
      </c>
      <c r="B14" s="632" t="s">
        <v>580</v>
      </c>
      <c r="C14" s="663">
        <v>2.6525139999999999E-2</v>
      </c>
      <c r="D14" s="664">
        <v>0.27778000000000003</v>
      </c>
      <c r="E14" s="656">
        <f t="shared" si="0"/>
        <v>7.3681533892000009E-3</v>
      </c>
    </row>
    <row r="15" spans="1:5">
      <c r="A15" s="640" t="s">
        <v>604</v>
      </c>
      <c r="B15" s="632" t="s">
        <v>581</v>
      </c>
      <c r="C15" s="663">
        <v>4.5733000000000003E-2</v>
      </c>
      <c r="D15" s="664">
        <v>0.27778000000000003</v>
      </c>
      <c r="E15" s="656">
        <f t="shared" si="0"/>
        <v>1.2703712740000001E-2</v>
      </c>
    </row>
    <row r="16" spans="1:5">
      <c r="A16" s="640" t="s">
        <v>604</v>
      </c>
      <c r="B16" s="632" t="s">
        <v>582</v>
      </c>
      <c r="C16" s="663">
        <v>45.732999999999997</v>
      </c>
      <c r="D16" s="664">
        <v>0.27778000000000003</v>
      </c>
      <c r="E16" s="656">
        <f t="shared" si="0"/>
        <v>12.70371274</v>
      </c>
    </row>
    <row r="17" spans="1:10">
      <c r="A17" s="640" t="s">
        <v>587</v>
      </c>
      <c r="B17" s="632" t="s">
        <v>584</v>
      </c>
      <c r="C17" s="663">
        <v>3.2923000000000001E-2</v>
      </c>
      <c r="D17" s="664">
        <f>0.27778</f>
        <v>0.27778000000000003</v>
      </c>
      <c r="E17" s="656">
        <f t="shared" si="0"/>
        <v>9.1453509400000015E-3</v>
      </c>
    </row>
    <row r="18" spans="1:10">
      <c r="A18" s="640" t="s">
        <v>588</v>
      </c>
      <c r="B18" s="632" t="s">
        <v>584</v>
      </c>
      <c r="C18" s="663">
        <v>3.8852400000000002E-2</v>
      </c>
      <c r="D18" s="664">
        <f>0.27778</f>
        <v>0.27778000000000003</v>
      </c>
      <c r="E18" s="656">
        <f t="shared" si="0"/>
        <v>1.0792419672000002E-2</v>
      </c>
    </row>
    <row r="19" spans="1:10">
      <c r="A19" s="640" t="s">
        <v>591</v>
      </c>
      <c r="B19" s="632" t="s">
        <v>580</v>
      </c>
      <c r="C19" s="663">
        <v>2.4812460000000001E-2</v>
      </c>
      <c r="D19" s="664">
        <v>0.27778000000000003</v>
      </c>
      <c r="E19" s="656">
        <f t="shared" si="0"/>
        <v>6.8924051388000009E-3</v>
      </c>
    </row>
    <row r="20" spans="1:10">
      <c r="A20" s="640" t="s">
        <v>591</v>
      </c>
      <c r="B20" s="632" t="s">
        <v>581</v>
      </c>
      <c r="C20" s="663">
        <v>4.5948999999999997E-2</v>
      </c>
      <c r="D20" s="664">
        <v>0.27778000000000003</v>
      </c>
      <c r="E20" s="656">
        <f t="shared" si="0"/>
        <v>1.276371322E-2</v>
      </c>
    </row>
    <row r="21" spans="1:10">
      <c r="A21" s="640" t="s">
        <v>591</v>
      </c>
      <c r="B21" s="632" t="s">
        <v>582</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586</v>
      </c>
      <c r="B24" s="634"/>
      <c r="C24" s="634"/>
      <c r="D24" s="634"/>
      <c r="E24" s="635"/>
    </row>
    <row r="25" spans="1:10">
      <c r="A25" s="660" t="s">
        <v>383</v>
      </c>
      <c r="B25" s="1027" t="s">
        <v>924</v>
      </c>
      <c r="C25" s="638"/>
      <c r="D25" s="638"/>
      <c r="E25" s="639"/>
    </row>
    <row r="26" spans="1:10">
      <c r="A26" s="44"/>
      <c r="B26" s="43"/>
      <c r="C26" s="43"/>
      <c r="D26" s="43"/>
      <c r="E26" s="96"/>
    </row>
    <row r="27" spans="1:10" s="326" customFormat="1">
      <c r="A27" s="637" t="s">
        <v>589</v>
      </c>
      <c r="B27" s="645" t="s">
        <v>578</v>
      </c>
      <c r="C27" s="653"/>
      <c r="D27" s="652"/>
      <c r="E27" s="668" t="s">
        <v>593</v>
      </c>
    </row>
    <row r="28" spans="1:10">
      <c r="A28" s="640" t="s">
        <v>195</v>
      </c>
      <c r="B28" s="632" t="s">
        <v>580</v>
      </c>
      <c r="C28" s="654"/>
      <c r="D28" s="655"/>
      <c r="E28" s="662">
        <f>E29*0.84</f>
        <v>9.962166666666666E-3</v>
      </c>
      <c r="G28" s="776"/>
      <c r="H28" s="871"/>
      <c r="I28" s="776"/>
      <c r="J28" s="776"/>
    </row>
    <row r="29" spans="1:10">
      <c r="A29" s="640" t="s">
        <v>195</v>
      </c>
      <c r="B29" s="632" t="s">
        <v>581</v>
      </c>
      <c r="C29" s="654"/>
      <c r="D29" s="655"/>
      <c r="E29" s="662">
        <f>0.042695/3.6</f>
        <v>1.1859722222222221E-2</v>
      </c>
      <c r="G29" s="869"/>
      <c r="H29" s="871"/>
      <c r="I29" s="776"/>
      <c r="J29" s="776"/>
    </row>
    <row r="30" spans="1:10">
      <c r="A30" s="640" t="s">
        <v>113</v>
      </c>
      <c r="B30" s="632" t="s">
        <v>580</v>
      </c>
      <c r="C30" s="654"/>
      <c r="D30" s="655"/>
      <c r="E30" s="662">
        <f>E31*0.75</f>
        <v>9.1195833333333337E-3</v>
      </c>
      <c r="G30" s="776"/>
      <c r="H30" s="871"/>
      <c r="I30" s="776"/>
      <c r="J30" s="776"/>
    </row>
    <row r="31" spans="1:10">
      <c r="A31" s="640" t="s">
        <v>113</v>
      </c>
      <c r="B31" s="632" t="s">
        <v>581</v>
      </c>
      <c r="C31" s="654"/>
      <c r="D31" s="655"/>
      <c r="E31" s="662">
        <f>0.043774/3.6</f>
        <v>1.2159444444444445E-2</v>
      </c>
      <c r="G31" s="776"/>
      <c r="H31" s="776"/>
      <c r="I31" s="776"/>
      <c r="J31" s="776"/>
    </row>
    <row r="32" spans="1:10">
      <c r="A32" s="640" t="s">
        <v>591</v>
      </c>
      <c r="B32" s="632" t="s">
        <v>580</v>
      </c>
      <c r="C32" s="654"/>
      <c r="D32" s="655"/>
      <c r="E32" s="662">
        <f>E33*0.52</f>
        <v>6.7259111111111118E-3</v>
      </c>
      <c r="G32" s="776"/>
      <c r="H32" s="871"/>
    </row>
    <row r="33" spans="1:8">
      <c r="A33" s="640" t="s">
        <v>591</v>
      </c>
      <c r="B33" s="632" t="s">
        <v>581</v>
      </c>
      <c r="C33" s="654"/>
      <c r="D33" s="655"/>
      <c r="E33" s="662">
        <f>0.046564/3.6</f>
        <v>1.2934444444444445E-2</v>
      </c>
      <c r="G33" s="776"/>
      <c r="H33" s="871"/>
    </row>
    <row r="34" spans="1:8">
      <c r="A34" s="640" t="s">
        <v>592</v>
      </c>
      <c r="B34" s="632" t="s">
        <v>580</v>
      </c>
      <c r="C34" s="654"/>
      <c r="D34" s="655"/>
      <c r="E34" s="662">
        <f>E35*0.175</f>
        <v>2.3333333333333331E-3</v>
      </c>
      <c r="G34" s="776"/>
      <c r="H34" s="870"/>
    </row>
    <row r="35" spans="1:8">
      <c r="A35" s="640" t="s">
        <v>592</v>
      </c>
      <c r="B35" s="632" t="s">
        <v>581</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605</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694</v>
      </c>
      <c r="C21" s="131" t="s">
        <v>573</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543</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543</v>
      </c>
      <c r="B4" s="326"/>
      <c r="C4" s="326"/>
      <c r="D4" s="326"/>
      <c r="E4" s="326"/>
      <c r="F4" s="326"/>
    </row>
    <row r="5" spans="1:6" ht="22.5">
      <c r="A5" s="1271" t="s">
        <v>544</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33234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624</v>
      </c>
      <c r="D12" s="327"/>
      <c r="E12" s="327"/>
      <c r="F12" s="331"/>
    </row>
    <row r="13" spans="1:6" ht="16.5" thickTop="1" thickBot="1">
      <c r="A13" s="1277" t="s">
        <v>4</v>
      </c>
      <c r="B13" s="1278" t="s">
        <v>5</v>
      </c>
      <c r="C13" s="1278"/>
      <c r="D13" s="1278"/>
      <c r="E13" s="1278"/>
      <c r="F13" s="1279"/>
    </row>
    <row r="14" spans="1:6">
      <c r="A14" s="1280" t="s">
        <v>772</v>
      </c>
      <c r="B14" s="1281">
        <v>3041</v>
      </c>
      <c r="C14" s="326"/>
      <c r="D14" s="326"/>
      <c r="E14" s="326"/>
      <c r="F14" s="326"/>
    </row>
    <row r="15" spans="1:6">
      <c r="A15" s="1280" t="s">
        <v>177</v>
      </c>
      <c r="B15" s="1281">
        <v>3769</v>
      </c>
      <c r="C15" s="326"/>
      <c r="D15" s="326"/>
      <c r="E15" s="326"/>
      <c r="F15" s="326"/>
    </row>
    <row r="16" spans="1:6">
      <c r="A16" s="1280" t="s">
        <v>6</v>
      </c>
      <c r="B16" s="1281">
        <v>549</v>
      </c>
      <c r="C16" s="326"/>
      <c r="D16" s="326"/>
      <c r="E16" s="326"/>
      <c r="F16" s="326"/>
    </row>
    <row r="17" spans="1:6">
      <c r="A17" s="1280" t="s">
        <v>7</v>
      </c>
      <c r="B17" s="1281">
        <v>318</v>
      </c>
      <c r="C17" s="326"/>
      <c r="D17" s="326"/>
      <c r="E17" s="326"/>
      <c r="F17" s="326"/>
    </row>
    <row r="18" spans="1:6">
      <c r="A18" s="1280" t="s">
        <v>8</v>
      </c>
      <c r="B18" s="1281">
        <v>510</v>
      </c>
      <c r="C18" s="326"/>
      <c r="D18" s="326"/>
      <c r="E18" s="326"/>
      <c r="F18" s="326"/>
    </row>
    <row r="19" spans="1:6">
      <c r="A19" s="1280" t="s">
        <v>9</v>
      </c>
      <c r="B19" s="1281">
        <v>444</v>
      </c>
      <c r="C19" s="326"/>
      <c r="D19" s="326"/>
      <c r="E19" s="326"/>
      <c r="F19" s="326"/>
    </row>
    <row r="20" spans="1:6">
      <c r="A20" s="1280" t="s">
        <v>10</v>
      </c>
      <c r="B20" s="1281">
        <v>532</v>
      </c>
      <c r="C20" s="326"/>
      <c r="D20" s="326"/>
      <c r="E20" s="326"/>
      <c r="F20" s="326"/>
    </row>
    <row r="21" spans="1:6">
      <c r="A21" s="1280" t="s">
        <v>11</v>
      </c>
      <c r="B21" s="1281">
        <v>1904</v>
      </c>
      <c r="C21" s="326"/>
      <c r="D21" s="326"/>
      <c r="E21" s="326"/>
      <c r="F21" s="326"/>
    </row>
    <row r="22" spans="1:6">
      <c r="A22" s="1280" t="s">
        <v>12</v>
      </c>
      <c r="B22" s="1281">
        <v>3496</v>
      </c>
      <c r="C22" s="326"/>
      <c r="D22" s="326"/>
      <c r="E22" s="326"/>
      <c r="F22" s="326"/>
    </row>
    <row r="23" spans="1:6">
      <c r="A23" s="1280" t="s">
        <v>13</v>
      </c>
      <c r="B23" s="1281">
        <v>33</v>
      </c>
      <c r="C23" s="326"/>
      <c r="D23" s="326"/>
      <c r="E23" s="326"/>
      <c r="F23" s="326"/>
    </row>
    <row r="24" spans="1:6">
      <c r="A24" s="1280" t="s">
        <v>14</v>
      </c>
      <c r="B24" s="1281">
        <v>24</v>
      </c>
      <c r="C24" s="326"/>
      <c r="D24" s="326"/>
      <c r="E24" s="326"/>
      <c r="F24" s="326"/>
    </row>
    <row r="25" spans="1:6">
      <c r="A25" s="1280" t="s">
        <v>15</v>
      </c>
      <c r="B25" s="1281">
        <v>425</v>
      </c>
      <c r="C25" s="326"/>
      <c r="D25" s="326"/>
      <c r="E25" s="326"/>
      <c r="F25" s="326"/>
    </row>
    <row r="26" spans="1:6">
      <c r="A26" s="1280" t="s">
        <v>16</v>
      </c>
      <c r="B26" s="1281">
        <v>701</v>
      </c>
      <c r="C26" s="326"/>
      <c r="D26" s="326"/>
      <c r="E26" s="326"/>
      <c r="F26" s="326"/>
    </row>
    <row r="27" spans="1:6">
      <c r="A27" s="1280" t="s">
        <v>17</v>
      </c>
      <c r="B27" s="1281">
        <v>266</v>
      </c>
      <c r="C27" s="326"/>
      <c r="D27" s="326"/>
      <c r="E27" s="326"/>
      <c r="F27" s="326"/>
    </row>
    <row r="28" spans="1:6">
      <c r="A28" s="1280" t="s">
        <v>18</v>
      </c>
      <c r="B28" s="1282">
        <v>47010</v>
      </c>
      <c r="C28" s="326"/>
      <c r="D28" s="326"/>
      <c r="E28" s="326"/>
      <c r="F28" s="326"/>
    </row>
    <row r="29" spans="1:6">
      <c r="A29" s="1280" t="s">
        <v>972</v>
      </c>
      <c r="B29" s="1282">
        <v>381</v>
      </c>
      <c r="C29" s="326"/>
      <c r="D29" s="326"/>
      <c r="E29" s="326"/>
      <c r="F29" s="326"/>
    </row>
    <row r="30" spans="1:6">
      <c r="A30" s="1275" t="s">
        <v>973</v>
      </c>
      <c r="B30" s="1283">
        <v>141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3</v>
      </c>
      <c r="D36" s="1281">
        <v>1666879</v>
      </c>
      <c r="E36" s="1281">
        <v>34</v>
      </c>
      <c r="F36" s="1281">
        <v>8640615</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560664</v>
      </c>
    </row>
    <row r="39" spans="1:6">
      <c r="A39" s="1280" t="s">
        <v>29</v>
      </c>
      <c r="B39" s="1280" t="s">
        <v>30</v>
      </c>
      <c r="C39" s="1281">
        <v>21204</v>
      </c>
      <c r="D39" s="1281">
        <v>352637301</v>
      </c>
      <c r="E39" s="1281">
        <v>34382</v>
      </c>
      <c r="F39" s="1281">
        <v>135154645</v>
      </c>
    </row>
    <row r="40" spans="1:6">
      <c r="A40" s="1280" t="s">
        <v>29</v>
      </c>
      <c r="B40" s="1280" t="s">
        <v>28</v>
      </c>
      <c r="C40" s="1281">
        <v>0</v>
      </c>
      <c r="D40" s="1281">
        <v>0</v>
      </c>
      <c r="E40" s="1281">
        <v>0</v>
      </c>
      <c r="F40" s="1281">
        <v>0</v>
      </c>
    </row>
    <row r="41" spans="1:6">
      <c r="A41" s="1280" t="s">
        <v>31</v>
      </c>
      <c r="B41" s="1280" t="s">
        <v>32</v>
      </c>
      <c r="C41" s="1281">
        <v>222</v>
      </c>
      <c r="D41" s="1281">
        <v>26051958</v>
      </c>
      <c r="E41" s="1281">
        <v>492</v>
      </c>
      <c r="F41" s="1281">
        <v>30137705</v>
      </c>
    </row>
    <row r="42" spans="1:6">
      <c r="A42" s="1280" t="s">
        <v>31</v>
      </c>
      <c r="B42" s="1280" t="s">
        <v>33</v>
      </c>
      <c r="C42" s="1281">
        <v>0</v>
      </c>
      <c r="D42" s="1281">
        <v>0</v>
      </c>
      <c r="E42" s="1281">
        <v>5</v>
      </c>
      <c r="F42" s="1281">
        <v>69285</v>
      </c>
    </row>
    <row r="43" spans="1:6">
      <c r="A43" s="1280" t="s">
        <v>31</v>
      </c>
      <c r="B43" s="1280" t="s">
        <v>34</v>
      </c>
      <c r="C43" s="1281">
        <v>0</v>
      </c>
      <c r="D43" s="1281">
        <v>0</v>
      </c>
      <c r="E43" s="1281">
        <v>0</v>
      </c>
      <c r="F43" s="1281">
        <v>0</v>
      </c>
    </row>
    <row r="44" spans="1:6">
      <c r="A44" s="1280" t="s">
        <v>31</v>
      </c>
      <c r="B44" s="1280" t="s">
        <v>35</v>
      </c>
      <c r="C44" s="1281">
        <v>24</v>
      </c>
      <c r="D44" s="1281">
        <v>2393633</v>
      </c>
      <c r="E44" s="1281">
        <v>81</v>
      </c>
      <c r="F44" s="1281">
        <v>4280419</v>
      </c>
    </row>
    <row r="45" spans="1:6">
      <c r="A45" s="1280" t="s">
        <v>31</v>
      </c>
      <c r="B45" s="1280" t="s">
        <v>36</v>
      </c>
      <c r="C45" s="1281">
        <v>8</v>
      </c>
      <c r="D45" s="1281">
        <v>38284184</v>
      </c>
      <c r="E45" s="1281">
        <v>19</v>
      </c>
      <c r="F45" s="1281">
        <v>11133486</v>
      </c>
    </row>
    <row r="46" spans="1:6">
      <c r="A46" s="1280" t="s">
        <v>31</v>
      </c>
      <c r="B46" s="1280" t="s">
        <v>37</v>
      </c>
      <c r="C46" s="1281">
        <v>0</v>
      </c>
      <c r="D46" s="1281">
        <v>0</v>
      </c>
      <c r="E46" s="1281">
        <v>0</v>
      </c>
      <c r="F46" s="1281">
        <v>0</v>
      </c>
    </row>
    <row r="47" spans="1:6">
      <c r="A47" s="1280" t="s">
        <v>31</v>
      </c>
      <c r="B47" s="1280" t="s">
        <v>38</v>
      </c>
      <c r="C47" s="1281">
        <v>13</v>
      </c>
      <c r="D47" s="1281">
        <v>3871743</v>
      </c>
      <c r="E47" s="1281">
        <v>22</v>
      </c>
      <c r="F47" s="1281">
        <v>4522244</v>
      </c>
    </row>
    <row r="48" spans="1:6">
      <c r="A48" s="1280" t="s">
        <v>31</v>
      </c>
      <c r="B48" s="1280" t="s">
        <v>28</v>
      </c>
      <c r="C48" s="1281">
        <v>3</v>
      </c>
      <c r="D48" s="1281">
        <v>2695801</v>
      </c>
      <c r="E48" s="1281">
        <v>2</v>
      </c>
      <c r="F48" s="1281">
        <v>665892</v>
      </c>
    </row>
    <row r="49" spans="1:6">
      <c r="A49" s="1280" t="s">
        <v>31</v>
      </c>
      <c r="B49" s="1280" t="s">
        <v>39</v>
      </c>
      <c r="C49" s="1281">
        <v>8</v>
      </c>
      <c r="D49" s="1281">
        <v>250437</v>
      </c>
      <c r="E49" s="1281">
        <v>17</v>
      </c>
      <c r="F49" s="1281">
        <v>402958</v>
      </c>
    </row>
    <row r="50" spans="1:6">
      <c r="A50" s="1280" t="s">
        <v>31</v>
      </c>
      <c r="B50" s="1280" t="s">
        <v>40</v>
      </c>
      <c r="C50" s="1281">
        <v>34</v>
      </c>
      <c r="D50" s="1281">
        <v>11410595</v>
      </c>
      <c r="E50" s="1281">
        <v>68</v>
      </c>
      <c r="F50" s="1281">
        <v>11177247</v>
      </c>
    </row>
    <row r="51" spans="1:6">
      <c r="A51" s="1280" t="s">
        <v>41</v>
      </c>
      <c r="B51" s="1280" t="s">
        <v>42</v>
      </c>
      <c r="C51" s="1281">
        <v>28</v>
      </c>
      <c r="D51" s="1281">
        <v>2795777</v>
      </c>
      <c r="E51" s="1281">
        <v>99</v>
      </c>
      <c r="F51" s="1281">
        <v>3724169</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349</v>
      </c>
      <c r="F54" s="1281">
        <v>4976559</v>
      </c>
    </row>
    <row r="55" spans="1:6">
      <c r="A55" s="1280" t="s">
        <v>45</v>
      </c>
      <c r="B55" s="1280" t="s">
        <v>28</v>
      </c>
      <c r="C55" s="1281">
        <v>0</v>
      </c>
      <c r="D55" s="1281">
        <v>0</v>
      </c>
      <c r="E55" s="1281">
        <v>0</v>
      </c>
      <c r="F55" s="1281">
        <v>0</v>
      </c>
    </row>
    <row r="56" spans="1:6">
      <c r="A56" s="1280" t="s">
        <v>47</v>
      </c>
      <c r="B56" s="1280" t="s">
        <v>28</v>
      </c>
      <c r="C56" s="1281">
        <v>396</v>
      </c>
      <c r="D56" s="1281">
        <v>25952000</v>
      </c>
      <c r="E56" s="1281">
        <v>1218</v>
      </c>
      <c r="F56" s="1281">
        <v>17333755</v>
      </c>
    </row>
    <row r="57" spans="1:6">
      <c r="A57" s="1280" t="s">
        <v>48</v>
      </c>
      <c r="B57" s="1280" t="s">
        <v>49</v>
      </c>
      <c r="C57" s="1281">
        <v>205</v>
      </c>
      <c r="D57" s="1281">
        <v>16144460</v>
      </c>
      <c r="E57" s="1281">
        <v>480</v>
      </c>
      <c r="F57" s="1281">
        <v>14474435</v>
      </c>
    </row>
    <row r="58" spans="1:6">
      <c r="A58" s="1280" t="s">
        <v>48</v>
      </c>
      <c r="B58" s="1280" t="s">
        <v>50</v>
      </c>
      <c r="C58" s="1281">
        <v>140</v>
      </c>
      <c r="D58" s="1281">
        <v>23475366</v>
      </c>
      <c r="E58" s="1281">
        <v>233</v>
      </c>
      <c r="F58" s="1281">
        <v>18490090</v>
      </c>
    </row>
    <row r="59" spans="1:6">
      <c r="A59" s="1280" t="s">
        <v>48</v>
      </c>
      <c r="B59" s="1280" t="s">
        <v>51</v>
      </c>
      <c r="C59" s="1281">
        <v>610</v>
      </c>
      <c r="D59" s="1281">
        <v>38362400</v>
      </c>
      <c r="E59" s="1281">
        <v>1217</v>
      </c>
      <c r="F59" s="1281">
        <v>62159537</v>
      </c>
    </row>
    <row r="60" spans="1:6">
      <c r="A60" s="1280" t="s">
        <v>48</v>
      </c>
      <c r="B60" s="1280" t="s">
        <v>52</v>
      </c>
      <c r="C60" s="1281">
        <v>254</v>
      </c>
      <c r="D60" s="1281">
        <v>18986332</v>
      </c>
      <c r="E60" s="1281">
        <v>364</v>
      </c>
      <c r="F60" s="1281">
        <v>17481537</v>
      </c>
    </row>
    <row r="61" spans="1:6">
      <c r="A61" s="1280" t="s">
        <v>48</v>
      </c>
      <c r="B61" s="1280" t="s">
        <v>53</v>
      </c>
      <c r="C61" s="1281">
        <v>861</v>
      </c>
      <c r="D61" s="1281">
        <v>101626955</v>
      </c>
      <c r="E61" s="1281">
        <v>2034</v>
      </c>
      <c r="F61" s="1281">
        <v>66666110</v>
      </c>
    </row>
    <row r="62" spans="1:6">
      <c r="A62" s="1280" t="s">
        <v>48</v>
      </c>
      <c r="B62" s="1280" t="s">
        <v>54</v>
      </c>
      <c r="C62" s="1281">
        <v>45</v>
      </c>
      <c r="D62" s="1281">
        <v>10192764</v>
      </c>
      <c r="E62" s="1281">
        <v>74</v>
      </c>
      <c r="F62" s="1281">
        <v>5316104</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1</v>
      </c>
      <c r="F65" s="1281">
        <v>10133</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20</v>
      </c>
      <c r="D68" s="1283">
        <v>1977903</v>
      </c>
      <c r="E68" s="1283">
        <v>38</v>
      </c>
      <c r="F68" s="1283">
        <v>1149186</v>
      </c>
    </row>
    <row r="69" spans="1:6" ht="15.75" thickBot="1">
      <c r="A69" s="330"/>
      <c r="B69" s="326"/>
      <c r="C69" s="326"/>
      <c r="D69" s="326"/>
      <c r="E69" s="326"/>
      <c r="F69" s="326"/>
    </row>
    <row r="70" spans="1:6" ht="19.5">
      <c r="A70" s="1272" t="s">
        <v>60</v>
      </c>
      <c r="B70" s="327" t="s">
        <v>975</v>
      </c>
      <c r="C70" s="327" t="s">
        <v>776</v>
      </c>
      <c r="D70" s="327"/>
      <c r="E70" s="327"/>
      <c r="F70" s="331"/>
    </row>
    <row r="71" spans="1:6" ht="20.25" thickBot="1">
      <c r="A71" s="1290"/>
      <c r="B71" s="1300"/>
      <c r="C71" s="1300"/>
      <c r="D71" s="1301" t="s">
        <v>437</v>
      </c>
      <c r="E71" s="1300"/>
      <c r="F71" s="333"/>
    </row>
    <row r="72" spans="1:6" ht="16.5" thickTop="1" thickBot="1">
      <c r="A72" s="1277" t="s">
        <v>61</v>
      </c>
      <c r="B72" s="1278" t="s">
        <v>62</v>
      </c>
      <c r="C72" s="1291" t="s">
        <v>753</v>
      </c>
      <c r="D72" s="1292"/>
      <c r="E72" s="1292"/>
      <c r="F72" s="1279"/>
    </row>
    <row r="73" spans="1:6">
      <c r="A73" s="1280" t="s">
        <v>63</v>
      </c>
      <c r="B73" s="1280" t="s">
        <v>754</v>
      </c>
      <c r="C73" s="1293" t="s">
        <v>755</v>
      </c>
      <c r="D73" s="1281">
        <v>344376010</v>
      </c>
      <c r="E73" s="445"/>
      <c r="F73" s="326"/>
    </row>
    <row r="74" spans="1:6">
      <c r="A74" s="1280" t="s">
        <v>63</v>
      </c>
      <c r="B74" s="1280" t="s">
        <v>756</v>
      </c>
      <c r="C74" s="1293" t="s">
        <v>757</v>
      </c>
      <c r="D74" s="1281">
        <v>23557851.330656715</v>
      </c>
      <c r="E74" s="445"/>
      <c r="F74" s="326"/>
    </row>
    <row r="75" spans="1:6">
      <c r="A75" s="1280" t="s">
        <v>64</v>
      </c>
      <c r="B75" s="1280" t="s">
        <v>754</v>
      </c>
      <c r="C75" s="1293" t="s">
        <v>758</v>
      </c>
      <c r="D75" s="1281">
        <v>93950179</v>
      </c>
      <c r="E75" s="445"/>
      <c r="F75" s="326"/>
    </row>
    <row r="76" spans="1:6">
      <c r="A76" s="1280" t="s">
        <v>64</v>
      </c>
      <c r="B76" s="1280" t="s">
        <v>756</v>
      </c>
      <c r="C76" s="1293" t="s">
        <v>759</v>
      </c>
      <c r="D76" s="1281">
        <v>238343.90000000002</v>
      </c>
      <c r="E76" s="445"/>
      <c r="F76" s="326"/>
    </row>
    <row r="77" spans="1:6">
      <c r="A77" s="1280" t="s">
        <v>65</v>
      </c>
      <c r="B77" s="1280" t="s">
        <v>754</v>
      </c>
      <c r="C77" s="1293" t="s">
        <v>760</v>
      </c>
      <c r="D77" s="1281">
        <v>208571607</v>
      </c>
      <c r="E77" s="445"/>
      <c r="F77" s="326"/>
    </row>
    <row r="78" spans="1:6">
      <c r="A78" s="1275" t="s">
        <v>65</v>
      </c>
      <c r="B78" s="1275" t="s">
        <v>756</v>
      </c>
      <c r="C78" s="1275" t="s">
        <v>761</v>
      </c>
      <c r="D78" s="1283">
        <v>23693104</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5206173.3386865696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545</v>
      </c>
      <c r="B89" s="1281">
        <v>0</v>
      </c>
      <c r="C89" s="326"/>
      <c r="D89" s="326"/>
      <c r="E89" s="326"/>
      <c r="F89" s="326"/>
    </row>
    <row r="90" spans="1:6">
      <c r="A90" s="1280" t="s">
        <v>546</v>
      </c>
      <c r="B90" s="1281">
        <v>6607.4746365291803</v>
      </c>
      <c r="C90" s="326"/>
      <c r="D90" s="326"/>
      <c r="E90" s="326"/>
      <c r="F90" s="326"/>
    </row>
    <row r="91" spans="1:6">
      <c r="A91" s="1280" t="s">
        <v>67</v>
      </c>
      <c r="B91" s="1281">
        <v>6176.3585027106801</v>
      </c>
      <c r="C91" s="326"/>
      <c r="D91" s="326"/>
      <c r="E91" s="326"/>
      <c r="F91" s="326"/>
    </row>
    <row r="92" spans="1:6">
      <c r="A92" s="1275" t="s">
        <v>68</v>
      </c>
      <c r="B92" s="1276">
        <v>5066.6574070515717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12607</v>
      </c>
      <c r="C97" s="326"/>
      <c r="D97" s="326"/>
      <c r="E97" s="326"/>
      <c r="F97" s="326"/>
    </row>
    <row r="98" spans="1:6">
      <c r="A98" s="1280" t="s">
        <v>71</v>
      </c>
      <c r="B98" s="1281">
        <v>2</v>
      </c>
      <c r="C98" s="326"/>
      <c r="D98" s="326"/>
      <c r="E98" s="326"/>
      <c r="F98" s="326"/>
    </row>
    <row r="99" spans="1:6">
      <c r="A99" s="1280" t="s">
        <v>72</v>
      </c>
      <c r="B99" s="1281">
        <v>137</v>
      </c>
      <c r="C99" s="326"/>
      <c r="D99" s="326"/>
      <c r="E99" s="326"/>
      <c r="F99" s="326"/>
    </row>
    <row r="100" spans="1:6">
      <c r="A100" s="1280" t="s">
        <v>73</v>
      </c>
      <c r="B100" s="1281">
        <v>1808</v>
      </c>
      <c r="C100" s="326"/>
      <c r="D100" s="326"/>
      <c r="E100" s="326"/>
      <c r="F100" s="326"/>
    </row>
    <row r="101" spans="1:6">
      <c r="A101" s="1280" t="s">
        <v>74</v>
      </c>
      <c r="B101" s="1281">
        <v>132</v>
      </c>
      <c r="C101" s="326"/>
      <c r="D101" s="326"/>
      <c r="E101" s="326"/>
      <c r="F101" s="326"/>
    </row>
    <row r="102" spans="1:6">
      <c r="A102" s="1280" t="s">
        <v>75</v>
      </c>
      <c r="B102" s="1281">
        <v>416</v>
      </c>
      <c r="C102" s="326"/>
      <c r="D102" s="326"/>
      <c r="E102" s="326"/>
      <c r="F102" s="326"/>
    </row>
    <row r="103" spans="1:6">
      <c r="A103" s="1280" t="s">
        <v>76</v>
      </c>
      <c r="B103" s="1281">
        <v>298</v>
      </c>
      <c r="C103" s="326"/>
      <c r="D103" s="326"/>
      <c r="E103" s="326"/>
      <c r="F103" s="326"/>
    </row>
    <row r="104" spans="1:6">
      <c r="A104" s="1280" t="s">
        <v>77</v>
      </c>
      <c r="B104" s="1281">
        <v>12509</v>
      </c>
      <c r="C104" s="326"/>
      <c r="D104" s="326"/>
      <c r="E104" s="326"/>
      <c r="F104" s="326"/>
    </row>
    <row r="105" spans="1:6">
      <c r="A105" s="1275" t="s">
        <v>78</v>
      </c>
      <c r="B105" s="1283">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652</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653</v>
      </c>
      <c r="B110" s="1281">
        <v>0</v>
      </c>
      <c r="C110" s="326"/>
      <c r="D110" s="326"/>
      <c r="E110" s="326"/>
      <c r="F110" s="326"/>
    </row>
    <row r="111" spans="1:6">
      <c r="A111" s="1298" t="s">
        <v>654</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23</v>
      </c>
      <c r="C123" s="1281">
        <v>25</v>
      </c>
      <c r="D123" s="326"/>
      <c r="E123" s="326"/>
      <c r="F123" s="326"/>
    </row>
    <row r="124" spans="1:6">
      <c r="A124" s="1280" t="s">
        <v>88</v>
      </c>
      <c r="B124" s="1281">
        <v>2</v>
      </c>
      <c r="C124" s="1281">
        <v>0</v>
      </c>
      <c r="D124" s="326"/>
      <c r="E124" s="326"/>
      <c r="F124" s="326"/>
    </row>
    <row r="125" spans="1:6">
      <c r="A125" s="1275" t="s">
        <v>932</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178</v>
      </c>
      <c r="C129" s="326"/>
      <c r="D129" s="326"/>
      <c r="E129" s="326"/>
      <c r="F129" s="326"/>
    </row>
    <row r="130" spans="1:6">
      <c r="A130" s="1280" t="s">
        <v>284</v>
      </c>
      <c r="B130" s="1281">
        <v>1</v>
      </c>
      <c r="C130" s="326"/>
      <c r="D130" s="326"/>
      <c r="E130" s="326"/>
      <c r="F130" s="326"/>
    </row>
    <row r="131" spans="1:6">
      <c r="A131" s="1280" t="s">
        <v>285</v>
      </c>
      <c r="B131" s="1281">
        <v>8</v>
      </c>
      <c r="C131" s="326"/>
      <c r="D131" s="326"/>
      <c r="E131" s="326"/>
      <c r="F131" s="326"/>
    </row>
    <row r="132" spans="1:6">
      <c r="A132" s="1275" t="s">
        <v>286</v>
      </c>
      <c r="B132" s="1276">
        <v>31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936</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936</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695</v>
      </c>
      <c r="B44" s="504"/>
    </row>
    <row r="45" spans="1:11">
      <c r="A45" s="44"/>
      <c r="B45" s="504"/>
    </row>
    <row r="46" spans="1:11" ht="18">
      <c r="A46" s="137" t="s">
        <v>183</v>
      </c>
      <c r="B46" s="505" t="s">
        <v>571</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623</v>
      </c>
      <c r="B1" s="518"/>
      <c r="C1" s="519"/>
    </row>
    <row r="2" spans="1:3" s="326" customFormat="1">
      <c r="A2" s="364"/>
      <c r="B2" s="484"/>
      <c r="C2" s="521"/>
    </row>
    <row r="3" spans="1:3" s="326" customFormat="1">
      <c r="A3" s="362"/>
      <c r="B3" s="522">
        <v>2011</v>
      </c>
      <c r="C3" s="365" t="s">
        <v>175</v>
      </c>
    </row>
    <row r="4" spans="1:3">
      <c r="A4" s="120" t="s">
        <v>290</v>
      </c>
      <c r="B4" s="523">
        <v>6050.9562999999998</v>
      </c>
      <c r="C4" s="139" t="s">
        <v>690</v>
      </c>
    </row>
    <row r="5" spans="1:3" ht="15.75" thickBot="1">
      <c r="A5" s="115" t="s">
        <v>622</v>
      </c>
      <c r="B5" s="524">
        <v>672548</v>
      </c>
      <c r="C5" s="140" t="s">
        <v>620</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416779.53651452879</v>
      </c>
      <c r="C3" s="43" t="s">
        <v>163</v>
      </c>
      <c r="D3" s="43"/>
      <c r="E3" s="156"/>
      <c r="F3" s="43"/>
      <c r="G3" s="43"/>
      <c r="H3" s="43"/>
      <c r="I3" s="43"/>
      <c r="J3" s="43"/>
      <c r="K3" s="96"/>
    </row>
    <row r="4" spans="1:11">
      <c r="A4" s="352" t="s">
        <v>164</v>
      </c>
      <c r="B4" s="49">
        <f>IF(ISERROR('SEAP template'!B78+'SEAP template'!C78),0,'SEAP template'!B78+'SEAP template'!C78)</f>
        <v>20192.890546291434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814</v>
      </c>
      <c r="G6" s="43" t="s">
        <v>818</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262.57623529411774</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0.21092260366101284</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375.10890756302524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1578.4285714285716</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753</v>
      </c>
      <c r="B1" s="15" t="s">
        <v>297</v>
      </c>
      <c r="C1" s="15" t="s">
        <v>301</v>
      </c>
      <c r="D1" s="15" t="s">
        <v>302</v>
      </c>
      <c r="E1" s="15" t="s">
        <v>303</v>
      </c>
      <c r="F1" s="15" t="s">
        <v>304</v>
      </c>
      <c r="H1" s="1037" t="s">
        <v>943</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754</v>
      </c>
      <c r="C3" s="1036" t="s">
        <v>64</v>
      </c>
      <c r="D3" s="1036" t="s">
        <v>938</v>
      </c>
      <c r="E3" s="1036" t="s">
        <v>939</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754</v>
      </c>
      <c r="C4" s="1036" t="s">
        <v>63</v>
      </c>
      <c r="D4" s="1036" t="s">
        <v>938</v>
      </c>
      <c r="E4" s="1036" t="s">
        <v>939</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754</v>
      </c>
      <c r="C5" s="1036" t="s">
        <v>65</v>
      </c>
      <c r="D5" s="1036" t="s">
        <v>938</v>
      </c>
      <c r="E5" s="1036" t="s">
        <v>939</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754</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754</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754</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756</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756</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756</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762</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762</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762</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754</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754</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754</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754</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754</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754</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754</v>
      </c>
      <c r="C21" s="1036" t="s">
        <v>64</v>
      </c>
      <c r="D21" s="1036" t="s">
        <v>940</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754</v>
      </c>
      <c r="C22" s="1036" t="s">
        <v>64</v>
      </c>
      <c r="D22" s="1036" t="s">
        <v>940</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754</v>
      </c>
      <c r="C23" s="1036" t="s">
        <v>63</v>
      </c>
      <c r="D23" s="1036" t="s">
        <v>940</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754</v>
      </c>
      <c r="C24" s="1036" t="s">
        <v>63</v>
      </c>
      <c r="D24" s="1036" t="s">
        <v>940</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754</v>
      </c>
      <c r="C25" s="1036" t="s">
        <v>65</v>
      </c>
      <c r="D25" s="1036" t="s">
        <v>940</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754</v>
      </c>
      <c r="C26" s="1036" t="s">
        <v>65</v>
      </c>
      <c r="D26" s="1036" t="s">
        <v>940</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754</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754</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754</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754</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754</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754</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754</v>
      </c>
      <c r="C33" s="1036" t="s">
        <v>64</v>
      </c>
      <c r="D33" s="1036" t="s">
        <v>941</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754</v>
      </c>
      <c r="C34" s="1036" t="s">
        <v>63</v>
      </c>
      <c r="D34" s="1036" t="s">
        <v>941</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754</v>
      </c>
      <c r="C35" s="1036" t="s">
        <v>65</v>
      </c>
      <c r="D35" s="1036" t="s">
        <v>941</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754</v>
      </c>
      <c r="C36" s="1036" t="s">
        <v>64</v>
      </c>
      <c r="D36" s="1036" t="s">
        <v>942</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754</v>
      </c>
      <c r="C37" s="1036" t="s">
        <v>64</v>
      </c>
      <c r="D37" s="1036" t="s">
        <v>942</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754</v>
      </c>
      <c r="C38" s="1036" t="s">
        <v>63</v>
      </c>
      <c r="D38" s="1036" t="s">
        <v>942</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754</v>
      </c>
      <c r="C39" s="1036" t="s">
        <v>63</v>
      </c>
      <c r="D39" s="1036" t="s">
        <v>942</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754</v>
      </c>
      <c r="C40" s="1036" t="s">
        <v>65</v>
      </c>
      <c r="D40" s="1036" t="s">
        <v>942</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754</v>
      </c>
      <c r="C41" s="1036" t="s">
        <v>65</v>
      </c>
      <c r="D41" s="1036" t="s">
        <v>942</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756</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756</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756</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756</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756</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756</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762</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762</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762</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762</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762</v>
      </c>
      <c r="C52" s="1036" t="s">
        <v>64</v>
      </c>
      <c r="D52" s="1036" t="s">
        <v>940</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762</v>
      </c>
      <c r="C53" s="1036" t="s">
        <v>64</v>
      </c>
      <c r="D53" s="1036" t="s">
        <v>940</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762</v>
      </c>
      <c r="C54" s="1036" t="s">
        <v>63</v>
      </c>
      <c r="D54" s="1036" t="s">
        <v>940</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762</v>
      </c>
      <c r="C55" s="1036" t="s">
        <v>63</v>
      </c>
      <c r="D55" s="1036" t="s">
        <v>940</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4976.5590000000002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4976.5590000000002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0.21092260366101284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1049.6687815526464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135154.64499999999</v>
      </c>
      <c r="C5" s="17">
        <f>IF(ISERROR('Eigen informatie GS &amp; warmtenet'!B57),0,'Eigen informatie GS &amp; warmtenet'!B57)</f>
        <v>0</v>
      </c>
      <c r="D5" s="30">
        <f>(SUM(HH_hh_gas_kWh,HH_rest_gas_kWh)/1000)*0.902</f>
        <v>318078.84550200001</v>
      </c>
      <c r="E5" s="17">
        <f>B32*B41</f>
        <v>6291.3895509473214</v>
      </c>
      <c r="F5" s="17">
        <f>B36*B45</f>
        <v>214752.7800667288</v>
      </c>
      <c r="G5" s="18"/>
      <c r="H5" s="17"/>
      <c r="I5" s="17"/>
      <c r="J5" s="17">
        <f>B35*B44+C35*C44</f>
        <v>4835.6881471319202</v>
      </c>
      <c r="K5" s="17"/>
      <c r="L5" s="17"/>
      <c r="M5" s="17"/>
      <c r="N5" s="17">
        <f>B34*B43+C34*C43</f>
        <v>39811.411439371681</v>
      </c>
      <c r="O5" s="17">
        <f>B52*B53*B54</f>
        <v>317.35666666666668</v>
      </c>
      <c r="P5" s="17">
        <f>B60*B61*B62/1000-B60*B61*B62/1000/B63</f>
        <v>1067.7333333333333</v>
      </c>
    </row>
    <row r="6" spans="1:16">
      <c r="A6" s="16" t="s">
        <v>617</v>
      </c>
      <c r="B6" s="766">
        <f>kWh_PV_kleiner_dan_10kW</f>
        <v>6176.3585027106801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141331.00350271066</v>
      </c>
      <c r="C8" s="21">
        <f>C5</f>
        <v>0</v>
      </c>
      <c r="D8" s="21">
        <f>D5</f>
        <v>318078.84550200001</v>
      </c>
      <c r="E8" s="21">
        <f>E5</f>
        <v>6291.3895509473214</v>
      </c>
      <c r="F8" s="21">
        <f>F5</f>
        <v>214752.7800667288</v>
      </c>
      <c r="G8" s="21"/>
      <c r="H8" s="21"/>
      <c r="I8" s="21"/>
      <c r="J8" s="21">
        <f>J5</f>
        <v>4835.6881471319202</v>
      </c>
      <c r="K8" s="21"/>
      <c r="L8" s="21">
        <f>L5</f>
        <v>0</v>
      </c>
      <c r="M8" s="21">
        <f>M5</f>
        <v>0</v>
      </c>
      <c r="N8" s="21">
        <f>N5</f>
        <v>39811.411439371681</v>
      </c>
      <c r="O8" s="21">
        <f>O5</f>
        <v>317.35666666666668</v>
      </c>
      <c r="P8" s="21">
        <f>P5</f>
        <v>1067.7333333333333</v>
      </c>
    </row>
    <row r="9" spans="1:16">
      <c r="B9" s="19"/>
      <c r="C9" s="19"/>
      <c r="D9" s="256"/>
      <c r="E9" s="19"/>
      <c r="F9" s="19"/>
      <c r="G9" s="19"/>
      <c r="H9" s="19"/>
      <c r="I9" s="19"/>
      <c r="J9" s="19"/>
      <c r="K9" s="19"/>
      <c r="L9" s="19"/>
      <c r="M9" s="19"/>
      <c r="N9" s="19"/>
      <c r="O9" s="19"/>
      <c r="P9" s="19"/>
    </row>
    <row r="10" spans="1:16">
      <c r="A10" s="24" t="s">
        <v>207</v>
      </c>
      <c r="B10" s="25">
        <f ca="1">'EF ele_warmte'!B12</f>
        <v>0.21092260366101284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29809.903236815459</v>
      </c>
      <c r="C12" s="23">
        <f ca="1">C10*C8</f>
        <v>0</v>
      </c>
      <c r="D12" s="23">
        <f>D8*D10</f>
        <v>64251.926791404003</v>
      </c>
      <c r="E12" s="23">
        <f>E10*E8</f>
        <v>1428.1454280650421</v>
      </c>
      <c r="F12" s="23">
        <f>F10*F8</f>
        <v>57338.992277816593</v>
      </c>
      <c r="G12" s="23"/>
      <c r="H12" s="23"/>
      <c r="I12" s="23"/>
      <c r="J12" s="23">
        <f>J10*J8</f>
        <v>1711.8336040846996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969</v>
      </c>
      <c r="B17" s="200" t="s">
        <v>961</v>
      </c>
      <c r="C17" s="200" t="s">
        <v>962</v>
      </c>
      <c r="D17" s="225" t="s">
        <v>175</v>
      </c>
      <c r="E17" s="15"/>
    </row>
    <row r="18" spans="1:5">
      <c r="A18" s="242" t="s">
        <v>77</v>
      </c>
      <c r="B18" s="1048">
        <v>0.72810700138133444</v>
      </c>
      <c r="C18" s="1048"/>
      <c r="D18" s="295" t="s">
        <v>963</v>
      </c>
      <c r="E18" s="15"/>
    </row>
    <row r="19" spans="1:5">
      <c r="A19" s="242" t="s">
        <v>964</v>
      </c>
      <c r="B19" s="1048">
        <v>2.1099906700350789E-2</v>
      </c>
      <c r="C19" s="1048"/>
      <c r="D19" s="227"/>
      <c r="E19" s="15"/>
    </row>
    <row r="20" spans="1:5">
      <c r="A20" s="242" t="s">
        <v>965</v>
      </c>
      <c r="B20" s="1048"/>
      <c r="C20" s="1048"/>
      <c r="D20" s="227"/>
      <c r="E20" s="15"/>
    </row>
    <row r="21" spans="1:5">
      <c r="A21" s="242" t="s">
        <v>966</v>
      </c>
      <c r="B21" s="1048">
        <v>7.0895686513178643E-3</v>
      </c>
      <c r="C21" s="1048"/>
      <c r="D21" s="227"/>
      <c r="E21" s="15"/>
    </row>
    <row r="22" spans="1:5">
      <c r="A22" s="242" t="s">
        <v>967</v>
      </c>
      <c r="B22" s="1048">
        <v>0.20318607297960659</v>
      </c>
      <c r="C22" s="1048"/>
      <c r="D22" s="227"/>
      <c r="E22" s="15"/>
    </row>
    <row r="23" spans="1:5">
      <c r="A23" s="242" t="s">
        <v>78</v>
      </c>
      <c r="B23" s="1048"/>
      <c r="C23" s="1048"/>
      <c r="D23" s="226"/>
      <c r="E23" s="52"/>
    </row>
    <row r="24" spans="1:5">
      <c r="A24" s="242" t="s">
        <v>968</v>
      </c>
      <c r="B24" s="1048">
        <v>4.0517450287390303E-2</v>
      </c>
      <c r="C24" s="1048">
        <v>0.20447761472999923</v>
      </c>
      <c r="D24" s="226"/>
      <c r="E24" s="15"/>
    </row>
    <row r="25" spans="1:5" s="15" customFormat="1">
      <c r="A25" s="169"/>
      <c r="B25" s="29"/>
      <c r="C25" s="36"/>
      <c r="D25" s="226"/>
    </row>
    <row r="26" spans="1:5" s="15" customFormat="1">
      <c r="A26" s="228" t="s">
        <v>696</v>
      </c>
      <c r="B26" s="37">
        <f>aantalHuishoudens</f>
        <v>33234</v>
      </c>
      <c r="C26" s="36"/>
      <c r="D26" s="226"/>
    </row>
    <row r="27" spans="1:5" s="15" customFormat="1">
      <c r="A27" s="228" t="s">
        <v>697</v>
      </c>
      <c r="B27" s="37">
        <f>SUM(HH_hh_gas_aantal,HH_rest_gas_aantal)</f>
        <v>21204</v>
      </c>
      <c r="C27" s="36"/>
      <c r="D27" s="226"/>
    </row>
    <row r="28" spans="1:5" s="15" customFormat="1">
      <c r="A28" s="229"/>
      <c r="B28" s="29"/>
      <c r="C28" s="36"/>
      <c r="D28" s="230"/>
    </row>
    <row r="29" spans="1:5">
      <c r="A29" s="3"/>
      <c r="B29" s="43"/>
      <c r="C29" s="43"/>
      <c r="D29" s="172"/>
    </row>
    <row r="30" spans="1:5">
      <c r="A30" s="170" t="s">
        <v>474</v>
      </c>
      <c r="B30" s="167" t="s">
        <v>698</v>
      </c>
      <c r="C30" s="167" t="s">
        <v>699</v>
      </c>
      <c r="D30" s="172"/>
    </row>
    <row r="31" spans="1:5">
      <c r="A31" s="169" t="s">
        <v>970</v>
      </c>
      <c r="B31" s="33">
        <f>B27-0.05*B27</f>
        <v>20143.8</v>
      </c>
      <c r="C31" s="34" t="s">
        <v>104</v>
      </c>
      <c r="D31" s="172"/>
    </row>
    <row r="32" spans="1:5">
      <c r="A32" s="169" t="s">
        <v>72</v>
      </c>
      <c r="B32" s="33">
        <f>IF((B21*($B$26-($B$27-0.05*$B$27)-$B$60))&lt;0,0,B21*($B$26-($B$27-0.05*$B$27)-$B$60))</f>
        <v>92.40685571500731</v>
      </c>
      <c r="C32" s="34" t="s">
        <v>104</v>
      </c>
      <c r="D32" s="172"/>
    </row>
    <row r="33" spans="1:6">
      <c r="A33" s="169" t="s">
        <v>73</v>
      </c>
      <c r="B33" s="33">
        <f>IF((B22*($B$26-($B$27-0.05*$B$27)-$B$60))&lt;0,0,B22*($B$26-($B$27-0.05*$B$27)-$B$60))</f>
        <v>2648.3679124307882</v>
      </c>
      <c r="C33" s="34" t="s">
        <v>104</v>
      </c>
      <c r="D33" s="172"/>
    </row>
    <row r="34" spans="1:6">
      <c r="A34" s="169" t="s">
        <v>74</v>
      </c>
      <c r="B34" s="33">
        <f>IF((B24*($B$26-($B$27-0.05*$B$27)-$B$60))&lt;0,0,B24*($B$26-($B$27-0.05*$B$27)-$B$60))</f>
        <v>528.11255053590276</v>
      </c>
      <c r="C34" s="33">
        <f>B26*C24</f>
        <v>6795.609047936794</v>
      </c>
      <c r="D34" s="231"/>
    </row>
    <row r="35" spans="1:6">
      <c r="A35" s="169" t="s">
        <v>76</v>
      </c>
      <c r="B35" s="33">
        <f>IF((B19*($B$26-($B$27-0.05*$B$27)-$B$60))&lt;0,0,B19*($B$26-($B$27-0.05*$B$27)-$B$60))</f>
        <v>275.0204039137123</v>
      </c>
      <c r="C35" s="33">
        <f>B35/2</f>
        <v>137.51020195685615</v>
      </c>
      <c r="D35" s="231"/>
    </row>
    <row r="36" spans="1:6">
      <c r="A36" s="169" t="s">
        <v>77</v>
      </c>
      <c r="B36" s="33">
        <f>IF((B18*($B$26-($B$27-0.05*$B$27)-$B$60))&lt;0,0,B18*($B$26-($B$27-0.05*$B$27)-$B$60))</f>
        <v>9490.2922774045892</v>
      </c>
      <c r="C36" s="34" t="s">
        <v>104</v>
      </c>
      <c r="D36" s="172"/>
    </row>
    <row r="37" spans="1:6">
      <c r="A37" s="169" t="s">
        <v>78</v>
      </c>
      <c r="B37" s="33">
        <f>B60</f>
        <v>56</v>
      </c>
      <c r="C37" s="34" t="s">
        <v>104</v>
      </c>
      <c r="D37" s="172"/>
    </row>
    <row r="38" spans="1:6">
      <c r="A38" s="3"/>
      <c r="B38" s="43"/>
      <c r="C38" s="43"/>
      <c r="D38" s="172"/>
    </row>
    <row r="39" spans="1:6">
      <c r="A39" s="170" t="s">
        <v>477</v>
      </c>
      <c r="B39" s="166" t="s">
        <v>700</v>
      </c>
      <c r="C39" s="166" t="s">
        <v>701</v>
      </c>
      <c r="D39" s="295" t="s">
        <v>963</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203</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56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184587.81299999999</v>
      </c>
      <c r="C5" s="17">
        <f>IF(ISERROR('Eigen informatie GS &amp; warmtenet'!B58),0,'Eigen informatie GS &amp; warmtenet'!B58)</f>
        <v>0</v>
      </c>
      <c r="D5" s="30">
        <f>SUM(D6:D12)</f>
        <v>188327.02585400001</v>
      </c>
      <c r="E5" s="17">
        <f>SUM(E6:E12)</f>
        <v>3738.8396514251058</v>
      </c>
      <c r="F5" s="17">
        <f>SUM(F6:F12)</f>
        <v>34975.673383306406</v>
      </c>
      <c r="G5" s="18"/>
      <c r="H5" s="17"/>
      <c r="I5" s="17"/>
      <c r="J5" s="17">
        <f>SUM(J6:J12)</f>
        <v>0</v>
      </c>
      <c r="K5" s="17"/>
      <c r="L5" s="17"/>
      <c r="M5" s="17"/>
      <c r="N5" s="17">
        <f>SUM(N6:N12)</f>
        <v>4055.8934084767084</v>
      </c>
      <c r="O5" s="17">
        <f>B38*B39*B40</f>
        <v>1.5633333333333335</v>
      </c>
      <c r="P5" s="17">
        <f>B46*B47*B48/1000-B46*B47*B48/1000/B49</f>
        <v>152.53333333333333</v>
      </c>
      <c r="R5" s="32"/>
    </row>
    <row r="6" spans="1:18">
      <c r="A6" s="32" t="s">
        <v>53</v>
      </c>
      <c r="B6" s="37">
        <f>B26</f>
        <v>66666.11</v>
      </c>
      <c r="C6" s="33"/>
      <c r="D6" s="37">
        <f>IF(ISERROR(TER_kantoor_gas_kWh/1000),0,TER_kantoor_gas_kWh/1000)*0.902</f>
        <v>91667.51341</v>
      </c>
      <c r="E6" s="33">
        <f>$C$26*'E Balans VL '!I12/100/3.6*1000000</f>
        <v>2333.5760975858971</v>
      </c>
      <c r="F6" s="33">
        <f>$C$26*('E Balans VL '!L12+'E Balans VL '!N12)/100/3.6*1000000</f>
        <v>10108.013583356173</v>
      </c>
      <c r="G6" s="34"/>
      <c r="H6" s="33"/>
      <c r="I6" s="33"/>
      <c r="J6" s="33">
        <f>$C$26*('E Balans VL '!D12+'E Balans VL '!E12)/100/3.6*1000000</f>
        <v>0</v>
      </c>
      <c r="K6" s="33"/>
      <c r="L6" s="33"/>
      <c r="M6" s="33"/>
      <c r="N6" s="33">
        <f>$C$26*'E Balans VL '!Y12/100/3.6*1000000</f>
        <v>515.30816438182592</v>
      </c>
      <c r="O6" s="33"/>
      <c r="P6" s="33"/>
      <c r="R6" s="32"/>
    </row>
    <row r="7" spans="1:18">
      <c r="A7" s="32" t="s">
        <v>52</v>
      </c>
      <c r="B7" s="37">
        <f t="shared" ref="B7:B12" si="0">B27</f>
        <v>17481.537</v>
      </c>
      <c r="C7" s="33"/>
      <c r="D7" s="37">
        <f>IF(ISERROR(TER_horeca_gas_kWh/1000),0,TER_horeca_gas_kWh/1000)*0.902</f>
        <v>17125.671463999999</v>
      </c>
      <c r="E7" s="33">
        <f>$C$27*'E Balans VL '!I9/100/3.6*1000000</f>
        <v>986.19113463146095</v>
      </c>
      <c r="F7" s="33">
        <f>$C$27*('E Balans VL '!L9+'E Balans VL '!N9)/100/3.6*1000000</f>
        <v>3045.3804894678938</v>
      </c>
      <c r="G7" s="34"/>
      <c r="H7" s="33"/>
      <c r="I7" s="33"/>
      <c r="J7" s="33">
        <f>$C$27*('E Balans VL '!D9+'E Balans VL '!E9)/100/3.6*1000000</f>
        <v>0</v>
      </c>
      <c r="K7" s="33"/>
      <c r="L7" s="33"/>
      <c r="M7" s="33"/>
      <c r="N7" s="33">
        <f>$C$27*'E Balans VL '!Y9/100/3.6*1000000</f>
        <v>0</v>
      </c>
      <c r="O7" s="33"/>
      <c r="P7" s="33"/>
      <c r="R7" s="32"/>
    </row>
    <row r="8" spans="1:18">
      <c r="A8" s="6" t="s">
        <v>51</v>
      </c>
      <c r="B8" s="37">
        <f t="shared" si="0"/>
        <v>62159.536999999997</v>
      </c>
      <c r="C8" s="33"/>
      <c r="D8" s="37">
        <f>IF(ISERROR(TER_handel_gas_kWh/1000),0,TER_handel_gas_kWh/1000)*0.902</f>
        <v>34602.8848</v>
      </c>
      <c r="E8" s="33">
        <f>$C$28*'E Balans VL '!I13/100/3.6*1000000</f>
        <v>319.12074764063419</v>
      </c>
      <c r="F8" s="33">
        <f>$C$28*('E Balans VL '!L13+'E Balans VL '!N13)/100/3.6*1000000</f>
        <v>9584.0401419574719</v>
      </c>
      <c r="G8" s="34"/>
      <c r="H8" s="33"/>
      <c r="I8" s="33"/>
      <c r="J8" s="33">
        <f>$C$28*('E Balans VL '!D13+'E Balans VL '!E13)/100/3.6*1000000</f>
        <v>0</v>
      </c>
      <c r="K8" s="33"/>
      <c r="L8" s="33"/>
      <c r="M8" s="33"/>
      <c r="N8" s="33">
        <f>$C$28*'E Balans VL '!Y13/100/3.6*1000000</f>
        <v>29.072774214180935</v>
      </c>
      <c r="O8" s="33"/>
      <c r="P8" s="33"/>
      <c r="R8" s="32"/>
    </row>
    <row r="9" spans="1:18">
      <c r="A9" s="32" t="s">
        <v>50</v>
      </c>
      <c r="B9" s="37">
        <f t="shared" si="0"/>
        <v>18490.09</v>
      </c>
      <c r="C9" s="33"/>
      <c r="D9" s="37">
        <f>IF(ISERROR(TER_gezond_gas_kWh/1000),0,TER_gezond_gas_kWh/1000)*0.902</f>
        <v>21174.780132000004</v>
      </c>
      <c r="E9" s="33">
        <f>$C$29*'E Balans VL '!I10/100/3.6*1000000</f>
        <v>7.6640106232984646</v>
      </c>
      <c r="F9" s="33">
        <f>$C$29*('E Balans VL '!L10+'E Balans VL '!N10)/100/3.6*1000000</f>
        <v>4553.8439837359347</v>
      </c>
      <c r="G9" s="34"/>
      <c r="H9" s="33"/>
      <c r="I9" s="33"/>
      <c r="J9" s="33">
        <f>$C$29*('E Balans VL '!D10+'E Balans VL '!E10)/100/3.6*1000000</f>
        <v>0</v>
      </c>
      <c r="K9" s="33"/>
      <c r="L9" s="33"/>
      <c r="M9" s="33"/>
      <c r="N9" s="33">
        <f>$C$29*'E Balans VL '!Y10/100/3.6*1000000</f>
        <v>159.80014288619026</v>
      </c>
      <c r="O9" s="33"/>
      <c r="P9" s="33"/>
      <c r="R9" s="32"/>
    </row>
    <row r="10" spans="1:18">
      <c r="A10" s="32" t="s">
        <v>49</v>
      </c>
      <c r="B10" s="37">
        <f t="shared" si="0"/>
        <v>14474.434999999999</v>
      </c>
      <c r="C10" s="33"/>
      <c r="D10" s="37">
        <f>IF(ISERROR(TER_ander_gas_kWh/1000),0,TER_ander_gas_kWh/1000)*0.902</f>
        <v>14562.30292</v>
      </c>
      <c r="E10" s="33">
        <f>$C$30*'E Balans VL '!I14/100/3.6*1000000</f>
        <v>88.23651288335553</v>
      </c>
      <c r="F10" s="33">
        <f>$C$30*('E Balans VL '!L14+'E Balans VL '!N14)/100/3.6*1000000</f>
        <v>3837.3709957679325</v>
      </c>
      <c r="G10" s="34"/>
      <c r="H10" s="33"/>
      <c r="I10" s="33"/>
      <c r="J10" s="33">
        <f>$C$30*('E Balans VL '!D14+'E Balans VL '!E14)/100/3.6*1000000</f>
        <v>0</v>
      </c>
      <c r="K10" s="33"/>
      <c r="L10" s="33"/>
      <c r="M10" s="33"/>
      <c r="N10" s="33">
        <f>$C$30*'E Balans VL '!Y14/100/3.6*1000000</f>
        <v>3336.0444979808062</v>
      </c>
      <c r="O10" s="33"/>
      <c r="P10" s="33"/>
      <c r="R10" s="32"/>
    </row>
    <row r="11" spans="1:18">
      <c r="A11" s="32" t="s">
        <v>54</v>
      </c>
      <c r="B11" s="37">
        <f t="shared" si="0"/>
        <v>5316.1040000000003</v>
      </c>
      <c r="C11" s="33"/>
      <c r="D11" s="37">
        <f>IF(ISERROR(TER_onderwijs_gas_kWh/1000),0,TER_onderwijs_gas_kWh/1000)*0.902</f>
        <v>9193.8731279999993</v>
      </c>
      <c r="E11" s="33">
        <f>$C$31*'E Balans VL '!I11/100/3.6*1000000</f>
        <v>4.0511480604596199</v>
      </c>
      <c r="F11" s="33">
        <f>$C$31*('E Balans VL '!L11+'E Balans VL '!N11)/100/3.6*1000000</f>
        <v>3847.0241890210013</v>
      </c>
      <c r="G11" s="34"/>
      <c r="H11" s="33"/>
      <c r="I11" s="33"/>
      <c r="J11" s="33">
        <f>$C$31*('E Balans VL '!D11+'E Balans VL '!E11)/100/3.6*1000000</f>
        <v>0</v>
      </c>
      <c r="K11" s="33"/>
      <c r="L11" s="33"/>
      <c r="M11" s="33"/>
      <c r="N11" s="33">
        <f>$C$31*'E Balans VL '!Y11/100/3.6*1000000</f>
        <v>15.667829013704528</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energieproductie'!N41+'lokale energieproductie'!N34</f>
        <v>2248.65</v>
      </c>
      <c r="C13" s="244">
        <f ca="1">'lokale energieproductie'!O41+'lokale energieproductie'!O34</f>
        <v>1444.5</v>
      </c>
      <c r="D13" s="304">
        <f ca="1">('lokale energieproductie'!P34+'lokale energieproductie'!P41)*(-1)</f>
        <v>-2889.0000000000005</v>
      </c>
      <c r="E13" s="245"/>
      <c r="F13" s="304">
        <f ca="1">('lokale energieproductie'!S34+'lokale energieproductie'!S41)*(-1)</f>
        <v>0</v>
      </c>
      <c r="G13" s="246"/>
      <c r="H13" s="245"/>
      <c r="I13" s="245"/>
      <c r="J13" s="245"/>
      <c r="K13" s="245"/>
      <c r="L13" s="304">
        <f ca="1">('lokale energieproductie'!U34+'lokale energieproductie'!T34+'lokale energieproductie'!U41+'lokale energieproductie'!T41)*(-1)</f>
        <v>0</v>
      </c>
      <c r="M13" s="245"/>
      <c r="N13" s="304">
        <f ca="1">('lokale energieproductie'!Q34+'lokale energieproductie'!R34+'lokale energieproductie'!V34+'lokale energieproductie'!Q41+'lokale energieproductie'!R41+'lokale energieproductie'!V41)*(-1)</f>
        <v>-3535.7142857142858</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186836.46299999999</v>
      </c>
      <c r="C16" s="21">
        <f ca="1">C5+C13+C14</f>
        <v>1444.5</v>
      </c>
      <c r="D16" s="21">
        <f t="shared" ref="D16:N16" ca="1" si="1">MAX((D5+D13+D14),0)</f>
        <v>185438.02585400001</v>
      </c>
      <c r="E16" s="21">
        <f t="shared" si="1"/>
        <v>3738.8396514251058</v>
      </c>
      <c r="F16" s="21">
        <f t="shared" ca="1" si="1"/>
        <v>34975.673383306406</v>
      </c>
      <c r="G16" s="21">
        <f t="shared" si="1"/>
        <v>0</v>
      </c>
      <c r="H16" s="21">
        <f t="shared" si="1"/>
        <v>0</v>
      </c>
      <c r="I16" s="21">
        <f t="shared" si="1"/>
        <v>0</v>
      </c>
      <c r="J16" s="21">
        <f t="shared" si="1"/>
        <v>0</v>
      </c>
      <c r="K16" s="21">
        <f t="shared" si="1"/>
        <v>0</v>
      </c>
      <c r="L16" s="21">
        <f t="shared" ca="1" si="1"/>
        <v>0</v>
      </c>
      <c r="M16" s="21">
        <f t="shared" si="1"/>
        <v>0</v>
      </c>
      <c r="N16" s="21">
        <f t="shared" ca="1" si="1"/>
        <v>520.17912276242259</v>
      </c>
      <c r="O16" s="21">
        <f>O5</f>
        <v>1.5633333333333335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0.21092260366101284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39408.033234774492</v>
      </c>
      <c r="C20" s="23">
        <f t="shared" ref="C20:P20" ca="1" si="2">C16*C18</f>
        <v>343.28117647058821</v>
      </c>
      <c r="D20" s="23">
        <f t="shared" ca="1" si="2"/>
        <v>37458.481222508002</v>
      </c>
      <c r="E20" s="23">
        <f t="shared" si="2"/>
        <v>848.71660087349903</v>
      </c>
      <c r="F20" s="23">
        <f t="shared" ca="1" si="2"/>
        <v>9338.5047933428104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66666.11</v>
      </c>
      <c r="C26" s="39">
        <f>IF(ISERROR(B26*3.6/1000000/'E Balans VL '!Z12*100),0,B26*3.6/1000000/'E Balans VL '!Z12*100)</f>
        <v>1.4028777275284892</v>
      </c>
      <c r="D26" s="234" t="s">
        <v>702</v>
      </c>
      <c r="F26" s="6"/>
    </row>
    <row r="27" spans="1:18">
      <c r="A27" s="229" t="s">
        <v>52</v>
      </c>
      <c r="B27" s="33">
        <f>IF(ISERROR(TER_horeca_ele_kWh/1000),0,TER_horeca_ele_kWh/1000)</f>
        <v>17481.537</v>
      </c>
      <c r="C27" s="39">
        <f>IF(ISERROR(B27*3.6/1000000/'E Balans VL '!Z9*100),0,B27*3.6/1000000/'E Balans VL '!Z9*100)</f>
        <v>1.4801126151259367</v>
      </c>
      <c r="D27" s="234" t="s">
        <v>702</v>
      </c>
      <c r="F27" s="6"/>
    </row>
    <row r="28" spans="1:18">
      <c r="A28" s="169" t="s">
        <v>51</v>
      </c>
      <c r="B28" s="33">
        <f>IF(ISERROR(TER_handel_ele_kWh/1000),0,TER_handel_ele_kWh/1000)</f>
        <v>62159.536999999997</v>
      </c>
      <c r="C28" s="39">
        <f>IF(ISERROR(B28*3.6/1000000/'E Balans VL '!Z13*100),0,B28*3.6/1000000/'E Balans VL '!Z13*100)</f>
        <v>1.7208781864835418</v>
      </c>
      <c r="D28" s="234" t="s">
        <v>702</v>
      </c>
      <c r="F28" s="6"/>
    </row>
    <row r="29" spans="1:18">
      <c r="A29" s="229" t="s">
        <v>50</v>
      </c>
      <c r="B29" s="33">
        <f>IF(ISERROR(TER_gezond_ele_kWh/1000),0,TER_gezond_ele_kWh/1000)</f>
        <v>18490.09</v>
      </c>
      <c r="C29" s="39">
        <f>IF(ISERROR(B29*3.6/1000000/'E Balans VL '!Z10*100),0,B29*3.6/1000000/'E Balans VL '!Z10*100)</f>
        <v>2.4035067134530261</v>
      </c>
      <c r="D29" s="234" t="s">
        <v>702</v>
      </c>
      <c r="F29" s="6"/>
    </row>
    <row r="30" spans="1:18">
      <c r="A30" s="229" t="s">
        <v>49</v>
      </c>
      <c r="B30" s="33">
        <f>IF(ISERROR(TER_ander_ele_kWh/1000),0,TER_ander_ele_kWh/1000)</f>
        <v>14474.434999999999</v>
      </c>
      <c r="C30" s="39">
        <f>IF(ISERROR(B30*3.6/1000000/'E Balans VL '!Z14*100),0,B30*3.6/1000000/'E Balans VL '!Z14*100)</f>
        <v>1.121901453209148</v>
      </c>
      <c r="D30" s="234" t="s">
        <v>702</v>
      </c>
      <c r="F30" s="6"/>
    </row>
    <row r="31" spans="1:18">
      <c r="A31" s="229" t="s">
        <v>54</v>
      </c>
      <c r="B31" s="33">
        <f>IF(ISERROR(TER_onderwijs_ele_kWh/1000),0,TER_onderwijs_ele_kWh/1000)</f>
        <v>5316.1040000000003</v>
      </c>
      <c r="C31" s="39">
        <f>IF(ISERROR(B31*3.6/1000000/'E Balans VL '!Z11*100),0,B31*3.6/1000000/'E Balans VL '!Z11*100)</f>
        <v>1.0170612796951981</v>
      </c>
      <c r="D31" s="234" t="s">
        <v>702</v>
      </c>
    </row>
    <row r="32" spans="1:18">
      <c r="A32" s="229" t="s">
        <v>249</v>
      </c>
      <c r="B32" s="33">
        <f>IF(ISERROR(TER_rest_ele_kWh/1000),0,TER_rest_ele_kWh/1000)</f>
        <v>0</v>
      </c>
      <c r="C32" s="39">
        <f>IF(ISERROR(B32*3.6/1000000/'E Balans VL '!Z8*100),0,B32*3.6/1000000/'E Balans VL '!Z8*100)</f>
        <v>0</v>
      </c>
      <c r="D32" s="234" t="s">
        <v>702</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8</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62389.236000000004</v>
      </c>
      <c r="C5" s="17">
        <f>IF(ISERROR('Eigen informatie GS &amp; warmtenet'!B59),0,'Eigen informatie GS &amp; warmtenet'!B59)</f>
        <v>0</v>
      </c>
      <c r="D5" s="30">
        <f>SUM(D6:D15)</f>
        <v>76632.432602000001</v>
      </c>
      <c r="E5" s="17">
        <f>SUM(E6:E15)</f>
        <v>1060.7016004638876</v>
      </c>
      <c r="F5" s="17">
        <f>SUM(F6:F15)</f>
        <v>28118.368807735602</v>
      </c>
      <c r="G5" s="18"/>
      <c r="H5" s="17"/>
      <c r="I5" s="17"/>
      <c r="J5" s="17">
        <f>SUM(J6:J15)</f>
        <v>204.79607477479763</v>
      </c>
      <c r="K5" s="17"/>
      <c r="L5" s="17"/>
      <c r="M5" s="17"/>
      <c r="N5" s="17">
        <f>SUM(N6:N15)</f>
        <v>2428.4108709328448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4280.4189999999999</v>
      </c>
      <c r="C8" s="33"/>
      <c r="D8" s="37">
        <f>IF( ISERROR(IND_metaal_Gas_kWH/1000),0,IND_metaal_Gas_kWH/1000)*0.902</f>
        <v>2159.0569660000001</v>
      </c>
      <c r="E8" s="33">
        <f>C30*'E Balans VL '!I18/100/3.6*1000000</f>
        <v>30.07755988138732</v>
      </c>
      <c r="F8" s="33">
        <f>C30*'E Balans VL '!L18/100/3.6*1000000+C30*'E Balans VL '!N18/100/3.6*1000000</f>
        <v>469.96496328391248</v>
      </c>
      <c r="G8" s="34"/>
      <c r="H8" s="33"/>
      <c r="I8" s="33"/>
      <c r="J8" s="40">
        <f>C30*'E Balans VL '!D18/100/3.6*1000000+C30*'E Balans VL '!E18/100/3.6*1000000</f>
        <v>88.314269949895078</v>
      </c>
      <c r="K8" s="33"/>
      <c r="L8" s="33"/>
      <c r="M8" s="33"/>
      <c r="N8" s="33">
        <f>C30*'E Balans VL '!Y18/100/3.6*1000000</f>
        <v>16.043318687445723</v>
      </c>
      <c r="O8" s="33"/>
      <c r="P8" s="33"/>
      <c r="R8" s="32"/>
    </row>
    <row r="9" spans="1:18">
      <c r="A9" s="6" t="s">
        <v>32</v>
      </c>
      <c r="B9" s="37">
        <f t="shared" si="0"/>
        <v>30137.705000000002</v>
      </c>
      <c r="C9" s="33"/>
      <c r="D9" s="37">
        <f>IF( ISERROR(IND_andere_gas_kWh/1000),0,IND_andere_gas_kWh/1000)*0.902</f>
        <v>23498.866116000001</v>
      </c>
      <c r="E9" s="33">
        <f>C31*'E Balans VL '!I19/100/3.6*1000000</f>
        <v>506.19967534241084</v>
      </c>
      <c r="F9" s="33">
        <f>C31*'E Balans VL '!L19/100/3.6*1000000+C31*'E Balans VL '!N19/100/3.6*1000000</f>
        <v>23559.941253491252</v>
      </c>
      <c r="G9" s="34"/>
      <c r="H9" s="33"/>
      <c r="I9" s="33"/>
      <c r="J9" s="40">
        <f>C31*'E Balans VL '!D19/100/3.6*1000000+C31*'E Balans VL '!E19/100/3.6*1000000</f>
        <v>2.7181549538775496</v>
      </c>
      <c r="K9" s="33"/>
      <c r="L9" s="33"/>
      <c r="M9" s="33"/>
      <c r="N9" s="33">
        <f>C31*'E Balans VL '!Y19/100/3.6*1000000</f>
        <v>2233.6874574092176</v>
      </c>
      <c r="O9" s="33"/>
      <c r="P9" s="33"/>
      <c r="R9" s="32"/>
    </row>
    <row r="10" spans="1:18">
      <c r="A10" s="6" t="s">
        <v>40</v>
      </c>
      <c r="B10" s="37">
        <f t="shared" si="0"/>
        <v>11177.246999999999</v>
      </c>
      <c r="C10" s="33"/>
      <c r="D10" s="37">
        <f>IF( ISERROR(IND_voed_gas_kWh/1000),0,IND_voed_gas_kWh/1000)*0.902</f>
        <v>10292.356690000001</v>
      </c>
      <c r="E10" s="33">
        <f>C32*'E Balans VL '!I20/100/3.6*1000000</f>
        <v>101.97655692323247</v>
      </c>
      <c r="F10" s="33">
        <f>C32*'E Balans VL '!L20/100/3.6*1000000+C32*'E Balans VL '!N20/100/3.6*1000000</f>
        <v>1803.2395449266319</v>
      </c>
      <c r="G10" s="34"/>
      <c r="H10" s="33"/>
      <c r="I10" s="33"/>
      <c r="J10" s="40">
        <f>C32*'E Balans VL '!D20/100/3.6*1000000+C32*'E Balans VL '!E20/100/3.6*1000000</f>
        <v>46.035231303853273</v>
      </c>
      <c r="K10" s="33"/>
      <c r="L10" s="33"/>
      <c r="M10" s="33"/>
      <c r="N10" s="33">
        <f>C32*'E Balans VL '!Y20/100/3.6*1000000</f>
        <v>163.51431010338004</v>
      </c>
      <c r="O10" s="33"/>
      <c r="P10" s="33"/>
      <c r="R10" s="32"/>
    </row>
    <row r="11" spans="1:18">
      <c r="A11" s="6" t="s">
        <v>39</v>
      </c>
      <c r="B11" s="37">
        <f t="shared" si="0"/>
        <v>402.95800000000003</v>
      </c>
      <c r="C11" s="33"/>
      <c r="D11" s="37">
        <f>IF( ISERROR(IND_textiel_gas_kWh/1000),0,IND_textiel_gas_kWh/1000)*0.902</f>
        <v>225.89417400000002</v>
      </c>
      <c r="E11" s="33">
        <f>C33*'E Balans VL '!I21/100/3.6*1000000</f>
        <v>0.91907245248676217</v>
      </c>
      <c r="F11" s="33">
        <f>C33*'E Balans VL '!L21/100/3.6*1000000+C33*'E Balans VL '!N21/100/3.6*1000000</f>
        <v>8.6136009918612437</v>
      </c>
      <c r="G11" s="34"/>
      <c r="H11" s="33"/>
      <c r="I11" s="33"/>
      <c r="J11" s="40">
        <f>C33*'E Balans VL '!D21/100/3.6*1000000+C33*'E Balans VL '!E21/100/3.6*1000000</f>
        <v>0</v>
      </c>
      <c r="K11" s="33"/>
      <c r="L11" s="33"/>
      <c r="M11" s="33"/>
      <c r="N11" s="33">
        <f>C33*'E Balans VL '!Y21/100/3.6*1000000</f>
        <v>2.8585296891192322</v>
      </c>
      <c r="O11" s="33"/>
      <c r="P11" s="33"/>
      <c r="R11" s="32"/>
    </row>
    <row r="12" spans="1:18">
      <c r="A12" s="6" t="s">
        <v>36</v>
      </c>
      <c r="B12" s="37">
        <f t="shared" si="0"/>
        <v>11133.486000000001</v>
      </c>
      <c r="C12" s="33"/>
      <c r="D12" s="37">
        <f>IF( ISERROR(IND_min_gas_kWh/1000),0,IND_min_gas_kWh/1000)*0.902</f>
        <v>34532.333967999999</v>
      </c>
      <c r="E12" s="33">
        <f>C34*'E Balans VL '!I22/100/3.6*1000000</f>
        <v>276.14664830091124</v>
      </c>
      <c r="F12" s="33">
        <f>C34*'E Balans VL '!L22/100/3.6*1000000+C34*'E Balans VL '!N22/100/3.6*1000000</f>
        <v>1183.0394905868147</v>
      </c>
      <c r="G12" s="34"/>
      <c r="H12" s="33"/>
      <c r="I12" s="33"/>
      <c r="J12" s="40">
        <f>C34*'E Balans VL '!D22/100/3.6*1000000+C34*'E Balans VL '!E22/100/3.6*1000000</f>
        <v>63.244733188762936</v>
      </c>
      <c r="K12" s="33"/>
      <c r="L12" s="33"/>
      <c r="M12" s="33"/>
      <c r="N12" s="33">
        <f>C34*'E Balans VL '!Y22/100/3.6*1000000</f>
        <v>0</v>
      </c>
      <c r="O12" s="33"/>
      <c r="P12" s="33"/>
      <c r="R12" s="32"/>
    </row>
    <row r="13" spans="1:18">
      <c r="A13" s="6" t="s">
        <v>38</v>
      </c>
      <c r="B13" s="37">
        <f t="shared" si="0"/>
        <v>4522.2439999999997</v>
      </c>
      <c r="C13" s="33"/>
      <c r="D13" s="37">
        <f>IF( ISERROR(IND_papier_gas_kWh/1000),0,IND_papier_gas_kWh/1000)*0.902</f>
        <v>3492.3121860000001</v>
      </c>
      <c r="E13" s="33">
        <f>C35*'E Balans VL '!I23/100/3.6*1000000</f>
        <v>139.13764587427616</v>
      </c>
      <c r="F13" s="33">
        <f>C35*'E Balans VL '!L23/100/3.6*1000000+C35*'E Balans VL '!N23/100/3.6*1000000</f>
        <v>960.23044429023673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69.284999999999997</v>
      </c>
      <c r="C14" s="33"/>
      <c r="D14" s="37">
        <f>IF( ISERROR(IND_chemie_gas_kWh/1000),0,IND_chemie_gas_kWh/1000)*0.902</f>
        <v>0</v>
      </c>
      <c r="E14" s="33">
        <f>C36*'E Balans VL '!I24/100/3.6*1000000</f>
        <v>0.23492387120045238</v>
      </c>
      <c r="F14" s="33">
        <f>C36*'E Balans VL '!L24/100/3.6*1000000+C36*'E Balans VL '!N24/100/3.6*1000000</f>
        <v>0.22235235179168561</v>
      </c>
      <c r="G14" s="34"/>
      <c r="H14" s="33"/>
      <c r="I14" s="33"/>
      <c r="J14" s="40">
        <f>C36*'E Balans VL '!D24/100/3.6*1000000+C36*'E Balans VL '!E24/100/3.6*1000000</f>
        <v>0</v>
      </c>
      <c r="K14" s="33"/>
      <c r="L14" s="33"/>
      <c r="M14" s="33"/>
      <c r="N14" s="33">
        <f>C36*'E Balans VL '!Y24/100/3.6*1000000</f>
        <v>0.32395788343091408</v>
      </c>
      <c r="O14" s="33"/>
      <c r="P14" s="33"/>
      <c r="R14" s="32"/>
    </row>
    <row r="15" spans="1:18">
      <c r="A15" s="6" t="s">
        <v>259</v>
      </c>
      <c r="B15" s="37">
        <f t="shared" si="0"/>
        <v>665.89200000000005</v>
      </c>
      <c r="C15" s="33"/>
      <c r="D15" s="37">
        <f>IF( ISERROR(IND_rest_gas_kWh/1000),0,IND_rest_gas_kWh/1000)*0.902</f>
        <v>2431.6125019999999</v>
      </c>
      <c r="E15" s="33">
        <f>C37*'E Balans VL '!I15/100/3.6*1000000</f>
        <v>6.0095178179824353</v>
      </c>
      <c r="F15" s="33">
        <f>C37*'E Balans VL '!L15/100/3.6*1000000+C37*'E Balans VL '!N15/100/3.6*1000000</f>
        <v>133.11715781309744</v>
      </c>
      <c r="G15" s="34"/>
      <c r="H15" s="33"/>
      <c r="I15" s="33"/>
      <c r="J15" s="40">
        <f>C37*'E Balans VL '!D15/100/3.6*1000000+C37*'E Balans VL '!E15/100/3.6*1000000</f>
        <v>4.483685378408806</v>
      </c>
      <c r="K15" s="33"/>
      <c r="L15" s="33"/>
      <c r="M15" s="33"/>
      <c r="N15" s="33">
        <f>C37*'E Balans VL '!Y15/100/3.6*1000000</f>
        <v>11.983297160251542</v>
      </c>
      <c r="O15" s="33"/>
      <c r="P15" s="33"/>
      <c r="R15" s="32"/>
    </row>
    <row r="16" spans="1:18">
      <c r="A16" s="16" t="s">
        <v>483</v>
      </c>
      <c r="B16" s="244">
        <f>'lokale energieproductie'!N40+'lokale energieproductie'!N33</f>
        <v>93.75</v>
      </c>
      <c r="C16" s="244">
        <f>'lokale energieproductie'!O40+'lokale energieproductie'!O33</f>
        <v>133.92857142857144</v>
      </c>
      <c r="D16" s="304">
        <f>('lokale energieproductie'!P33+'lokale energieproductie'!P40)*(-1)</f>
        <v>-267.85714285714289</v>
      </c>
      <c r="E16" s="245"/>
      <c r="F16" s="304">
        <f>('lokale energieproductie'!S33+'lokale energieproductie'!S40)*(-1)</f>
        <v>0</v>
      </c>
      <c r="G16" s="246"/>
      <c r="H16" s="245"/>
      <c r="I16" s="245"/>
      <c r="J16" s="245"/>
      <c r="K16" s="245"/>
      <c r="L16" s="304">
        <f>('lokale energieproductie'!T33+'lokale energieproductie'!U33+'lokale energieproductie'!T40+'lokale energieproductie'!U40)*(-1)</f>
        <v>0</v>
      </c>
      <c r="M16" s="245"/>
      <c r="N16" s="304">
        <f>('lokale energieproductie'!Q33+'lokale energieproductie'!R33+'lokale energieproductie'!V33+'lokale energieproductie'!Q40+'lokale energieproductie'!R40+'lokale energieproductie'!V40)*(-1)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62482.986000000004</v>
      </c>
      <c r="C18" s="21">
        <f>C5+C16</f>
        <v>133.92857142857144</v>
      </c>
      <c r="D18" s="21">
        <f>MAX((D5+D16),0)</f>
        <v>76364.575459142856</v>
      </c>
      <c r="E18" s="21">
        <f>MAX((E5+E16),0)</f>
        <v>1060.7016004638876</v>
      </c>
      <c r="F18" s="21">
        <f>MAX((F5+F16),0)</f>
        <v>28118.368807735602</v>
      </c>
      <c r="G18" s="21"/>
      <c r="H18" s="21"/>
      <c r="I18" s="21"/>
      <c r="J18" s="21">
        <f>MAX((J5+J16),0)</f>
        <v>204.79607477479763</v>
      </c>
      <c r="K18" s="21"/>
      <c r="L18" s="21">
        <f>MAX((L5+L16),0)</f>
        <v>0</v>
      </c>
      <c r="M18" s="21"/>
      <c r="N18" s="21">
        <f>MAX((N5+N16),0)</f>
        <v>2428.4108709328448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0.21092260366101284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13179.074091634615</v>
      </c>
      <c r="C22" s="23">
        <f ca="1">C18*C20</f>
        <v>31.827731092436977</v>
      </c>
      <c r="D22" s="23">
        <f>D18*D20</f>
        <v>15425.644242746857</v>
      </c>
      <c r="E22" s="23">
        <f>E18*E20</f>
        <v>240.77926330530249</v>
      </c>
      <c r="F22" s="23">
        <f>F18*F20</f>
        <v>7507.604471665406</v>
      </c>
      <c r="G22" s="23"/>
      <c r="H22" s="23"/>
      <c r="I22" s="23"/>
      <c r="J22" s="23">
        <f>J18*J20</f>
        <v>72.497810470278353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702</v>
      </c>
    </row>
    <row r="29" spans="1:18">
      <c r="A29" s="169" t="s">
        <v>37</v>
      </c>
      <c r="B29" s="37">
        <f>IF( ISERROR(IND_nonf_ele_kWh/1000),0,IND_nonf_ele_kWh/1000)</f>
        <v>0</v>
      </c>
      <c r="C29" s="39">
        <f>IF(ISERROR(B29*3.6/1000000/'E Balans VL '!Z17*100),0,B29*3.6/1000000/'E Balans VL '!Z17*100)</f>
        <v>0</v>
      </c>
      <c r="D29" s="234" t="s">
        <v>702</v>
      </c>
    </row>
    <row r="30" spans="1:18">
      <c r="A30" s="169" t="s">
        <v>35</v>
      </c>
      <c r="B30" s="37">
        <f>IF( ISERROR(IND_metaal_ele_kWh/1000),0,IND_metaal_ele_kWh/1000)</f>
        <v>4280.4189999999999</v>
      </c>
      <c r="C30" s="39">
        <f>IF(ISERROR(B30*3.6/1000000/'E Balans VL '!Z18*100),0,B30*3.6/1000000/'E Balans VL '!Z18*100)</f>
        <v>0.28495010667287685</v>
      </c>
      <c r="D30" s="234" t="s">
        <v>702</v>
      </c>
    </row>
    <row r="31" spans="1:18">
      <c r="A31" s="6" t="s">
        <v>32</v>
      </c>
      <c r="B31" s="37">
        <f>IF( ISERROR(IND_ander_ele_kWh/1000),0,IND_ander_ele_kWh/1000)</f>
        <v>30137.705000000002</v>
      </c>
      <c r="C31" s="39">
        <f>IF(ISERROR(B31*3.6/1000000/'E Balans VL '!Z19*100),0,B31*3.6/1000000/'E Balans VL '!Z19*100)</f>
        <v>1.3358850285268502</v>
      </c>
      <c r="D31" s="234" t="s">
        <v>702</v>
      </c>
    </row>
    <row r="32" spans="1:18">
      <c r="A32" s="169" t="s">
        <v>40</v>
      </c>
      <c r="B32" s="37">
        <f>IF( ISERROR(IND_voed_ele_kWh/1000),0,IND_voed_ele_kWh/1000)</f>
        <v>11177.246999999999</v>
      </c>
      <c r="C32" s="39">
        <f>IF(ISERROR(B32*3.6/1000000/'E Balans VL '!Z20*100),0,B32*3.6/1000000/'E Balans VL '!Z20*100)</f>
        <v>0.3733521131718317</v>
      </c>
      <c r="D32" s="234" t="s">
        <v>702</v>
      </c>
    </row>
    <row r="33" spans="1:5">
      <c r="A33" s="169" t="s">
        <v>39</v>
      </c>
      <c r="B33" s="37">
        <f>IF( ISERROR(IND_textiel_ele_kWh/1000),0,IND_textiel_ele_kWh/1000)</f>
        <v>402.95800000000003</v>
      </c>
      <c r="C33" s="39">
        <f>IF(ISERROR(B33*3.6/1000000/'E Balans VL '!Z21*100),0,B33*3.6/1000000/'E Balans VL '!Z21*100)</f>
        <v>5.3050349937257629E-2</v>
      </c>
      <c r="D33" s="234" t="s">
        <v>702</v>
      </c>
    </row>
    <row r="34" spans="1:5">
      <c r="A34" s="169" t="s">
        <v>36</v>
      </c>
      <c r="B34" s="37">
        <f>IF( ISERROR(IND_min_ele_kWh/1000),0,IND_min_ele_kWh/1000)</f>
        <v>11133.486000000001</v>
      </c>
      <c r="C34" s="39">
        <f>IF(ISERROR(B34*3.6/1000000/'E Balans VL '!Z22*100),0,B34*3.6/1000000/'E Balans VL '!Z22*100)</f>
        <v>2.1653407326079241</v>
      </c>
      <c r="D34" s="234" t="s">
        <v>702</v>
      </c>
    </row>
    <row r="35" spans="1:5">
      <c r="A35" s="169" t="s">
        <v>38</v>
      </c>
      <c r="B35" s="37">
        <f>IF( ISERROR(IND_papier_ele_kWh/1000),0,IND_papier_ele_kWh/1000)</f>
        <v>4522.2439999999997</v>
      </c>
      <c r="C35" s="39">
        <f>IF(ISERROR(B35*3.6/1000000/'E Balans VL '!Z22*100),0,B35*3.6/1000000/'E Balans VL '!Z22*100)</f>
        <v>0.87952678397330231</v>
      </c>
      <c r="D35" s="234" t="s">
        <v>702</v>
      </c>
    </row>
    <row r="36" spans="1:5">
      <c r="A36" s="169" t="s">
        <v>33</v>
      </c>
      <c r="B36" s="37">
        <f>IF( ISERROR(IND_chemie_ele_kWh/1000),0,IND_chemie_ele_kWh/1000)</f>
        <v>69.284999999999997</v>
      </c>
      <c r="C36" s="39">
        <f>IF(ISERROR(B36*3.6/1000000/'E Balans VL '!Z24*100),0,B36*3.6/1000000/'E Balans VL '!Z24*100)</f>
        <v>1.6269984121077381E-3</v>
      </c>
      <c r="D36" s="234" t="s">
        <v>702</v>
      </c>
    </row>
    <row r="37" spans="1:5">
      <c r="A37" s="169" t="s">
        <v>259</v>
      </c>
      <c r="B37" s="37">
        <f>IF( ISERROR(IND_rest_ele_kWh/1000),0,IND_rest_ele_kWh/1000)</f>
        <v>665.89200000000005</v>
      </c>
      <c r="C37" s="39">
        <f>IF(ISERROR(B37*3.6/1000000/'E Balans VL '!Z15*100),0,B37*3.6/1000000/'E Balans VL '!Z15*100)</f>
        <v>4.9531516491363881E-3</v>
      </c>
      <c r="D37" s="234" t="s">
        <v>702</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3724.1689999999999</v>
      </c>
      <c r="C5" s="17">
        <f>'Eigen informatie GS &amp; warmtenet'!B60</f>
        <v>0</v>
      </c>
      <c r="D5" s="30">
        <f>IF(ISERROR(SUM(LB_lb_gas_kWh,LB_rest_gas_kWh)/1000),0,SUM(LB_lb_gas_kWh,LB_rest_gas_kWh)/1000)*0.902</f>
        <v>2521.7908540000003</v>
      </c>
      <c r="E5" s="17">
        <f>B17*'E Balans VL '!I25/3.6*1000000/100</f>
        <v>39.000304017709816</v>
      </c>
      <c r="F5" s="17">
        <f>B17*('E Balans VL '!L25/3.6*1000000+'E Balans VL '!N25/3.6*1000000)/100</f>
        <v>15942.273087455955</v>
      </c>
      <c r="G5" s="18"/>
      <c r="H5" s="17"/>
      <c r="I5" s="17"/>
      <c r="J5" s="17">
        <f>('E Balans VL '!D25+'E Balans VL '!E25)/3.6*1000000*landbouw!B17/100</f>
        <v>332.60167199620344</v>
      </c>
      <c r="K5" s="17"/>
      <c r="L5" s="17">
        <f>L6*(-1)</f>
        <v>0</v>
      </c>
      <c r="M5" s="17"/>
      <c r="N5" s="17">
        <f>N6*(-1)</f>
        <v>0</v>
      </c>
      <c r="O5" s="17"/>
      <c r="P5" s="17"/>
      <c r="R5" s="32"/>
    </row>
    <row r="6" spans="1:18">
      <c r="A6" s="16" t="s">
        <v>483</v>
      </c>
      <c r="B6" s="17" t="s">
        <v>204</v>
      </c>
      <c r="C6" s="17">
        <f>'lokale energieproductie'!O42+'lokale energieproductie'!O35</f>
        <v>0</v>
      </c>
      <c r="D6" s="304">
        <f>('lokale energieproductie'!P35+'lokale energieproductie'!P42)*(-1)</f>
        <v>0</v>
      </c>
      <c r="E6" s="245"/>
      <c r="F6" s="304">
        <f>('lokale energieproductie'!S35+'lokale energieproductie'!S42)*(-1)</f>
        <v>0</v>
      </c>
      <c r="G6" s="246"/>
      <c r="H6" s="245"/>
      <c r="I6" s="245"/>
      <c r="J6" s="245"/>
      <c r="K6" s="245"/>
      <c r="L6" s="304">
        <f>('lokale energieproductie'!T35+'lokale energieproductie'!U35+'lokale energieproductie'!T42+'lokale energieproductie'!U42)*(-1)</f>
        <v>0</v>
      </c>
      <c r="M6" s="245"/>
      <c r="N6" s="304">
        <f>('lokale energieproductie'!V35+'lokale energieproductie'!R35+'lokale energieproductie'!Q35+'lokale energieproductie'!Q42+'lokale energieproductie'!R42+'lokale energieproductie'!V42)*(-1)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3724.1689999999999</v>
      </c>
      <c r="C8" s="21">
        <f>C5+C6</f>
        <v>0</v>
      </c>
      <c r="D8" s="21">
        <f>MAX((D5+D6),0)</f>
        <v>2521.7908540000003</v>
      </c>
      <c r="E8" s="21">
        <f>MAX((E5+E6),0)</f>
        <v>39.000304017709816</v>
      </c>
      <c r="F8" s="21">
        <f>MAX((F5+F6),0)</f>
        <v>15942.273087455955</v>
      </c>
      <c r="G8" s="21"/>
      <c r="H8" s="21"/>
      <c r="I8" s="21"/>
      <c r="J8" s="21">
        <f>MAX((J5+J6),0)</f>
        <v>332.60167199620344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0.21092260366101284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785.51142195363047</v>
      </c>
      <c r="C12" s="23">
        <f ca="1">C8*C10</f>
        <v>0</v>
      </c>
      <c r="D12" s="23">
        <f>D8*D10</f>
        <v>509.40175250800007</v>
      </c>
      <c r="E12" s="23">
        <f>E8*E10</f>
        <v>8.8530690120201285</v>
      </c>
      <c r="F12" s="23">
        <f>F8*F10</f>
        <v>4256.5869143507398</v>
      </c>
      <c r="G12" s="23"/>
      <c r="H12" s="23"/>
      <c r="I12" s="23"/>
      <c r="J12" s="23">
        <f>J8*J10</f>
        <v>117.740991886656</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0.57322149884681284</v>
      </c>
      <c r="C17" s="234" t="s">
        <v>702</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188.39080594191822</v>
      </c>
      <c r="C26" s="244">
        <f>B26*'GWP N2O_CH4'!B5</f>
        <v>3956.2069247802824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65.309621271606488</v>
      </c>
      <c r="C27" s="244">
        <f>B27*'GWP N2O_CH4'!B5</f>
        <v>1371.5020467037361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5.9082065004335931</v>
      </c>
      <c r="C28" s="244">
        <f>B28*'GWP N2O_CH4'!B4</f>
        <v>1831.5440151344139</v>
      </c>
      <c r="D28" s="50"/>
    </row>
    <row r="29" spans="1:4">
      <c r="A29" s="41" t="s">
        <v>266</v>
      </c>
      <c r="B29" s="244">
        <f>B34*'ha_N2O bodem landbouw'!B4</f>
        <v>27.360066654424664</v>
      </c>
      <c r="C29" s="244">
        <f>B29*'GWP N2O_CH4'!B4</f>
        <v>8481.6206628716463</v>
      </c>
      <c r="D29" s="50"/>
    </row>
    <row r="31" spans="1:4">
      <c r="A31" s="191" t="s">
        <v>490</v>
      </c>
      <c r="B31" s="201"/>
      <c r="C31" s="223"/>
    </row>
    <row r="32" spans="1:4">
      <c r="A32" s="233"/>
      <c r="B32" s="32"/>
      <c r="C32" s="234"/>
    </row>
    <row r="33" spans="1:5">
      <c r="A33" s="235"/>
      <c r="B33" s="222" t="s">
        <v>621</v>
      </c>
      <c r="C33" s="236" t="s">
        <v>175</v>
      </c>
    </row>
    <row r="34" spans="1:5">
      <c r="A34" s="254" t="s">
        <v>105</v>
      </c>
      <c r="B34" s="35">
        <f>IF(ISERROR(aantalCultuurgronden/'ha_N2O bodem landbouw'!B5),0,aantalCultuurgronden/'ha_N2O bodem landbouw'!B5)</f>
        <v>4.5216103534617604E-3</v>
      </c>
      <c r="C34" s="255" t="s">
        <v>620</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2.5570652839146387E-5</v>
      </c>
      <c r="C5" s="433" t="s">
        <v>204</v>
      </c>
      <c r="D5" s="418">
        <f>SUM(D6:D11)</f>
        <v>8.5383726383124459E-5</v>
      </c>
      <c r="E5" s="418">
        <f>SUM(E6:E11)</f>
        <v>9.3741949109863026E-3</v>
      </c>
      <c r="F5" s="431" t="s">
        <v>204</v>
      </c>
      <c r="G5" s="418">
        <f>SUM(G6:G11)</f>
        <v>1.6478100238619491</v>
      </c>
      <c r="H5" s="418">
        <f>SUM(H6:H11)</f>
        <v>0.28613631341668616</v>
      </c>
      <c r="I5" s="433" t="s">
        <v>204</v>
      </c>
      <c r="J5" s="433" t="s">
        <v>204</v>
      </c>
      <c r="K5" s="433" t="s">
        <v>204</v>
      </c>
      <c r="L5" s="433" t="s">
        <v>204</v>
      </c>
      <c r="M5" s="418">
        <f>SUM(M6:M11)</f>
        <v>8.415574142168851E-2</v>
      </c>
      <c r="N5" s="433" t="s">
        <v>204</v>
      </c>
      <c r="O5" s="433" t="s">
        <v>204</v>
      </c>
      <c r="P5" s="434" t="s">
        <v>204</v>
      </c>
    </row>
    <row r="6" spans="1:18">
      <c r="A6" s="259" t="s">
        <v>755</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1.3086804726023768E-5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4.1435715598264725E-5</v>
      </c>
      <c r="E6" s="421">
        <f>vkm_GW_PW*SUMIFS(TableVerdeelsleutelVkm[LPG],TableVerdeelsleutelVkm[Voertuigtype],"Lichte voertuigen")*SUMIFS(TableECFTransport[EnergieConsumptieFactor (PJ per km)],TableECFTransport[Index],CONCATENATE($A6,"_LPG_LPG"))</f>
        <v>4.3179618749473302E-3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0.57515359817832468</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0.13797810629829119</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3.1127596239890226E-2</v>
      </c>
      <c r="N6" s="419"/>
      <c r="O6" s="419"/>
      <c r="P6" s="420"/>
    </row>
    <row r="7" spans="1:18">
      <c r="A7" s="259" t="s">
        <v>757</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4.8989875170945847E-7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0.22083516957369109</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5.9791080911727861E-6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9.5136709368519434E-3</v>
      </c>
      <c r="N7" s="419"/>
      <c r="O7" s="419"/>
      <c r="P7" s="420"/>
    </row>
    <row r="8" spans="1:18">
      <c r="A8" s="259" t="s">
        <v>758</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3.5702476677977047E-6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1.9211333285150681E-5</v>
      </c>
      <c r="E8" s="421">
        <f>vkm_NGW_PW*SUMIFS(TableVerdeelsleutelVkm[LPG],TableVerdeelsleutelVkm[Voertuigtype],"Lichte voertuigen")*SUMIFS(TableECFTransport[EnergieConsumptieFactor (PJ per km)],TableECFTransport[Index],CONCATENATE($A8,"_LPG_LPG"))</f>
        <v>1.8893123025615088E-3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0.23827238539320014</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6.0491193973971645E-2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1.3048690057500169E-2</v>
      </c>
      <c r="N8" s="419"/>
      <c r="O8" s="419"/>
      <c r="P8" s="420"/>
    </row>
    <row r="9" spans="1:18">
      <c r="A9" s="259" t="s">
        <v>759</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4.9564952868012271E-9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3.0948216050173832E-3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7.3016534326852956E-8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1.3332570573519468E-4</v>
      </c>
      <c r="N9" s="419"/>
      <c r="O9" s="419"/>
      <c r="P9" s="420"/>
    </row>
    <row r="10" spans="1:18">
      <c r="A10" s="259" t="s">
        <v>760</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7.9260337913839366E-6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2.4736677499709059E-5</v>
      </c>
      <c r="E10" s="421">
        <f>vkm_SW_PW*SUMIFS(TableVerdeelsleutelVkm[LPG],TableVerdeelsleutelVkm[Voertuigtype],"Lichte voertuigen")*SUMIFS(TableECFTransport[EnergieConsumptieFactor (PJ per km)],TableECFTransport[Index],CONCATENATE($A10,"_LPG_LPG"))</f>
        <v>3.1669207334774642E-3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0.39614312231993071</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8.7654771554559946E-2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2.1099836825173659E-2</v>
      </c>
      <c r="N10" s="419"/>
      <c r="O10" s="419"/>
      <c r="P10" s="420"/>
    </row>
    <row r="11" spans="1:18">
      <c r="A11" s="4" t="s">
        <v>761</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4.9271140694471844E-7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0.21431092679178518</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6.1894652379058549E-6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9.232621656537307E-3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7.1029591219851076</v>
      </c>
      <c r="C14" s="21"/>
      <c r="D14" s="21">
        <f t="shared" ref="D14:M14" si="0">((D5)*10^9/3600)+D12</f>
        <v>23.717701773090131</v>
      </c>
      <c r="E14" s="21">
        <f t="shared" si="0"/>
        <v>2603.9430308295287</v>
      </c>
      <c r="F14" s="21"/>
      <c r="G14" s="21">
        <f t="shared" si="0"/>
        <v>457725.00662831916</v>
      </c>
      <c r="H14" s="21">
        <f t="shared" si="0"/>
        <v>79482.309282412825</v>
      </c>
      <c r="I14" s="21"/>
      <c r="J14" s="21"/>
      <c r="K14" s="21"/>
      <c r="L14" s="21"/>
      <c r="M14" s="21">
        <f t="shared" si="0"/>
        <v>23376.59483935792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0.21092260366101284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1.4981746317068405</v>
      </c>
      <c r="C18" s="23"/>
      <c r="D18" s="23">
        <f t="shared" ref="D18:M18" si="1">D14*D16</f>
        <v>4.7909757581642065</v>
      </c>
      <c r="E18" s="23">
        <f t="shared" si="1"/>
        <v>591.09506799830308</v>
      </c>
      <c r="F18" s="23"/>
      <c r="G18" s="23">
        <f t="shared" si="1"/>
        <v>122212.57676976122</v>
      </c>
      <c r="H18" s="23">
        <f t="shared" si="1"/>
        <v>19791.095011320795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763</v>
      </c>
      <c r="D23" s="882" t="s">
        <v>764</v>
      </c>
      <c r="E23" s="882" t="s">
        <v>765</v>
      </c>
      <c r="F23" s="882" t="s">
        <v>712</v>
      </c>
      <c r="G23" s="882" t="s">
        <v>766</v>
      </c>
      <c r="H23" s="882" t="s">
        <v>767</v>
      </c>
      <c r="I23" s="882" t="s">
        <v>112</v>
      </c>
      <c r="J23" s="882" t="s">
        <v>768</v>
      </c>
      <c r="K23" s="882" t="s">
        <v>769</v>
      </c>
      <c r="L23" s="883" t="s">
        <v>770</v>
      </c>
      <c r="M23" s="129" t="s">
        <v>175</v>
      </c>
      <c r="N23" s="265" t="s">
        <v>305</v>
      </c>
    </row>
    <row r="24" spans="1:18" ht="17.45" customHeight="1">
      <c r="A24" s="32" t="s">
        <v>754</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950</v>
      </c>
      <c r="N24" s="267">
        <f>SUM(B24:L24)</f>
        <v>1</v>
      </c>
    </row>
    <row r="25" spans="1:18">
      <c r="A25" s="32" t="s">
        <v>756</v>
      </c>
      <c r="B25" s="1035"/>
      <c r="C25" s="1035">
        <v>0.99995353659663455</v>
      </c>
      <c r="D25" s="1035"/>
      <c r="E25" s="1035"/>
      <c r="F25" s="1035"/>
      <c r="G25" s="1035">
        <v>4.6585039730733677E-6</v>
      </c>
      <c r="H25" s="1035"/>
      <c r="I25" s="1035"/>
      <c r="J25" s="1035">
        <v>4.180489939244036E-5</v>
      </c>
      <c r="K25" s="1035"/>
      <c r="L25" s="1035"/>
      <c r="M25" s="1041" t="s">
        <v>950</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958</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3.1499298970632714E-4</v>
      </c>
      <c r="C50" s="315">
        <f t="shared" ref="C50:P50" si="2">SUM(C51:C52)</f>
        <v>0</v>
      </c>
      <c r="D50" s="315">
        <f t="shared" si="2"/>
        <v>0</v>
      </c>
      <c r="E50" s="315">
        <f t="shared" si="2"/>
        <v>0</v>
      </c>
      <c r="F50" s="315">
        <f t="shared" si="2"/>
        <v>0</v>
      </c>
      <c r="G50" s="315">
        <f t="shared" si="2"/>
        <v>6.833456663178844E-2</v>
      </c>
      <c r="H50" s="315">
        <f t="shared" si="2"/>
        <v>0</v>
      </c>
      <c r="I50" s="315">
        <f t="shared" si="2"/>
        <v>0</v>
      </c>
      <c r="J50" s="315">
        <f t="shared" si="2"/>
        <v>0</v>
      </c>
      <c r="K50" s="315">
        <f t="shared" si="2"/>
        <v>0</v>
      </c>
      <c r="L50" s="315">
        <f t="shared" si="2"/>
        <v>0</v>
      </c>
      <c r="M50" s="315">
        <f t="shared" si="2"/>
        <v>2.9258236530855459E-3</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3.1499298970632714E-4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6.833456663178844E-2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2.9258236530855459E-3</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87.498052696201981</v>
      </c>
      <c r="C54" s="21">
        <f t="shared" ref="C54:P54" si="3">(C50)*10^9/3600</f>
        <v>0</v>
      </c>
      <c r="D54" s="21">
        <f t="shared" si="3"/>
        <v>0</v>
      </c>
      <c r="E54" s="21">
        <f t="shared" si="3"/>
        <v>0</v>
      </c>
      <c r="F54" s="21">
        <f t="shared" si="3"/>
        <v>0</v>
      </c>
      <c r="G54" s="21">
        <f t="shared" si="3"/>
        <v>18981.824064385681</v>
      </c>
      <c r="H54" s="21">
        <f t="shared" si="3"/>
        <v>0</v>
      </c>
      <c r="I54" s="21">
        <f t="shared" si="3"/>
        <v>0</v>
      </c>
      <c r="J54" s="21">
        <f t="shared" si="3"/>
        <v>0</v>
      </c>
      <c r="K54" s="21">
        <f t="shared" si="3"/>
        <v>0</v>
      </c>
      <c r="L54" s="21">
        <f t="shared" si="3"/>
        <v>0</v>
      </c>
      <c r="M54" s="21">
        <f t="shared" si="3"/>
        <v>812.72879252376265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0.21092260366101284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18.455317089951425</v>
      </c>
      <c r="C58" s="23">
        <f t="shared" ref="C58:P58" ca="1" si="4">C54*C56</f>
        <v>0</v>
      </c>
      <c r="D58" s="23">
        <f t="shared" si="4"/>
        <v>0</v>
      </c>
      <c r="E58" s="23">
        <f t="shared" si="4"/>
        <v>0</v>
      </c>
      <c r="F58" s="23">
        <f t="shared" si="4"/>
        <v>0</v>
      </c>
      <c r="G58" s="23">
        <f t="shared" si="4"/>
        <v>5068.1470251909768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556</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937</v>
      </c>
      <c r="B65" s="1034">
        <v>0.02</v>
      </c>
      <c r="C65" s="172" t="s">
        <v>634</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557</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887</v>
      </c>
      <c r="N2" s="1240" t="s">
        <v>888</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6607.4746365291803</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11243.015909762253</v>
      </c>
      <c r="C6" s="1210"/>
      <c r="D6" s="1213"/>
      <c r="E6" s="1213"/>
      <c r="F6" s="1216"/>
      <c r="G6" s="1219"/>
      <c r="H6" s="1207"/>
      <c r="I6" s="1213"/>
      <c r="J6" s="1213"/>
      <c r="K6" s="1213"/>
      <c r="L6" s="1213"/>
      <c r="M6" s="1213"/>
      <c r="N6" s="961"/>
      <c r="O6" s="541"/>
      <c r="P6" s="1253"/>
      <c r="Q6" s="1254"/>
      <c r="S6" s="996"/>
      <c r="T6" s="1250"/>
      <c r="U6" s="1250"/>
    </row>
    <row r="7" spans="1:21" s="532" customFormat="1">
      <c r="A7" s="540" t="s">
        <v>886</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N32</f>
        <v>1104.9000000000001</v>
      </c>
      <c r="C8" s="544">
        <f>B51</f>
        <v>1299.8823529411768</v>
      </c>
      <c r="D8" s="963"/>
      <c r="E8" s="963">
        <f>E51</f>
        <v>0</v>
      </c>
      <c r="F8" s="964"/>
      <c r="G8" s="545"/>
      <c r="H8" s="963">
        <f>I51</f>
        <v>0</v>
      </c>
      <c r="I8" s="963">
        <f>G51+F51</f>
        <v>0</v>
      </c>
      <c r="J8" s="963">
        <f>H51+D51+C51</f>
        <v>0</v>
      </c>
      <c r="K8" s="963"/>
      <c r="L8" s="963"/>
      <c r="M8" s="963"/>
      <c r="N8" s="546"/>
      <c r="O8" s="547">
        <f>C8*$C$12+D8*$D$12+E8*$E$12+F8*$F$12+G8*$G$12+H8*$H$12+I8*$I$12+J8*$J$12</f>
        <v>262.57623529411774</v>
      </c>
      <c r="P8" s="1253"/>
      <c r="Q8" s="1254"/>
      <c r="S8" s="996"/>
      <c r="T8" s="1250"/>
      <c r="U8" s="1250"/>
    </row>
    <row r="9" spans="1:21" s="532" customFormat="1" ht="17.45" customHeight="1" thickBot="1">
      <c r="A9" s="548" t="s">
        <v>237</v>
      </c>
      <c r="B9" s="1000">
        <f>N39+'Eigen informatie GS &amp; warmtenet'!B12</f>
        <v>1237.5</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20192.890546291434</v>
      </c>
      <c r="C10" s="556">
        <f t="shared" ref="C10:L10" si="0">SUM(C8:C9)</f>
        <v>1299.8823529411768</v>
      </c>
      <c r="D10" s="556">
        <f t="shared" si="0"/>
        <v>0</v>
      </c>
      <c r="E10" s="556">
        <f t="shared" si="0"/>
        <v>0</v>
      </c>
      <c r="F10" s="556">
        <f t="shared" si="0"/>
        <v>0</v>
      </c>
      <c r="G10" s="556">
        <f t="shared" si="0"/>
        <v>0</v>
      </c>
      <c r="H10" s="556">
        <f t="shared" si="0"/>
        <v>0</v>
      </c>
      <c r="I10" s="556">
        <f t="shared" si="0"/>
        <v>0</v>
      </c>
      <c r="J10" s="556">
        <f t="shared" si="0"/>
        <v>3535.7142857142858</v>
      </c>
      <c r="K10" s="556">
        <f t="shared" si="0"/>
        <v>0</v>
      </c>
      <c r="L10" s="556">
        <f t="shared" si="0"/>
        <v>0</v>
      </c>
      <c r="M10" s="958"/>
      <c r="N10" s="958"/>
      <c r="O10" s="557">
        <f>SUM(O4:O9)</f>
        <v>262.57623529411774</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887</v>
      </c>
      <c r="N15" s="1240" t="s">
        <v>888</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O32</f>
        <v>1578.4285714285713</v>
      </c>
      <c r="C17" s="568">
        <f>B52</f>
        <v>1856.9747899159665</v>
      </c>
      <c r="D17" s="569"/>
      <c r="E17" s="569">
        <f>E52</f>
        <v>0</v>
      </c>
      <c r="F17" s="570"/>
      <c r="G17" s="571"/>
      <c r="H17" s="568">
        <f>I52</f>
        <v>0</v>
      </c>
      <c r="I17" s="569">
        <f>G52+F52</f>
        <v>0</v>
      </c>
      <c r="J17" s="569">
        <f>H52+D52+C52</f>
        <v>0</v>
      </c>
      <c r="K17" s="569"/>
      <c r="L17" s="569"/>
      <c r="M17" s="569"/>
      <c r="N17" s="959"/>
      <c r="O17" s="572">
        <f>C17*$C$22+E17*$E$22+H17*$H$22+I17*$I$22+J17*$J$22+D17*$D$22+F17*$F$22+G17*$G$22+K17*$K$22+L17*$L$22</f>
        <v>375.10890756302524</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1578.4285714285713</v>
      </c>
      <c r="C20" s="555">
        <f>SUM(C17:C19)</f>
        <v>1856.9747899159665</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375.10890756302524</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71022</v>
      </c>
      <c r="C28" s="775">
        <v>3500</v>
      </c>
      <c r="D28" s="628"/>
      <c r="E28" s="627"/>
      <c r="F28" s="627"/>
      <c r="G28" s="627" t="s">
        <v>977</v>
      </c>
      <c r="H28" s="627" t="s">
        <v>978</v>
      </c>
      <c r="I28" s="627"/>
      <c r="J28" s="774"/>
      <c r="K28" s="774"/>
      <c r="L28" s="627" t="s">
        <v>979</v>
      </c>
      <c r="M28" s="627">
        <v>4.7</v>
      </c>
      <c r="N28" s="627">
        <v>21.150000000000002</v>
      </c>
      <c r="O28" s="627">
        <v>30.214285714285719</v>
      </c>
      <c r="P28" s="627">
        <v>60.428571428571438</v>
      </c>
      <c r="Q28" s="627">
        <v>0</v>
      </c>
      <c r="R28" s="627">
        <v>0</v>
      </c>
      <c r="S28" s="627">
        <v>0</v>
      </c>
      <c r="T28" s="627">
        <v>0</v>
      </c>
      <c r="U28" s="627">
        <v>0</v>
      </c>
      <c r="V28" s="627">
        <v>0</v>
      </c>
      <c r="W28" s="627">
        <v>0</v>
      </c>
      <c r="X28" s="627">
        <v>1600</v>
      </c>
      <c r="Y28" s="627" t="s">
        <v>49</v>
      </c>
      <c r="Z28" s="629" t="s">
        <v>149</v>
      </c>
    </row>
    <row r="29" spans="1:26" s="581" customFormat="1" ht="25.5" hidden="1">
      <c r="A29" s="580"/>
      <c r="B29" s="775">
        <v>71022</v>
      </c>
      <c r="C29" s="775">
        <v>3511</v>
      </c>
      <c r="D29" s="628"/>
      <c r="E29" s="627"/>
      <c r="F29" s="627"/>
      <c r="G29" s="627" t="s">
        <v>977</v>
      </c>
      <c r="H29" s="627" t="s">
        <v>978</v>
      </c>
      <c r="I29" s="627"/>
      <c r="J29" s="774"/>
      <c r="K29" s="774"/>
      <c r="L29" s="627" t="s">
        <v>979</v>
      </c>
      <c r="M29" s="627">
        <v>50</v>
      </c>
      <c r="N29" s="627">
        <v>93.75</v>
      </c>
      <c r="O29" s="627">
        <v>133.92857142857144</v>
      </c>
      <c r="P29" s="627">
        <v>267.85714285714289</v>
      </c>
      <c r="Q29" s="627">
        <v>0</v>
      </c>
      <c r="R29" s="627">
        <v>0</v>
      </c>
      <c r="S29" s="627">
        <v>0</v>
      </c>
      <c r="T29" s="627">
        <v>0</v>
      </c>
      <c r="U29" s="627">
        <v>0</v>
      </c>
      <c r="V29" s="627">
        <v>0</v>
      </c>
      <c r="W29" s="627">
        <v>0</v>
      </c>
      <c r="X29" s="627">
        <v>800</v>
      </c>
      <c r="Y29" s="627" t="s">
        <v>35</v>
      </c>
      <c r="Z29" s="629" t="s">
        <v>378</v>
      </c>
    </row>
    <row r="30" spans="1:26" s="581" customFormat="1" ht="51" hidden="1">
      <c r="A30" s="580"/>
      <c r="B30" s="775">
        <v>71022</v>
      </c>
      <c r="C30" s="775">
        <v>3500</v>
      </c>
      <c r="D30" s="628"/>
      <c r="E30" s="627"/>
      <c r="F30" s="627"/>
      <c r="G30" s="627" t="s">
        <v>977</v>
      </c>
      <c r="H30" s="627" t="s">
        <v>978</v>
      </c>
      <c r="I30" s="627"/>
      <c r="J30" s="774"/>
      <c r="K30" s="774"/>
      <c r="L30" s="627" t="s">
        <v>979</v>
      </c>
      <c r="M30" s="627">
        <v>220</v>
      </c>
      <c r="N30" s="627">
        <v>0</v>
      </c>
      <c r="O30" s="627">
        <v>0</v>
      </c>
      <c r="P30" s="627">
        <v>0</v>
      </c>
      <c r="Q30" s="627">
        <v>0</v>
      </c>
      <c r="R30" s="627">
        <v>0</v>
      </c>
      <c r="S30" s="627">
        <v>0</v>
      </c>
      <c r="T30" s="627">
        <v>0</v>
      </c>
      <c r="U30" s="627">
        <v>0</v>
      </c>
      <c r="V30" s="627">
        <v>0</v>
      </c>
      <c r="W30" s="627">
        <v>0</v>
      </c>
      <c r="X30" s="627">
        <v>1500</v>
      </c>
      <c r="Y30" s="627" t="s">
        <v>50</v>
      </c>
      <c r="Z30" s="629" t="s">
        <v>149</v>
      </c>
    </row>
    <row r="31" spans="1:26" s="581" customFormat="1" ht="51" hidden="1">
      <c r="A31" s="580"/>
      <c r="B31" s="775">
        <v>71022</v>
      </c>
      <c r="C31" s="775">
        <v>3500</v>
      </c>
      <c r="D31" s="628"/>
      <c r="E31" s="627"/>
      <c r="F31" s="627"/>
      <c r="G31" s="627" t="s">
        <v>977</v>
      </c>
      <c r="H31" s="627" t="s">
        <v>978</v>
      </c>
      <c r="I31" s="627"/>
      <c r="J31" s="774"/>
      <c r="K31" s="774"/>
      <c r="L31" s="627" t="s">
        <v>979</v>
      </c>
      <c r="M31" s="627">
        <v>220</v>
      </c>
      <c r="N31" s="627">
        <v>990</v>
      </c>
      <c r="O31" s="627">
        <v>1414.2857142857142</v>
      </c>
      <c r="P31" s="627">
        <v>2828.5714285714289</v>
      </c>
      <c r="Q31" s="627">
        <v>0</v>
      </c>
      <c r="R31" s="627">
        <v>0</v>
      </c>
      <c r="S31" s="627">
        <v>0</v>
      </c>
      <c r="T31" s="627">
        <v>0</v>
      </c>
      <c r="U31" s="627">
        <v>0</v>
      </c>
      <c r="V31" s="627">
        <v>0</v>
      </c>
      <c r="W31" s="627">
        <v>0</v>
      </c>
      <c r="X31" s="627">
        <v>1500</v>
      </c>
      <c r="Y31" s="627" t="s">
        <v>50</v>
      </c>
      <c r="Z31" s="629" t="s">
        <v>149</v>
      </c>
    </row>
    <row r="32" spans="1:26" s="563" customFormat="1" hidden="1">
      <c r="A32" s="583" t="s">
        <v>269</v>
      </c>
      <c r="B32" s="584"/>
      <c r="C32" s="584"/>
      <c r="D32" s="584"/>
      <c r="E32" s="584"/>
      <c r="F32" s="584"/>
      <c r="G32" s="584"/>
      <c r="H32" s="584"/>
      <c r="I32" s="584"/>
      <c r="J32" s="584"/>
      <c r="K32" s="584"/>
      <c r="L32" s="585"/>
      <c r="M32" s="585">
        <f>SUM(M28:M31)</f>
        <v>494.7</v>
      </c>
      <c r="N32" s="585">
        <f>SUM(N28:N31)</f>
        <v>1104.9000000000001</v>
      </c>
      <c r="O32" s="585">
        <f>SUM(O28:O31)</f>
        <v>1578.4285714285713</v>
      </c>
      <c r="P32" s="585">
        <f>SUM(P28:P31)</f>
        <v>3156.8571428571431</v>
      </c>
      <c r="Q32" s="585">
        <f>SUM(Q28:Q31)</f>
        <v>0</v>
      </c>
      <c r="R32" s="585">
        <f>SUM(R28:R31)</f>
        <v>0</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50</v>
      </c>
      <c r="N33" s="585">
        <f>SUMIF($Z$28:$Z$31,"industrie",N28:N31)</f>
        <v>93.75</v>
      </c>
      <c r="O33" s="585">
        <f>SUMIF($Z$28:$Z$31,"industrie",O28:O31)</f>
        <v>133.92857142857144</v>
      </c>
      <c r="P33" s="585">
        <f>SUMIF($Z$28:$Z$31,"industrie",P28:P31)</f>
        <v>267.85714285714289</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444.7</v>
      </c>
      <c r="N34" s="585">
        <f ca="1">SUMIF($Z$28:AD31,"tertiair",N28:N31)</f>
        <v>1011.15</v>
      </c>
      <c r="O34" s="585">
        <f ca="1">SUMIF($Z$28:AE31,"tertiair",O28:O31)</f>
        <v>1444.5</v>
      </c>
      <c r="P34" s="585">
        <f ca="1">SUMIF($Z$28:AF31,"tertiair",P28:P31)</f>
        <v>2889.0000000000005</v>
      </c>
      <c r="Q34" s="585">
        <f ca="1">SUMIF($Z$28:AG31,"tertiair",Q28:Q31)</f>
        <v>0</v>
      </c>
      <c r="R34" s="585">
        <f ca="1">SUMIF($Z$28:AH31,"tertiair",R28:R31)</f>
        <v>0</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0</v>
      </c>
      <c r="N35" s="590">
        <f>SUMIF($Z$28:$Z$31,"landbouw",N28:N31)</f>
        <v>0</v>
      </c>
      <c r="O35" s="590">
        <f>SUMIF($Z$28:$Z$31,"landbouw",O28:O31)</f>
        <v>0</v>
      </c>
      <c r="P35" s="590">
        <f>SUMIF($Z$28:$Z$31,"landbouw",P28:P31)</f>
        <v>0</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529</v>
      </c>
      <c r="Q37" s="625" t="s">
        <v>96</v>
      </c>
      <c r="R37" s="625" t="s">
        <v>97</v>
      </c>
      <c r="S37" s="625" t="s">
        <v>98</v>
      </c>
      <c r="T37" s="625" t="s">
        <v>99</v>
      </c>
      <c r="U37" s="625" t="s">
        <v>100</v>
      </c>
      <c r="V37" s="625" t="s">
        <v>101</v>
      </c>
      <c r="W37" s="624" t="s">
        <v>102</v>
      </c>
      <c r="X37" s="624" t="s">
        <v>288</v>
      </c>
      <c r="Y37" s="624" t="s">
        <v>103</v>
      </c>
      <c r="Z37" s="626" t="s">
        <v>289</v>
      </c>
    </row>
    <row r="38" spans="1:27" s="596" customFormat="1" ht="63.75" hidden="1">
      <c r="A38" s="582"/>
      <c r="B38" s="775">
        <v>71022</v>
      </c>
      <c r="C38" s="775">
        <v>3511</v>
      </c>
      <c r="D38" s="630"/>
      <c r="E38" s="630"/>
      <c r="F38" s="630"/>
      <c r="G38" s="630" t="s">
        <v>980</v>
      </c>
      <c r="H38" s="630" t="s">
        <v>981</v>
      </c>
      <c r="I38" s="630"/>
      <c r="J38" s="774"/>
      <c r="K38" s="774"/>
      <c r="L38" s="630" t="s">
        <v>979</v>
      </c>
      <c r="M38" s="630">
        <v>275</v>
      </c>
      <c r="N38" s="630">
        <v>1237.5</v>
      </c>
      <c r="O38" s="630">
        <v>0</v>
      </c>
      <c r="P38" s="630">
        <v>0</v>
      </c>
      <c r="Q38" s="630">
        <v>3535.7142857142858</v>
      </c>
      <c r="R38" s="630">
        <v>0</v>
      </c>
      <c r="S38" s="630">
        <v>0</v>
      </c>
      <c r="T38" s="630">
        <v>0</v>
      </c>
      <c r="U38" s="630">
        <v>0</v>
      </c>
      <c r="V38" s="630">
        <v>0</v>
      </c>
      <c r="W38" s="630">
        <v>0</v>
      </c>
      <c r="X38" s="630">
        <v>1600</v>
      </c>
      <c r="Y38" s="630" t="s">
        <v>49</v>
      </c>
      <c r="Z38" s="631" t="s">
        <v>149</v>
      </c>
    </row>
    <row r="39" spans="1:27" s="563" customFormat="1" hidden="1">
      <c r="A39" s="583" t="s">
        <v>269</v>
      </c>
      <c r="B39" s="584"/>
      <c r="C39" s="584"/>
      <c r="D39" s="584"/>
      <c r="E39" s="584"/>
      <c r="F39" s="584"/>
      <c r="G39" s="584"/>
      <c r="H39" s="584"/>
      <c r="I39" s="584"/>
      <c r="J39" s="584"/>
      <c r="K39" s="584"/>
      <c r="L39" s="585"/>
      <c r="M39" s="585">
        <f>SUM(M38:M38)</f>
        <v>275</v>
      </c>
      <c r="N39" s="585">
        <f>SUM(N38:N38)</f>
        <v>1237.5</v>
      </c>
      <c r="O39" s="585">
        <f>SUM(O38:O38)</f>
        <v>0</v>
      </c>
      <c r="P39" s="585">
        <f>SUM(P38:P38)</f>
        <v>0</v>
      </c>
      <c r="Q39" s="585">
        <f>SUM(Q38:Q38)</f>
        <v>3535.7142857142858</v>
      </c>
      <c r="R39" s="585">
        <f>SUM(R38:R38)</f>
        <v>0</v>
      </c>
      <c r="S39" s="585">
        <f>SUM(S38:S38)</f>
        <v>0</v>
      </c>
      <c r="T39" s="585">
        <f>SUM(T38:T38)</f>
        <v>0</v>
      </c>
      <c r="U39" s="585">
        <f>SUM(U38:U38)</f>
        <v>0</v>
      </c>
      <c r="V39" s="585">
        <f>SUM(V38:V38)</f>
        <v>0</v>
      </c>
      <c r="W39" s="585">
        <f>SUM(W38:W38)</f>
        <v>0</v>
      </c>
      <c r="X39" s="586"/>
      <c r="Y39" s="586"/>
      <c r="Z39" s="587"/>
    </row>
    <row r="40" spans="1:27" s="563" customFormat="1">
      <c r="A40" s="583" t="s">
        <v>276</v>
      </c>
      <c r="B40" s="584"/>
      <c r="C40" s="584"/>
      <c r="D40" s="584"/>
      <c r="E40" s="584"/>
      <c r="F40" s="584"/>
      <c r="G40" s="584"/>
      <c r="H40" s="584"/>
      <c r="I40" s="584"/>
      <c r="J40" s="584"/>
      <c r="K40" s="584"/>
      <c r="L40" s="585"/>
      <c r="M40" s="585">
        <f>SUMIF($Z$38:$Z$38,"industrie",M38:M38)</f>
        <v>0</v>
      </c>
      <c r="N40" s="585">
        <f>SUMIF($Z$38:$Z$38,"industrie",N38:N38)</f>
        <v>0</v>
      </c>
      <c r="O40" s="585">
        <f>SUMIF($Z$38:$Z$38,"industrie",O38:O38)</f>
        <v>0</v>
      </c>
      <c r="P40" s="585">
        <f>SUMIF($Z$38:$Z$38,"industrie",P38:P38)</f>
        <v>0</v>
      </c>
      <c r="Q40" s="585">
        <f>SUMIF($Z$38:$Z$38,"industrie",Q38:Q38)</f>
        <v>0</v>
      </c>
      <c r="R40" s="585">
        <f>SUMIF($Z$38:$Z$38,"industrie",R38:R38)</f>
        <v>0</v>
      </c>
      <c r="S40" s="585">
        <f>SUMIF($Z$38:$Z$38,"industrie",S38:S38)</f>
        <v>0</v>
      </c>
      <c r="T40" s="585">
        <f>SUMIF($Z$38:$Z$38,"industrie",T38:T38)</f>
        <v>0</v>
      </c>
      <c r="U40" s="585">
        <f>SUMIF($Z$38:$Z$38,"industrie",U38:U38)</f>
        <v>0</v>
      </c>
      <c r="V40" s="585">
        <f>SUMIF($Z$38:$Z$38,"industrie",V38:V38)</f>
        <v>0</v>
      </c>
      <c r="W40" s="585">
        <f>SUMIF($Z$38:$Z$38,"industrie",W38:W38)</f>
        <v>0</v>
      </c>
      <c r="X40" s="586"/>
      <c r="Y40" s="586"/>
      <c r="Z40" s="587"/>
    </row>
    <row r="41" spans="1:27" s="563" customFormat="1">
      <c r="A41" s="583" t="s">
        <v>277</v>
      </c>
      <c r="B41" s="584"/>
      <c r="C41" s="584"/>
      <c r="D41" s="584"/>
      <c r="E41" s="584"/>
      <c r="F41" s="584"/>
      <c r="G41" s="584"/>
      <c r="H41" s="584"/>
      <c r="I41" s="584"/>
      <c r="J41" s="584"/>
      <c r="K41" s="584"/>
      <c r="L41" s="585"/>
      <c r="M41" s="585">
        <f>SUMIF($Z$38:$Z$39,"tertiair",M38:M39)</f>
        <v>275</v>
      </c>
      <c r="N41" s="585">
        <f>SUMIF($Z$38:$Z$39,"tertiair",N38:N39)</f>
        <v>1237.5</v>
      </c>
      <c r="O41" s="585">
        <f>SUMIF($Z$38:$Z$39,"tertiair",O38:O39)</f>
        <v>0</v>
      </c>
      <c r="P41" s="585">
        <f>SUMIF($Z$38:$Z$39,"tertiair",P38:P39)</f>
        <v>0</v>
      </c>
      <c r="Q41" s="585">
        <f>SUMIF($Z$38:$Z$39,"tertiair",Q38:Q39)</f>
        <v>3535.7142857142858</v>
      </c>
      <c r="R41" s="585">
        <f>SUMIF($Z$38:$Z$39,"tertiair",R38:R39)</f>
        <v>0</v>
      </c>
      <c r="S41" s="585">
        <f>SUMIF($Z$38:$Z$39,"tertiair",S38:S39)</f>
        <v>0</v>
      </c>
      <c r="T41" s="585">
        <f>SUMIF($Z$38:$Z$39,"tertiair",T38:T39)</f>
        <v>0</v>
      </c>
      <c r="U41" s="585">
        <f>SUMIF($Z$38:$Z$39,"tertiair",U38:U39)</f>
        <v>0</v>
      </c>
      <c r="V41" s="585">
        <f>SUMIF($Z$38:$Z$39,"tertiair",V38:V39)</f>
        <v>0</v>
      </c>
      <c r="W41" s="585">
        <f>SUMIF($Z$38:$Z$39,"tertiair",W38:W39)</f>
        <v>0</v>
      </c>
      <c r="X41" s="586"/>
      <c r="Y41" s="586"/>
      <c r="Z41" s="587"/>
    </row>
    <row r="42" spans="1:27" s="563" customFormat="1" ht="15.75" thickBot="1">
      <c r="A42" s="588" t="s">
        <v>278</v>
      </c>
      <c r="B42" s="589"/>
      <c r="C42" s="589"/>
      <c r="D42" s="589"/>
      <c r="E42" s="589"/>
      <c r="F42" s="589"/>
      <c r="G42" s="589"/>
      <c r="H42" s="589"/>
      <c r="I42" s="589"/>
      <c r="J42" s="589"/>
      <c r="K42" s="589"/>
      <c r="L42" s="590"/>
      <c r="M42" s="590">
        <f>SUMIF($Z$38:$Z$40,"landbouw",M38:M40)</f>
        <v>0</v>
      </c>
      <c r="N42" s="590">
        <f>SUMIF($Z$38:$Z$40,"landbouw",N38:N40)</f>
        <v>0</v>
      </c>
      <c r="O42" s="590">
        <f>SUMIF($Z$38:$Z$40,"landbouw",O38:O40)</f>
        <v>0</v>
      </c>
      <c r="P42" s="590">
        <f>SUMIF($Z$38:$Z$40,"landbouw",P38:P40)</f>
        <v>0</v>
      </c>
      <c r="Q42" s="590">
        <f>SUMIF($Z$38:$Z$40,"landbouw",Q38:Q40)</f>
        <v>0</v>
      </c>
      <c r="R42" s="590">
        <f>SUMIF($Z$38:$Z$40,"landbouw",R38:R40)</f>
        <v>0</v>
      </c>
      <c r="S42" s="590">
        <f>SUMIF($Z$38:$Z$40,"landbouw",S38:S40)</f>
        <v>0</v>
      </c>
      <c r="T42" s="590">
        <f>SUMIF($Z$38:$Z$40,"landbouw",T38:T40)</f>
        <v>0</v>
      </c>
      <c r="U42" s="590">
        <f>SUMIF($Z$38:$Z$40,"landbouw",U38:U40)</f>
        <v>0</v>
      </c>
      <c r="V42" s="590">
        <f>SUMIF($Z$38:$Z$40,"landbouw",V38:V40)</f>
        <v>0</v>
      </c>
      <c r="W42" s="590">
        <f>SUMIF($Z$38:$Z$40,"landbouw",W38:W40)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271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272</v>
      </c>
      <c r="C47" s="607" t="s">
        <v>273</v>
      </c>
      <c r="D47" s="607"/>
      <c r="E47" s="607"/>
      <c r="F47" s="607"/>
      <c r="G47" s="607"/>
      <c r="H47" s="607"/>
      <c r="I47" s="608"/>
      <c r="J47" s="607"/>
      <c r="K47" s="607"/>
      <c r="L47" s="607"/>
      <c r="M47" s="607"/>
      <c r="N47" s="607"/>
      <c r="O47" s="607"/>
      <c r="P47" s="602"/>
    </row>
    <row r="48" spans="1:27">
      <c r="A48" s="604" t="s">
        <v>269</v>
      </c>
      <c r="B48" s="609">
        <f>IF(ISERROR(O32/(O32+N32)),0,O32/(O32+N32))</f>
        <v>0.58823529411764708</v>
      </c>
      <c r="C48" s="610">
        <f>IF(ISERROR(N32/(O32+N32)),0,N32/(N32+O32))</f>
        <v>0.41176470588235303</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529</v>
      </c>
      <c r="C50" s="617" t="s">
        <v>96</v>
      </c>
      <c r="D50" s="617" t="s">
        <v>97</v>
      </c>
      <c r="E50" s="617" t="s">
        <v>98</v>
      </c>
      <c r="F50" s="617" t="s">
        <v>99</v>
      </c>
      <c r="G50" s="617" t="s">
        <v>100</v>
      </c>
      <c r="H50" s="617" t="s">
        <v>101</v>
      </c>
      <c r="I50" s="618" t="s">
        <v>102</v>
      </c>
      <c r="J50" s="607"/>
      <c r="K50" s="607"/>
      <c r="L50" s="615"/>
      <c r="M50" s="615"/>
      <c r="N50" s="615"/>
      <c r="O50" s="602"/>
      <c r="P50" s="602"/>
    </row>
    <row r="51" spans="1:16">
      <c r="A51" s="606" t="s">
        <v>274</v>
      </c>
      <c r="B51" s="619">
        <f t="shared" ref="B51:I51" si="2">$C$48*P32</f>
        <v>1299.8823529411768</v>
      </c>
      <c r="C51" s="619">
        <f t="shared" si="2"/>
        <v>0</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275</v>
      </c>
      <c r="B52" s="622">
        <f t="shared" ref="B52:I52" si="3">$B$48*P32</f>
        <v>1856.9747899159665</v>
      </c>
      <c r="C52" s="622">
        <f t="shared" si="3"/>
        <v>0</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1"/>
      <c r="K53" s="561"/>
      <c r="L53" s="561"/>
      <c r="M53" s="561"/>
      <c r="N53" s="561"/>
    </row>
    <row r="54" spans="1:16">
      <c r="J54" s="561"/>
      <c r="K54" s="561"/>
      <c r="L54" s="561"/>
      <c r="M54" s="561"/>
      <c r="N54"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924</v>
      </c>
      <c r="B2" s="1046" t="s">
        <v>947</v>
      </c>
      <c r="C2" s="1045" t="s">
        <v>730</v>
      </c>
      <c r="D2" s="1045" t="s">
        <v>797</v>
      </c>
      <c r="E2" s="885"/>
      <c r="F2" s="892" t="s">
        <v>800</v>
      </c>
      <c r="G2" s="892" t="s">
        <v>801</v>
      </c>
      <c r="H2" s="341" t="s">
        <v>802</v>
      </c>
    </row>
    <row r="3" spans="1:8" s="11" customFormat="1">
      <c r="A3" s="1045" t="s">
        <v>958</v>
      </c>
      <c r="B3" s="1046" t="s">
        <v>959</v>
      </c>
      <c r="C3" s="1045" t="s">
        <v>186</v>
      </c>
      <c r="D3" s="1047" t="s">
        <v>960</v>
      </c>
      <c r="E3" s="885"/>
      <c r="F3" s="886" t="s">
        <v>791</v>
      </c>
      <c r="G3" s="886" t="s">
        <v>792</v>
      </c>
      <c r="H3" s="886" t="s">
        <v>793</v>
      </c>
    </row>
    <row r="4" spans="1:8" s="11" customFormat="1">
      <c r="A4" s="342" t="s">
        <v>399</v>
      </c>
      <c r="B4" s="779">
        <v>2012</v>
      </c>
      <c r="C4" s="342" t="s">
        <v>399</v>
      </c>
      <c r="D4" s="342" t="s">
        <v>948</v>
      </c>
      <c r="E4" s="343"/>
      <c r="F4" s="889" t="s">
        <v>794</v>
      </c>
      <c r="G4" s="889" t="s">
        <v>795</v>
      </c>
      <c r="H4" s="889" t="s">
        <v>796</v>
      </c>
    </row>
    <row r="5" spans="1:8">
      <c r="A5" s="337" t="s">
        <v>392</v>
      </c>
      <c r="B5" s="338" t="s">
        <v>393</v>
      </c>
      <c r="C5" s="337" t="s">
        <v>392</v>
      </c>
      <c r="D5" s="337" t="s">
        <v>703</v>
      </c>
      <c r="E5" s="339"/>
      <c r="F5" s="340" t="s">
        <v>394</v>
      </c>
      <c r="G5" s="340" t="s">
        <v>395</v>
      </c>
      <c r="H5" s="341" t="s">
        <v>396</v>
      </c>
    </row>
    <row r="6" spans="1:8">
      <c r="A6" s="337" t="s">
        <v>397</v>
      </c>
      <c r="B6" s="338" t="s">
        <v>393</v>
      </c>
      <c r="C6" s="337" t="s">
        <v>397</v>
      </c>
      <c r="D6" s="337" t="s">
        <v>704</v>
      </c>
      <c r="E6" s="339"/>
      <c r="F6" s="340" t="s">
        <v>779</v>
      </c>
      <c r="G6" s="340" t="s">
        <v>787</v>
      </c>
      <c r="H6" s="341" t="s">
        <v>788</v>
      </c>
    </row>
    <row r="7" spans="1:8">
      <c r="A7" s="342" t="s">
        <v>424</v>
      </c>
      <c r="B7" s="345" t="s">
        <v>425</v>
      </c>
      <c r="C7" s="342" t="s">
        <v>427</v>
      </c>
      <c r="D7" s="342" t="s">
        <v>423</v>
      </c>
      <c r="E7" s="339" t="s">
        <v>426</v>
      </c>
      <c r="F7" s="340"/>
      <c r="G7" s="340"/>
      <c r="H7" s="341"/>
    </row>
    <row r="8" spans="1:8">
      <c r="A8" s="884" t="s">
        <v>803</v>
      </c>
      <c r="B8" s="890">
        <v>2012</v>
      </c>
      <c r="C8" s="884" t="s">
        <v>399</v>
      </c>
      <c r="D8" s="884" t="s">
        <v>949</v>
      </c>
      <c r="E8" s="891" t="s">
        <v>804</v>
      </c>
      <c r="F8" s="892"/>
      <c r="G8" s="892"/>
      <c r="H8" s="341"/>
    </row>
    <row r="9" spans="1:8">
      <c r="A9" s="884" t="s">
        <v>816</v>
      </c>
      <c r="B9" s="890" t="s">
        <v>817</v>
      </c>
      <c r="C9" s="884" t="s">
        <v>820</v>
      </c>
      <c r="D9" s="884" t="s">
        <v>819</v>
      </c>
      <c r="E9" s="891" t="s">
        <v>815</v>
      </c>
      <c r="F9" s="892"/>
      <c r="G9" s="892"/>
      <c r="H9" s="341"/>
    </row>
    <row r="10" spans="1:8">
      <c r="A10" s="342" t="s">
        <v>624</v>
      </c>
      <c r="B10" s="338" t="s">
        <v>625</v>
      </c>
      <c r="C10" s="342" t="s">
        <v>626</v>
      </c>
      <c r="D10" s="342" t="s">
        <v>627</v>
      </c>
      <c r="E10" s="339"/>
      <c r="F10" s="340" t="s">
        <v>780</v>
      </c>
      <c r="G10" s="340" t="s">
        <v>789</v>
      </c>
      <c r="H10" s="341" t="s">
        <v>790</v>
      </c>
    </row>
    <row r="11" spans="1:8">
      <c r="A11" s="337" t="s">
        <v>776</v>
      </c>
      <c r="B11" s="338" t="s">
        <v>777</v>
      </c>
      <c r="C11" s="337" t="s">
        <v>778</v>
      </c>
      <c r="D11" s="337" t="s">
        <v>951</v>
      </c>
      <c r="E11" s="673"/>
      <c r="F11" s="340" t="s">
        <v>784</v>
      </c>
      <c r="G11" s="340" t="s">
        <v>785</v>
      </c>
      <c r="H11" s="341" t="s">
        <v>786</v>
      </c>
    </row>
    <row r="12" spans="1:8">
      <c r="A12" s="884" t="s">
        <v>798</v>
      </c>
      <c r="B12" s="890">
        <v>2017</v>
      </c>
      <c r="C12" s="884" t="s">
        <v>417</v>
      </c>
      <c r="D12" s="884" t="s">
        <v>799</v>
      </c>
      <c r="E12" s="891"/>
      <c r="F12" s="892" t="s">
        <v>800</v>
      </c>
      <c r="G12" s="892" t="s">
        <v>801</v>
      </c>
      <c r="H12" s="341" t="s">
        <v>802</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836</v>
      </c>
      <c r="G15" s="340" t="s">
        <v>837</v>
      </c>
      <c r="H15" s="341" t="s">
        <v>838</v>
      </c>
    </row>
    <row r="16" spans="1:8">
      <c r="A16" s="337" t="s">
        <v>501</v>
      </c>
      <c r="B16" s="338" t="s">
        <v>369</v>
      </c>
      <c r="C16" s="337" t="s">
        <v>367</v>
      </c>
      <c r="D16" s="346" t="s">
        <v>368</v>
      </c>
      <c r="E16" s="339" t="s">
        <v>370</v>
      </c>
      <c r="F16" s="340" t="s">
        <v>781</v>
      </c>
      <c r="G16" s="340" t="s">
        <v>782</v>
      </c>
      <c r="H16" s="341" t="s">
        <v>783</v>
      </c>
    </row>
    <row r="17" spans="1:8">
      <c r="A17" s="337" t="s">
        <v>501</v>
      </c>
      <c r="B17" s="338" t="s">
        <v>824</v>
      </c>
      <c r="C17" s="337" t="s">
        <v>828</v>
      </c>
      <c r="D17" s="346" t="s">
        <v>829</v>
      </c>
      <c r="E17" s="339"/>
      <c r="F17" s="340" t="s">
        <v>781</v>
      </c>
      <c r="G17" s="340" t="s">
        <v>782</v>
      </c>
      <c r="H17" s="341" t="s">
        <v>783</v>
      </c>
    </row>
    <row r="18" spans="1:8">
      <c r="A18" s="342" t="s">
        <v>500</v>
      </c>
      <c r="B18" s="345" t="s">
        <v>393</v>
      </c>
      <c r="C18" s="342" t="s">
        <v>417</v>
      </c>
      <c r="D18" s="342" t="s">
        <v>365</v>
      </c>
      <c r="E18" s="339"/>
      <c r="F18" s="340" t="s">
        <v>781</v>
      </c>
      <c r="G18" s="340" t="s">
        <v>782</v>
      </c>
      <c r="H18" s="341" t="s">
        <v>783</v>
      </c>
    </row>
    <row r="19" spans="1:8">
      <c r="A19" s="342" t="s">
        <v>186</v>
      </c>
      <c r="B19" s="779" t="s">
        <v>705</v>
      </c>
      <c r="C19" s="342" t="s">
        <v>418</v>
      </c>
      <c r="D19" s="342" t="s">
        <v>419</v>
      </c>
      <c r="E19" s="339"/>
      <c r="F19" s="340" t="s">
        <v>420</v>
      </c>
      <c r="G19" s="340" t="s">
        <v>421</v>
      </c>
      <c r="H19" s="341" t="s">
        <v>422</v>
      </c>
    </row>
    <row r="20" spans="1:8" s="11" customFormat="1">
      <c r="A20" s="1038" t="s">
        <v>944</v>
      </c>
      <c r="B20" s="1039" t="s">
        <v>945</v>
      </c>
      <c r="C20" s="1038" t="s">
        <v>186</v>
      </c>
      <c r="D20" s="1038" t="s">
        <v>946</v>
      </c>
      <c r="E20" s="885"/>
      <c r="F20" s="886" t="s">
        <v>791</v>
      </c>
      <c r="G20" s="886" t="s">
        <v>792</v>
      </c>
      <c r="H20" s="886" t="s">
        <v>793</v>
      </c>
    </row>
    <row r="21" spans="1:8">
      <c r="A21" s="342" t="s">
        <v>400</v>
      </c>
      <c r="B21" s="338" t="s">
        <v>824</v>
      </c>
      <c r="C21" s="342" t="s">
        <v>400</v>
      </c>
      <c r="D21" s="342" t="s">
        <v>825</v>
      </c>
      <c r="E21" s="339"/>
      <c r="F21" s="340" t="s">
        <v>839</v>
      </c>
      <c r="G21" s="340" t="s">
        <v>840</v>
      </c>
      <c r="H21" s="341" t="s">
        <v>841</v>
      </c>
    </row>
    <row r="22" spans="1:8">
      <c r="A22" s="884" t="s">
        <v>400</v>
      </c>
      <c r="B22" s="888" t="s">
        <v>826</v>
      </c>
      <c r="C22" s="884" t="s">
        <v>400</v>
      </c>
      <c r="D22" s="884" t="s">
        <v>827</v>
      </c>
      <c r="E22" s="885"/>
      <c r="F22" s="886" t="s">
        <v>842</v>
      </c>
      <c r="G22" s="886" t="s">
        <v>843</v>
      </c>
      <c r="H22" s="887" t="s">
        <v>844</v>
      </c>
    </row>
    <row r="23" spans="1:8">
      <c r="A23" s="342" t="s">
        <v>830</v>
      </c>
      <c r="B23" s="895" t="s">
        <v>835</v>
      </c>
      <c r="C23" s="342" t="s">
        <v>830</v>
      </c>
      <c r="D23" s="342" t="s">
        <v>831</v>
      </c>
      <c r="E23" s="339" t="s">
        <v>832</v>
      </c>
      <c r="F23" s="340" t="s">
        <v>845</v>
      </c>
      <c r="G23" s="340" t="s">
        <v>846</v>
      </c>
      <c r="H23" s="341" t="s">
        <v>847</v>
      </c>
    </row>
    <row r="24" spans="1:8">
      <c r="A24" s="337" t="s">
        <v>830</v>
      </c>
      <c r="B24" s="896" t="s">
        <v>835</v>
      </c>
      <c r="C24" s="337" t="s">
        <v>830</v>
      </c>
      <c r="D24" s="346" t="s">
        <v>833</v>
      </c>
      <c r="E24" s="339" t="s">
        <v>834</v>
      </c>
      <c r="F24" s="340" t="s">
        <v>845</v>
      </c>
      <c r="G24" s="340" t="s">
        <v>846</v>
      </c>
      <c r="H24" s="341" t="s">
        <v>847</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613</v>
      </c>
      <c r="B1" s="756" t="s">
        <v>614</v>
      </c>
      <c r="C1" s="756" t="s">
        <v>616</v>
      </c>
      <c r="D1" s="756" t="s">
        <v>615</v>
      </c>
    </row>
    <row r="2" spans="1:4">
      <c r="A2" t="s">
        <v>657</v>
      </c>
      <c r="B2" s="754">
        <v>41626</v>
      </c>
      <c r="C2" t="s">
        <v>658</v>
      </c>
      <c r="D2" s="755" t="s">
        <v>659</v>
      </c>
    </row>
    <row r="3" spans="1:4">
      <c r="A3" t="s">
        <v>660</v>
      </c>
      <c r="B3" s="754">
        <v>41646</v>
      </c>
      <c r="C3" t="s">
        <v>661</v>
      </c>
      <c r="D3" s="755" t="s">
        <v>662</v>
      </c>
    </row>
    <row r="4" spans="1:4">
      <c r="A4" t="s">
        <v>663</v>
      </c>
      <c r="B4" s="754">
        <v>41676</v>
      </c>
      <c r="C4" t="s">
        <v>664</v>
      </c>
      <c r="D4" s="755" t="s">
        <v>665</v>
      </c>
    </row>
    <row r="5" spans="1:4">
      <c r="A5" t="s">
        <v>663</v>
      </c>
      <c r="B5" s="754">
        <v>41676</v>
      </c>
      <c r="C5" t="s">
        <v>666</v>
      </c>
      <c r="D5" s="755" t="s">
        <v>667</v>
      </c>
    </row>
    <row r="6" spans="1:4" ht="17.25">
      <c r="A6" t="s">
        <v>663</v>
      </c>
      <c r="B6" s="754">
        <v>41676</v>
      </c>
      <c r="C6" t="s">
        <v>668</v>
      </c>
      <c r="D6" s="755" t="s">
        <v>669</v>
      </c>
    </row>
    <row r="7" spans="1:4">
      <c r="A7" t="s">
        <v>670</v>
      </c>
      <c r="B7" s="754">
        <v>41715</v>
      </c>
      <c r="C7" t="s">
        <v>671</v>
      </c>
      <c r="D7" s="769" t="s">
        <v>672</v>
      </c>
    </row>
    <row r="8" spans="1:4">
      <c r="A8" t="s">
        <v>670</v>
      </c>
      <c r="B8" s="754">
        <v>41715</v>
      </c>
      <c r="C8" t="s">
        <v>673</v>
      </c>
      <c r="D8" s="755" t="s">
        <v>674</v>
      </c>
    </row>
    <row r="9" spans="1:4">
      <c r="A9" t="s">
        <v>670</v>
      </c>
      <c r="B9" s="754">
        <v>41726</v>
      </c>
      <c r="C9" t="s">
        <v>675</v>
      </c>
      <c r="D9" s="769" t="s">
        <v>676</v>
      </c>
    </row>
    <row r="10" spans="1:4">
      <c r="A10" t="s">
        <v>677</v>
      </c>
      <c r="B10" s="754">
        <v>41759</v>
      </c>
      <c r="C10" t="s">
        <v>678</v>
      </c>
      <c r="D10" s="755" t="s">
        <v>679</v>
      </c>
    </row>
    <row r="11" spans="1:4">
      <c r="A11" t="s">
        <v>677</v>
      </c>
      <c r="B11" s="754">
        <v>41759</v>
      </c>
      <c r="C11" t="s">
        <v>680</v>
      </c>
      <c r="D11" s="755" t="s">
        <v>681</v>
      </c>
    </row>
    <row r="12" spans="1:4">
      <c r="A12" t="s">
        <v>682</v>
      </c>
      <c r="B12" s="754">
        <v>41772</v>
      </c>
      <c r="C12" t="s">
        <v>683</v>
      </c>
      <c r="D12" s="755" t="s">
        <v>684</v>
      </c>
    </row>
    <row r="13" spans="1:4">
      <c r="A13" t="s">
        <v>682</v>
      </c>
      <c r="B13" s="754">
        <v>41772</v>
      </c>
      <c r="C13" t="s">
        <v>685</v>
      </c>
      <c r="D13" s="755" t="s">
        <v>686</v>
      </c>
    </row>
    <row r="14" spans="1:4">
      <c r="A14" t="s">
        <v>682</v>
      </c>
      <c r="B14" s="754">
        <v>41772</v>
      </c>
      <c r="C14" t="s">
        <v>687</v>
      </c>
      <c r="D14" s="769" t="s">
        <v>688</v>
      </c>
    </row>
    <row r="15" spans="1:4">
      <c r="A15" t="s">
        <v>689</v>
      </c>
      <c r="B15" s="754">
        <v>41901</v>
      </c>
      <c r="C15" t="s">
        <v>632</v>
      </c>
      <c r="D15" s="769" t="s">
        <v>630</v>
      </c>
    </row>
    <row r="16" spans="1:4">
      <c r="A16" t="s">
        <v>689</v>
      </c>
      <c r="B16" s="754">
        <v>41901</v>
      </c>
      <c r="C16" t="s">
        <v>631</v>
      </c>
      <c r="D16" s="769" t="s">
        <v>633</v>
      </c>
    </row>
    <row r="17" spans="1:4">
      <c r="A17" t="s">
        <v>689</v>
      </c>
      <c r="B17" s="754">
        <v>41901</v>
      </c>
      <c r="C17" t="s">
        <v>637</v>
      </c>
      <c r="D17" s="755" t="s">
        <v>638</v>
      </c>
    </row>
    <row r="18" spans="1:4">
      <c r="A18" t="s">
        <v>689</v>
      </c>
      <c r="B18" s="754">
        <v>41901</v>
      </c>
      <c r="C18" t="s">
        <v>650</v>
      </c>
      <c r="D18" s="755" t="s">
        <v>649</v>
      </c>
    </row>
    <row r="19" spans="1:4">
      <c r="A19" t="s">
        <v>689</v>
      </c>
      <c r="B19" s="754">
        <v>41901</v>
      </c>
      <c r="C19" t="s">
        <v>650</v>
      </c>
      <c r="D19" s="755" t="s">
        <v>651</v>
      </c>
    </row>
    <row r="20" spans="1:4">
      <c r="A20" t="s">
        <v>689</v>
      </c>
      <c r="B20" s="754">
        <v>41901</v>
      </c>
      <c r="C20" t="s">
        <v>656</v>
      </c>
      <c r="D20" s="755" t="s">
        <v>655</v>
      </c>
    </row>
    <row r="21" spans="1:4">
      <c r="A21" t="s">
        <v>689</v>
      </c>
      <c r="B21" s="754">
        <v>41914</v>
      </c>
      <c r="C21" t="s">
        <v>713</v>
      </c>
      <c r="D21" s="769" t="s">
        <v>707</v>
      </c>
    </row>
    <row r="22" spans="1:4">
      <c r="A22" t="s">
        <v>689</v>
      </c>
      <c r="B22" s="754">
        <v>41914</v>
      </c>
      <c r="C22" t="s">
        <v>714</v>
      </c>
      <c r="D22" s="769" t="s">
        <v>708</v>
      </c>
    </row>
    <row r="23" spans="1:4">
      <c r="A23" t="s">
        <v>689</v>
      </c>
      <c r="B23" s="754">
        <v>41914</v>
      </c>
      <c r="C23" t="s">
        <v>715</v>
      </c>
      <c r="D23" s="769" t="s">
        <v>709</v>
      </c>
    </row>
    <row r="24" spans="1:4">
      <c r="A24" t="s">
        <v>689</v>
      </c>
      <c r="B24" s="754">
        <v>41914</v>
      </c>
      <c r="C24" t="s">
        <v>716</v>
      </c>
      <c r="D24" s="769" t="s">
        <v>710</v>
      </c>
    </row>
    <row r="25" spans="1:4">
      <c r="A25" t="s">
        <v>689</v>
      </c>
      <c r="B25" s="754">
        <v>41914</v>
      </c>
      <c r="C25" t="s">
        <v>728</v>
      </c>
      <c r="D25" s="769" t="s">
        <v>711</v>
      </c>
    </row>
    <row r="26" spans="1:4">
      <c r="A26" t="s">
        <v>689</v>
      </c>
      <c r="B26" s="754">
        <v>41914</v>
      </c>
      <c r="C26" t="s">
        <v>724</v>
      </c>
      <c r="D26" s="755" t="s">
        <v>727</v>
      </c>
    </row>
    <row r="27" spans="1:4">
      <c r="A27" t="s">
        <v>689</v>
      </c>
      <c r="B27" s="754">
        <v>41914</v>
      </c>
      <c r="C27" t="s">
        <v>718</v>
      </c>
      <c r="D27" s="769" t="s">
        <v>717</v>
      </c>
    </row>
    <row r="28" spans="1:4">
      <c r="A28" t="s">
        <v>689</v>
      </c>
      <c r="B28" s="754">
        <v>41914</v>
      </c>
      <c r="C28" t="s">
        <v>729</v>
      </c>
      <c r="D28" s="769" t="s">
        <v>719</v>
      </c>
    </row>
    <row r="29" spans="1:4">
      <c r="A29" t="s">
        <v>689</v>
      </c>
      <c r="B29" s="754">
        <v>41914</v>
      </c>
      <c r="C29" t="s">
        <v>722</v>
      </c>
      <c r="D29" s="769" t="s">
        <v>723</v>
      </c>
    </row>
    <row r="30" spans="1:4">
      <c r="A30" t="s">
        <v>689</v>
      </c>
      <c r="B30" s="754">
        <v>41914</v>
      </c>
      <c r="C30" t="s">
        <v>720</v>
      </c>
      <c r="D30" s="769" t="s">
        <v>721</v>
      </c>
    </row>
    <row r="31" spans="1:4">
      <c r="A31" t="s">
        <v>689</v>
      </c>
      <c r="B31" s="754">
        <v>41914</v>
      </c>
      <c r="C31" t="s">
        <v>725</v>
      </c>
      <c r="D31" s="755" t="s">
        <v>726</v>
      </c>
    </row>
    <row r="32" spans="1:4">
      <c r="A32" t="s">
        <v>689</v>
      </c>
      <c r="B32" s="754">
        <v>41925</v>
      </c>
      <c r="C32" t="s">
        <v>731</v>
      </c>
      <c r="D32" s="769" t="s">
        <v>732</v>
      </c>
    </row>
    <row r="33" spans="1:4">
      <c r="A33" t="s">
        <v>689</v>
      </c>
      <c r="B33" s="754">
        <v>41967</v>
      </c>
      <c r="C33" t="s">
        <v>734</v>
      </c>
      <c r="D33" s="755" t="s">
        <v>735</v>
      </c>
    </row>
    <row r="34" spans="1:4">
      <c r="A34" t="s">
        <v>736</v>
      </c>
      <c r="B34" s="754">
        <v>42275</v>
      </c>
      <c r="C34" t="s">
        <v>738</v>
      </c>
      <c r="D34" s="755" t="s">
        <v>743</v>
      </c>
    </row>
    <row r="35" spans="1:4">
      <c r="A35" t="s">
        <v>736</v>
      </c>
      <c r="B35" s="754">
        <v>42275</v>
      </c>
      <c r="C35" t="s">
        <v>739</v>
      </c>
      <c r="D35" s="755" t="s">
        <v>744</v>
      </c>
    </row>
    <row r="36" spans="1:4">
      <c r="A36" t="s">
        <v>736</v>
      </c>
      <c r="B36" s="754">
        <v>42283</v>
      </c>
      <c r="C36" t="s">
        <v>740</v>
      </c>
      <c r="D36" s="755" t="s">
        <v>741</v>
      </c>
    </row>
    <row r="37" spans="1:4">
      <c r="A37" t="s">
        <v>752</v>
      </c>
      <c r="B37" s="874">
        <v>42538</v>
      </c>
      <c r="C37" s="874" t="s">
        <v>745</v>
      </c>
      <c r="D37" s="874"/>
    </row>
    <row r="38" spans="1:4">
      <c r="A38" t="s">
        <v>752</v>
      </c>
      <c r="B38" s="874">
        <v>42538</v>
      </c>
      <c r="C38" s="874" t="s">
        <v>746</v>
      </c>
      <c r="D38" s="875" t="s">
        <v>747</v>
      </c>
    </row>
    <row r="39" spans="1:4">
      <c r="A39" t="s">
        <v>752</v>
      </c>
      <c r="B39" s="874">
        <v>42538</v>
      </c>
      <c r="C39" s="874" t="s">
        <v>748</v>
      </c>
      <c r="D39" s="876" t="s">
        <v>749</v>
      </c>
    </row>
    <row r="40" spans="1:4">
      <c r="A40" t="s">
        <v>752</v>
      </c>
      <c r="B40" s="874">
        <v>42538</v>
      </c>
      <c r="C40" s="874" t="s">
        <v>750</v>
      </c>
      <c r="D40" s="875" t="s">
        <v>751</v>
      </c>
    </row>
    <row r="41" spans="1:4">
      <c r="A41" t="s">
        <v>771</v>
      </c>
      <c r="B41" s="874">
        <v>42585</v>
      </c>
      <c r="C41" t="s">
        <v>737</v>
      </c>
      <c r="D41" s="755" t="s">
        <v>742</v>
      </c>
    </row>
    <row r="42" spans="1:4">
      <c r="A42" t="s">
        <v>773</v>
      </c>
      <c r="B42" s="874">
        <v>42877</v>
      </c>
      <c r="C42" s="874" t="s">
        <v>821</v>
      </c>
      <c r="D42" s="755" t="s">
        <v>726</v>
      </c>
    </row>
    <row r="43" spans="1:4">
      <c r="A43" t="s">
        <v>773</v>
      </c>
      <c r="B43" s="874">
        <v>42877</v>
      </c>
      <c r="C43" s="874" t="s">
        <v>822</v>
      </c>
      <c r="D43" s="769" t="s">
        <v>774</v>
      </c>
    </row>
    <row r="44" spans="1:4">
      <c r="A44" t="s">
        <v>773</v>
      </c>
      <c r="B44" s="874">
        <v>42877</v>
      </c>
      <c r="C44" s="874" t="s">
        <v>823</v>
      </c>
      <c r="D44" s="769" t="s">
        <v>775</v>
      </c>
    </row>
    <row r="45" spans="1:4">
      <c r="A45" t="s">
        <v>805</v>
      </c>
      <c r="B45" s="874">
        <v>43165</v>
      </c>
      <c r="C45" s="874" t="s">
        <v>806</v>
      </c>
      <c r="D45" s="769" t="s">
        <v>807</v>
      </c>
    </row>
    <row r="46" spans="1:4">
      <c r="A46" t="s">
        <v>805</v>
      </c>
      <c r="B46" s="874">
        <v>43165</v>
      </c>
      <c r="C46" s="874" t="s">
        <v>808</v>
      </c>
      <c r="D46" s="755" t="s">
        <v>809</v>
      </c>
    </row>
    <row r="47" spans="1:4">
      <c r="A47" t="s">
        <v>805</v>
      </c>
      <c r="B47" s="874">
        <v>43165</v>
      </c>
      <c r="C47" s="874" t="s">
        <v>810</v>
      </c>
      <c r="D47" s="755" t="s">
        <v>811</v>
      </c>
    </row>
    <row r="48" spans="1:4">
      <c r="A48" t="s">
        <v>805</v>
      </c>
      <c r="B48" s="874">
        <v>43165</v>
      </c>
      <c r="C48" s="874" t="s">
        <v>812</v>
      </c>
      <c r="D48" s="755" t="s">
        <v>813</v>
      </c>
    </row>
    <row r="49" spans="1:4">
      <c r="A49" t="s">
        <v>805</v>
      </c>
      <c r="B49" s="874">
        <v>43278</v>
      </c>
      <c r="C49" s="874" t="s">
        <v>848</v>
      </c>
      <c r="D49" s="769"/>
    </row>
    <row r="50" spans="1:4">
      <c r="A50" t="s">
        <v>883</v>
      </c>
      <c r="B50" s="874">
        <v>43424</v>
      </c>
      <c r="C50" s="874" t="s">
        <v>884</v>
      </c>
    </row>
    <row r="51" spans="1:4">
      <c r="A51" t="s">
        <v>896</v>
      </c>
      <c r="B51" s="874">
        <v>43573</v>
      </c>
      <c r="C51" s="874" t="s">
        <v>897</v>
      </c>
    </row>
    <row r="52" spans="1:4">
      <c r="A52" t="s">
        <v>920</v>
      </c>
      <c r="B52" s="874">
        <v>43678</v>
      </c>
      <c r="C52" s="874" t="s">
        <v>919</v>
      </c>
      <c r="D52" s="755" t="s">
        <v>735</v>
      </c>
    </row>
    <row r="53" spans="1:4">
      <c r="A53" t="s">
        <v>921</v>
      </c>
      <c r="B53" s="1033">
        <v>43930</v>
      </c>
      <c r="C53" s="1030" t="s">
        <v>923</v>
      </c>
      <c r="D53" s="1032" t="s">
        <v>676</v>
      </c>
    </row>
    <row r="54" spans="1:4">
      <c r="A54" t="s">
        <v>921</v>
      </c>
      <c r="B54" s="1033">
        <v>43930</v>
      </c>
      <c r="C54" s="1030" t="s">
        <v>922</v>
      </c>
      <c r="D54" s="1032" t="s">
        <v>676</v>
      </c>
    </row>
    <row r="55" spans="1:4">
      <c r="A55" s="1030" t="s">
        <v>921</v>
      </c>
      <c r="B55" s="1033">
        <v>43943</v>
      </c>
      <c r="C55" s="1030" t="s">
        <v>925</v>
      </c>
      <c r="D55" s="1031" t="s">
        <v>726</v>
      </c>
    </row>
    <row r="56" spans="1:4">
      <c r="A56" s="1030" t="s">
        <v>921</v>
      </c>
      <c r="B56" s="1033">
        <v>43943</v>
      </c>
      <c r="C56" s="1030" t="s">
        <v>926</v>
      </c>
      <c r="D56" s="1032" t="s">
        <v>774</v>
      </c>
    </row>
    <row r="57" spans="1:4">
      <c r="A57" s="1030" t="s">
        <v>921</v>
      </c>
      <c r="B57" s="1033">
        <v>43943</v>
      </c>
      <c r="C57" s="1030" t="s">
        <v>927</v>
      </c>
      <c r="D57" s="1032" t="s">
        <v>775</v>
      </c>
    </row>
    <row r="58" spans="1:4">
      <c r="A58" s="1030" t="s">
        <v>921</v>
      </c>
      <c r="B58" s="1033">
        <v>43943</v>
      </c>
      <c r="C58" s="1030" t="s">
        <v>928</v>
      </c>
      <c r="D58" s="1032" t="s">
        <v>929</v>
      </c>
    </row>
    <row r="59" spans="1:4">
      <c r="A59" t="s">
        <v>921</v>
      </c>
      <c r="B59" s="1033">
        <v>43951</v>
      </c>
      <c r="C59" t="s">
        <v>930</v>
      </c>
      <c r="D59" s="1032" t="s">
        <v>931</v>
      </c>
    </row>
    <row r="60" spans="1:4">
      <c r="A60" t="s">
        <v>933</v>
      </c>
      <c r="B60" s="1033">
        <v>44315</v>
      </c>
      <c r="C60" t="s">
        <v>934</v>
      </c>
      <c r="D60" s="1031" t="s">
        <v>742</v>
      </c>
    </row>
    <row r="61" spans="1:4">
      <c r="A61" s="1040" t="s">
        <v>933</v>
      </c>
      <c r="B61" s="1042">
        <v>44326</v>
      </c>
      <c r="C61" t="s">
        <v>952</v>
      </c>
      <c r="D61" s="1043" t="s">
        <v>956</v>
      </c>
    </row>
    <row r="62" spans="1:4">
      <c r="A62" s="1040" t="s">
        <v>933</v>
      </c>
      <c r="B62" s="1042">
        <v>44326</v>
      </c>
      <c r="C62" t="s">
        <v>953</v>
      </c>
      <c r="D62" s="1043" t="s">
        <v>957</v>
      </c>
    </row>
    <row r="63" spans="1:4">
      <c r="A63" s="1040" t="s">
        <v>933</v>
      </c>
      <c r="B63" s="1042">
        <v>44326</v>
      </c>
      <c r="C63" t="s">
        <v>954</v>
      </c>
      <c r="D63" s="1043" t="s">
        <v>774</v>
      </c>
    </row>
    <row r="64" spans="1:4">
      <c r="A64" s="1040" t="s">
        <v>933</v>
      </c>
      <c r="B64" s="1042">
        <v>44326</v>
      </c>
      <c r="C64" t="s">
        <v>955</v>
      </c>
      <c r="D64" s="1044" t="s">
        <v>726</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2021-11-11T13:49:56Z</dcterms:modified>
</cp:coreProperties>
</file>