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C4AEEDA0-B160-40CF-BA1F-4929EA45F4D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P25" i="48" s="1"/>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J15" i="16"/>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<sst xmlns="http://schemas.openxmlformats.org/spreadsheetml/2006/main" count="2569" uniqueCount="977">
  <si>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</si>
  <si>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</si>
  <si>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</si>
  <si>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</si>
  <si>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</si>
  <si>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</si>
  <si>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</si>
  <si>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</si>
  <si>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</si>
  <si>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</si>
  <si>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</si>
  <si>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</si>
  <si>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</si>
  <si>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</si>
  <si>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</si>
  <si>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</si>
  <si>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</si>
  <si>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</si>
  <si>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</si>
  <si>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</si>
  <si>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</si>
  <si>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</si>
  <si>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</si>
  <si>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</si>
  <si>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</si>
  <si>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</si>
  <si>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</si>
  <si>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</si>
  <si>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</si>
  <si>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</si>
  <si>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</si>
  <si>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</si>
  <si>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</si>
  <si>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</si>
  <si>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</si>
  <si>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</si>
  <si>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</si>
  <si>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</si>
  <si>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</si>
  <si>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</si>
  <si>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</si>
  <si>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</si>
  <si>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</si>
  <si>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</si>
  <si>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</si>
  <si>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</si>
  <si>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</si>
  <si>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</si>
  <si>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</si>
  <si>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</si>
  <si>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</si>
  <si>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</si>
  <si>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</si>
  <si>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</si>
  <si>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</si>
  <si>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</si>
  <si>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</si>
  <si>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</si>
  <si>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</si>
  <si>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</si>
  <si>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</si>
  <si>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</si>
  <si>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</si>
  <si>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</si>
  <si>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</si>
  <si>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</si>
  <si>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</si>
  <si>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</si>
  <si>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</si>
  <si>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</si>
  <si>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</si>
  <si>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</si>
  <si>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</si>
  <si>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</si>
  <si>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</si>
  <si>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</si>
  <si>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</si>
  <si>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</si>
  <si>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</si>
  <si>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</si>
  <si>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</si>
  <si>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</si>
  <si>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</si>
  <si>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</si>
  <si>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</si>
  <si>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</si>
  <si>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</si>
  <si>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</si>
  <si>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</si>
  <si>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</si>
  <si>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</si>
  <si>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</si>
  <si>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</si>
  <si>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</si>
  <si>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</si>
  <si>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</si>
  <si>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</si>
  <si>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</si>
  <si>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</si>
  <si>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</si>
  <si>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</si>
  <si>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</si>
  <si>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</si>
  <si>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</si>
  <si>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</si>
  <si>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</si>
  <si>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</si>
  <si>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</si>
  <si>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</si>
  <si>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</si>
  <si>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</si>
  <si>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</si>
  <si>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</si>
  <si>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</si>
  <si>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</si>
  <si>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</si>
  <si>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</si>
  <si>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</si>
  <si>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</si>
  <si>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</si>
  <si>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</si>
  <si>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</si>
  <si>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</si>
  <si>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</si>
  <si>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</si>
  <si>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</si>
  <si>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</si>
  <si>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</si>
  <si>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</si>
  <si>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</si>
  <si>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</si>
  <si>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</si>
  <si>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</si>
  <si>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</si>
  <si>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</si>
  <si>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</si>
  <si>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</si>
  <si>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</si>
  <si>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</si>
  <si>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</si>
  <si>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</si>
  <si>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</si>
  <si>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</si>
  <si>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</si>
  <si>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</si>
  <si>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</si>
  <si>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</si>
  <si>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</si>
  <si>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</si>
  <si>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</si>
  <si>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</si>
  <si>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</si>
  <si>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</si>
  <si>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</si>
  <si>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</si>
  <si>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</si>
  <si>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</si>
  <si>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</si>
  <si>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</si>
  <si>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</si>
  <si>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</si>
  <si>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</si>
  <si>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</si>
  <si>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</si>
  <si>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</si>
  <si>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</si>
  <si>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</si>
  <si>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</si>
  <si>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</si>
  <si>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</si>
  <si>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</si>
  <si>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</si>
  <si>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</si>
  <si>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</si>
  <si>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</si>
  <si>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</si>
  <si>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</si>
  <si>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</si>
  <si>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</si>
  <si>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</si>
  <si>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</si>
  <si>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</si>
  <si>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</si>
  <si>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</si>
  <si>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</si>
  <si>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</si>
  <si>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</si>
  <si>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</si>
  <si>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</si>
  <si>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</si>
  <si>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</si>
  <si>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</si>
  <si>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</si>
  <si>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</si>
  <si>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</si>
  <si>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</si>
  <si>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</si>
  <si>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</si>
  <si>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</si>
  <si>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</si>
  <si>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</si>
  <si>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</si>
  <si>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</si>
  <si>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</si>
  <si>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</si>
  <si>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</si>
  <si>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</si>
  <si>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</si>
  <si>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</si>
  <si>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</si>
  <si>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</si>
  <si>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</si>
  <si>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</si>
  <si>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</si>
  <si>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</si>
  <si>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</si>
  <si>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</si>
  <si>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</si>
  <si>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</si>
  <si>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</si>
  <si>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</si>
  <si>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</si>
  <si>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</si>
  <si>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</si>
  <si>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</si>
  <si>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</si>
  <si>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</si>
  <si>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</si>
  <si>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</si>
  <si>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</si>
  <si>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</si>
  <si>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</si>
  <si>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</si>
  <si>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</si>
  <si>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</si>
  <si>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</si>
  <si>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</si>
  <si>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</si>
  <si>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</si>
  <si>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</si>
  <si>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</si>
  <si>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</si>
  <si>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</si>
  <si>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</si>
  <si>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</si>
  <si>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</si>
  <si>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</si>
  <si>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</si>
  <si>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</si>
  <si>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</si>
  <si>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</si>
  <si>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</si>
  <si>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</si>
  <si>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</si>
  <si>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</si>
  <si>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</si>
  <si>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</si>
  <si>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</si>
  <si>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</si>
  <si>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</si>
  <si>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</si>
  <si>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</si>
  <si>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</si>
  <si>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</si>
  <si>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</si>
  <si>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</si>
  <si>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</si>
  <si>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</si>
  <si>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</si>
  <si>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</si>
  <si>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</si>
  <si>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</si>
  <si>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</si>
  <si>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</si>
  <si>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</si>
  <si>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</si>
  <si>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</si>
  <si>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</si>
  <si>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</si>
  <si>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</si>
  <si>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</si>
  <si>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</si>
  <si>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</si>
  <si>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</si>
  <si>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</si>
  <si>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</si>
  <si>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</si>
  <si>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</si>
  <si>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</si>
  <si>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</si>
  <si>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</si>
  <si>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</si>
  <si>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</si>
  <si>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</si>
  <si>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</si>
  <si>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</si>
  <si>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</si>
  <si>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</si>
  <si>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</si>
  <si>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</si>
  <si>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</si>
  <si>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</si>
  <si>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</si>
  <si>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</si>
  <si>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</si>
  <si>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</si>
  <si>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</si>
  <si>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</si>
  <si>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</si>
  <si>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</si>
  <si>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</si>
  <si>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</si>
  <si>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</si>
  <si>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</si>
  <si>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</si>
  <si>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</si>
  <si>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</si>
  <si>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</si>
  <si>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</si>
  <si>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</si>
  <si>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</si>
  <si>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</si>
  <si>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</si>
  <si>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</si>
  <si>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</si>
  <si>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</si>
  <si>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</si>
  <si>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</si>
  <si>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</si>
  <si>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</si>
  <si>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</si>
  <si>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</si>
  <si>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</si>
  <si>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</si>
  <si>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</si>
  <si>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</si>
  <si>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</si>
  <si>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</si>
  <si>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</si>
  <si>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</si>
  <si>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</si>
  <si>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</si>
  <si>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</si>
  <si>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</si>
  <si>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</si>
  <si>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</si>
  <si>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</si>
  <si>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</si>
  <si>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</si>
  <si>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</si>
  <si>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</si>
  <si>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</si>
  <si>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</si>
  <si>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</si>
  <si>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</si>
  <si>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</si>
  <si>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</si>
  <si>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</si>
  <si>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</si>
  <si>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</si>
  <si>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</si>
  <si>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</si>
  <si>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</si>
  <si>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</si>
  <si>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</si>
  <si>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</si>
  <si>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</si>
  <si>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</si>
  <si>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</si>
  <si>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</si>
  <si>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</si>
  <si>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</si>
  <si>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</si>
  <si>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</si>
  <si>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</si>
  <si>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</si>
  <si>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</si>
  <si>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</si>
  <si>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</si>
  <si>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</si>
  <si>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</si>
  <si>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</si>
  <si>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</si>
  <si>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</si>
  <si>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</si>
  <si>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</si>
  <si>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</si>
  <si>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</si>
  <si>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</si>
  <si>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</si>
  <si>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</si>
  <si>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</si>
  <si>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</si>
  <si>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</si>
  <si>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</si>
  <si>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</si>
  <si>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</si>
  <si>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</si>
  <si>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</si>
  <si>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</si>
  <si>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</si>
  <si>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</si>
  <si>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</si>
  <si>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</si>
  <si>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</si>
  <si>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</si>
  <si>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</si>
  <si>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</si>
  <si>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</si>
  <si>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</si>
  <si>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</si>
  <si>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</si>
  <si>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</si>
  <si>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</si>
  <si>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</si>
  <si>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</si>
  <si>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</si>
  <si>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</si>
  <si>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</si>
  <si>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</si>
  <si>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</si>
  <si>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</si>
  <si>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</si>
  <si>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</si>
  <si>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</si>
  <si>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</si>
  <si>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</si>
  <si>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</si>
  <si>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</si>
  <si>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</si>
  <si>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</si>
  <si>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</si>
  <si>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</si>
  <si>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</si>
  <si>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</si>
  <si>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</si>
  <si>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</si>
  <si>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</si>
  <si>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</si>
  <si>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</si>
  <si>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</si>
  <si>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</si>
  <si>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</si>
  <si>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</si>
  <si>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</si>
  <si>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</si>
  <si>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</si>
  <si>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</si>
  <si>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</si>
  <si>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</si>
  <si>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</si>
  <si>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</si>
  <si>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</si>
  <si>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</si>
  <si>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</si>
  <si>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</si>
  <si>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</si>
  <si>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</si>
  <si>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</si>
  <si>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</si>
  <si>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</si>
  <si>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</si>
  <si>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</si>
  <si>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</si>
  <si>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</si>
  <si>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</si>
  <si>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</si>
  <si>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</si>
  <si>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</si>
  <si>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</si>
  <si>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</si>
  <si>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</si>
  <si>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</si>
  <si>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</si>
  <si>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</si>
  <si>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</si>
  <si>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</si>
  <si>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</si>
  <si>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</si>
  <si>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</si>
  <si>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</si>
  <si>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</si>
  <si>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</si>
  <si>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</si>
  <si>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</si>
  <si>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</si>
  <si>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</si>
  <si>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</si>
  <si>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</si>
  <si>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</si>
  <si>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</si>
  <si>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</si>
  <si>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</si>
  <si>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</si>
  <si>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</si>
  <si>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</si>
  <si>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</si>
  <si>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</si>
  <si>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</si>
  <si>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</si>
  <si>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</si>
  <si>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</si>
  <si>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</si>
  <si>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</si>
  <si>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</si>
  <si>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</si>
  <si>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</si>
  <si>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</si>
  <si>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</si>
  <si>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</si>
  <si>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</si>
  <si>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</si>
  <si>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</si>
  <si>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</si>
  <si>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</si>
  <si>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</si>
  <si>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</si>
  <si>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</si>
  <si>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</si>
  <si>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</si>
  <si>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</si>
  <si>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</si>
  <si>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</si>
  <si>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</si>
  <si>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</si>
  <si>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</si>
  <si>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</si>
  <si>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</si>
  <si>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</si>
  <si>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</si>
  <si>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</si>
  <si>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</si>
  <si>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</si>
  <si>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</si>
  <si>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</si>
  <si>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</si>
  <si>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</si>
  <si>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</si>
  <si>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</si>
  <si>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</si>
  <si>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</si>
  <si>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</si>
  <si>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</si>
  <si>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</si>
  <si>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</si>
  <si>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</si>
  <si>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</si>
  <si>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</si>
  <si>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</si>
  <si>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</si>
  <si>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</si>
  <si>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</si>
  <si>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</si>
  <si>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</si>
  <si>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</si>
  <si>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</si>
  <si>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</si>
  <si>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</si>
  <si>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</si>
  <si>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</si>
  <si>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</si>
  <si>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</si>
  <si>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</si>
  <si>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</si>
  <si>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</si>
  <si>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</si>
  <si>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</si>
  <si>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</si>
  <si>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</si>
  <si>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</si>
  <si>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</si>
  <si>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</si>
  <si>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</si>
  <si>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</si>
  <si>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</si>
  <si>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</si>
  <si>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</si>
  <si>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</si>
  <si>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</si>
  <si>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</si>
  <si>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</si>
  <si>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</si>
  <si>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</si>
  <si>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</si>
  <si>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</si>
  <si>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</si>
  <si>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</si>
  <si>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</si>
  <si>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</si>
  <si>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</si>
  <si>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</si>
  <si>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</si>
  <si>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</si>
  <si>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</si>
  <si>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</si>
  <si>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</si>
  <si>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</si>
  <si>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</si>
  <si>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</si>
  <si>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</si>
  <si>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</si>
  <si>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</si>
  <si>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</si>
  <si>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</si>
  <si>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</si>
  <si>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</si>
  <si>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</si>
  <si>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</si>
  <si>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</si>
  <si>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</si>
  <si>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</si>
  <si>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</si>
  <si>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</si>
  <si>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</si>
  <si>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</si>
  <si>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</si>
  <si>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</si>
  <si>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</si>
  <si>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</si>
  <si>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</si>
  <si>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</si>
  <si>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</si>
  <si>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</si>
  <si>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</si>
  <si>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</si>
  <si>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</si>
  <si>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</si>
  <si>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</si>
  <si>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</si>
  <si>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</si>
  <si>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</si>
  <si>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</si>
  <si>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</si>
  <si>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</si>
  <si>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</si>
  <si>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</si>
  <si>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</si>
  <si>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</si>
  <si>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</si>
  <si>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</si>
  <si>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</si>
  <si>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</si>
  <si>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</si>
  <si>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</si>
  <si>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</si>
  <si>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</si>
  <si>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</si>
  <si>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</si>
  <si>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</si>
  <si>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</si>
  <si>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</si>
  <si>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</si>
  <si>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</si>
  <si>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</si>
  <si>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</si>
  <si>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</si>
  <si>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</si>
  <si>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</si>
  <si>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</si>
  <si>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</si>
  <si>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</si>
  <si>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</si>
  <si>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</si>
  <si>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</si>
  <si>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</si>
  <si>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</si>
  <si>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</si>
  <si>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</si>
  <si>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</si>
  <si>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</si>
  <si>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</si>
  <si>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</si>
  <si>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</si>
  <si>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</si>
  <si>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</si>
  <si>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</si>
  <si>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</si>
  <si>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</si>
  <si>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</si>
  <si>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</si>
  <si>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</si>
  <si>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</si>
  <si>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</si>
  <si>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</si>
  <si>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</si>
  <si>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</si>
  <si>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</si>
  <si>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</si>
  <si>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</si>
  <si>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</si>
  <si>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</si>
  <si>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</si>
  <si>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</si>
  <si>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</si>
  <si>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</si>
  <si>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</si>
  <si>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</si>
  <si>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</si>
  <si>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</si>
  <si>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</si>
  <si>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</si>
  <si>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</si>
  <si>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</si>
  <si>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</si>
  <si>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</si>
  <si>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</si>
  <si>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</si>
  <si>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</si>
  <si>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</si>
  <si>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</si>
  <si>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</si>
  <si>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</si>
  <si>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</si>
  <si>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</si>
  <si>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</si>
  <si>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</si>
  <si>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</si>
  <si>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</si>
  <si>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</si>
  <si>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</si>
  <si>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</si>
  <si>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</si>
  <si>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</si>
  <si>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</si>
  <si>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</si>
  <si>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</si>
  <si>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</si>
  <si>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</si>
  <si>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</si>
  <si>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</si>
  <si>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</si>
  <si>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</si>
  <si>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</si>
  <si>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</si>
  <si>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</si>
  <si>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</si>
  <si>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</si>
  <si>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</si>
  <si>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</si>
  <si>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</si>
  <si>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</si>
  <si>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</si>
  <si>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</si>
  <si>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</si>
  <si>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</si>
  <si>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</si>
  <si>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</si>
  <si>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</si>
  <si>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</si>
  <si>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</si>
  <si>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</si>
  <si>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</si>
  <si>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</si>
  <si>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</si>
  <si>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</si>
  <si>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</si>
  <si>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</si>
  <si>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</si>
  <si>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</si>
  <si>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</si>
  <si>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</si>
  <si>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</si>
  <si>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</si>
  <si>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</si>
  <si>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</si>
  <si>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</si>
  <si>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</si>
  <si>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</si>
  <si>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</si>
  <si>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</si>
  <si>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</si>
  <si>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</si>
  <si>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</si>
  <si>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</si>
  <si>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</si>
  <si>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</si>
  <si>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</si>
  <si>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</si>
  <si>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</si>
  <si>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</si>
  <si>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</si>
  <si>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</si>
  <si>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</si>
  <si>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</si>
  <si>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</si>
  <si>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</si>
  <si>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</si>
  <si>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</si>
  <si>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</si>
  <si>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</si>
  <si>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</si>
  <si>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</si>
  <si>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</si>
  <si>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</si>
  <si>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</si>
  <si>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</si>
  <si>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</si>
  <si>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</si>
  <si>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</si>
  <si>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</si>
  <si>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</si>
  <si>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</si>
  <si>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</si>
  <si>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</si>
  <si>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</si>
  <si>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</si>
  <si>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</si>
  <si>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</si>
  <si>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</si>
  <si>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</si>
  <si>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</si>
  <si>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</si>
  <si>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</si>
  <si>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</si>
  <si>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</si>
  <si>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</si>
  <si>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</si>
  <si>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</si>
  <si>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</si>
  <si>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</si>
  <si>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</si>
  <si>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</si>
  <si>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</si>
  <si>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</si>
  <si>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</si>
  <si>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</si>
  <si>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</si>
  <si>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</si>
  <si>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</si>
  <si>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</si>
  <si>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</si>
  <si>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</si>
  <si>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</si>
  <si>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</si>
  <si>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</si>
  <si>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</si>
  <si>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</si>
  <si>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</si>
  <si>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</si>
  <si>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</si>
  <si>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</si>
  <si>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</si>
  <si>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</si>
  <si>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</si>
  <si>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</si>
  <si>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</si>
  <si>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</si>
  <si>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</si>
  <si>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</si>
  <si>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</si>
  <si>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</si>
  <si>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</si>
  <si>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</si>
  <si>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</si>
  <si>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</si>
  <si>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</si>
  <si>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</si>
  <si>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</si>
  <si>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</si>
  <si>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</si>
  <si>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</si>
  <si>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</si>
  <si>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</si>
  <si>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</si>
  <si>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</si>
  <si>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</si>
  <si>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</si>
  <si>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</si>
  <si>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</si>
  <si>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</si>
  <si>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</si>
  <si>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</si>
  <si>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</si>
  <si>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</si>
  <si>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</si>
  <si>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</si>
  <si>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</si>
  <si>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</si>
  <si>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</si>
  <si>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</si>
  <si>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</si>
  <si>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</si>
  <si>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</si>
  <si>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</si>
  <si>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</si>
  <si>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</si>
  <si>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</si>
  <si>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</si>
  <si>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</si>
  <si>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</si>
  <si>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</si>
  <si>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</si>
  <si>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</si>
  <si>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</si>
  <si>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</si>
  <si>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</si>
  <si>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</si>
  <si>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</si>
  <si>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</si>
  <si>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</si>
  <si>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</si>
  <si>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</si>
  <si>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</si>
  <si>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</si>
  <si>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</si>
  <si>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</si>
  <si>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</si>
  <si>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</si>
  <si>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</si>
  <si>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</si>
  <si>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</si>
  <si>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</si>
  <si>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</si>
  <si>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</si>
  <si>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</si>
  <si>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</si>
  <si>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</si>
  <si>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</si>
  <si>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</si>
  <si>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</si>
  <si>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</si>
  <si>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</si>
  <si>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</si>
  <si>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</si>
  <si>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</si>
  <si>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</si>
  <si>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</si>
  <si>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</si>
  <si>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</si>
  <si>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</si>
  <si>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</si>
  <si>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</si>
  <si>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</si>
  <si>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</si>
  <si>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</si>
  <si>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</si>
  <si>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</si>
  <si>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</si>
  <si>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</si>
  <si>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</si>
  <si>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</si>
  <si>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</si>
  <si>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</si>
  <si>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</si>
  <si>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</si>
  <si>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</si>
  <si>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</si>
  <si>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</si>
  <si>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</si>
  <si>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</si>
  <si>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</si>
  <si>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</si>
  <si>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</si>
  <si>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</si>
  <si>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</si>
  <si>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</si>
  <si>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</si>
  <si>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</si>
  <si>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</si>
  <si>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</si>
  <si>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</si>
  <si>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</si>
  <si>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</si>
  <si>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</si>
  <si>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</si>
  <si>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</si>
  <si>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</si>
  <si>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</si>
  <si>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</si>
  <si>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</si>
  <si>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71020</t>
  </si>
  <si>
    <t>HALEN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</si>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</sst>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15817174-A202-4F0A-B85C-0CE32DF74E1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71020</v>
      </c>
      <c r="B6" s="384"/>
      <c r="C6" s="385"/>
    </row>
    <row r="7" spans="1:7" s="382" customFormat="1" ht="15.75" customHeight="1">
      <c r="A7" s="386" t="str">
        <f>txtMunicipality</f>
        <v>HALEN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13342.449000000001</v>
      </c>
      <c r="D10" s="674">
        <f ca="1">tertiair!C16</f>
        <v>0</v>
      </c>
      <c r="E10" s="674">
        <f ca="1">tertiair!D16</f>
        <v>5409.4915379999993</v>
      </c>
      <c r="F10" s="674">
        <f>tertiair!E16</f>
        <v>160.43923948935659</v>
      </c>
      <c r="G10" s="674">
        <f ca="1">tertiair!F16</f>
        <v>2272.9138797797364</v>
      </c>
      <c r="H10" s="674">
        <f>tertiair!G16</f>
        <v>0</v>
      </c>
      <c r="I10" s="674">
        <f>tertiair!H16</f>
        <v>0</v>
      </c>
      <c r="J10" s="674">
        <f>tertiair!I16</f>
        <v>0</v>
      </c>
      <c r="K10" s="674">
        <f>tertiair!J16</f>
        <v>0</v>
      </c>
      <c r="L10" s="674">
        <f>tertiair!K16</f>
        <v>0</v>
      </c>
      <c r="M10" s="674">
        <f ca="1">tertiair!L16</f>
        <v>0</v>
      </c>
      <c r="N10" s="674">
        <f>tertiair!M16</f>
        <v>0</v>
      </c>
      <c r="O10" s="674">
        <f ca="1">tertiair!N16</f>
        <v>556.54073985424895</v>
      </c>
      <c r="P10" s="674">
        <f>tertiair!O16</f>
        <v>0</v>
      </c>
      <c r="Q10" s="675">
        <f>tertiair!P16</f>
        <v>0</v>
      </c>
      <c r="R10" s="677">
        <f ca="1">SUM(C10:Q10)</f>
        <v>21741.834397123337</v>
      </c>
      <c r="S10" s="67"/>
    </row>
    <row r="11" spans="1:19" s="443" customFormat="1">
      <c r="A11" s="789" t="s">
        <v>214</v>
      </c>
      <c r="B11" s="794"/>
      <c r="C11" s="674">
        <f>huishoudens!B8</f>
        <v>18168.914641994066</v>
      </c>
      <c r="D11" s="674">
        <f>huishoudens!C8</f>
        <v>0</v>
      </c>
      <c r="E11" s="674">
        <f>huishoudens!D8</f>
        <v>20038.362959999999</v>
      </c>
      <c r="F11" s="674">
        <f>huishoudens!E8</f>
        <v>1214.6723086157135</v>
      </c>
      <c r="G11" s="674">
        <f>huishoudens!F8</f>
        <v>41462.105157042475</v>
      </c>
      <c r="H11" s="674">
        <f>huishoudens!G8</f>
        <v>0</v>
      </c>
      <c r="I11" s="674">
        <f>huishoudens!H8</f>
        <v>0</v>
      </c>
      <c r="J11" s="674">
        <f>huishoudens!I8</f>
        <v>0</v>
      </c>
      <c r="K11" s="674">
        <f>huishoudens!J8</f>
        <v>933.62148979281244</v>
      </c>
      <c r="L11" s="674">
        <f>huishoudens!K8</f>
        <v>0</v>
      </c>
      <c r="M11" s="674">
        <f>huishoudens!L8</f>
        <v>0</v>
      </c>
      <c r="N11" s="674">
        <f>huishoudens!M8</f>
        <v>0</v>
      </c>
      <c r="O11" s="674">
        <f>huishoudens!N8</f>
        <v>4862.9583316016251</v>
      </c>
      <c r="P11" s="674">
        <f>huishoudens!O8</f>
        <v>42.21</v>
      </c>
      <c r="Q11" s="675">
        <f>huishoudens!P8</f>
        <v>171.6</v>
      </c>
      <c r="R11" s="677">
        <f>SUM(C11:Q11)</f>
        <v>86894.444889046703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11096.544000000002</v>
      </c>
      <c r="D13" s="674">
        <f>industrie!C18</f>
        <v>0</v>
      </c>
      <c r="E13" s="674">
        <f>industrie!D18</f>
        <v>15790.688011999999</v>
      </c>
      <c r="F13" s="674">
        <f>industrie!E18</f>
        <v>170.82337346974609</v>
      </c>
      <c r="G13" s="674">
        <f>industrie!F18</f>
        <v>7378.5675917769704</v>
      </c>
      <c r="H13" s="674">
        <f>industrie!G18</f>
        <v>0</v>
      </c>
      <c r="I13" s="674">
        <f>industrie!H18</f>
        <v>0</v>
      </c>
      <c r="J13" s="674">
        <f>industrie!I18</f>
        <v>0</v>
      </c>
      <c r="K13" s="674">
        <f>industrie!J18</f>
        <v>17.18094719086513</v>
      </c>
      <c r="L13" s="674">
        <f>industrie!K18</f>
        <v>0</v>
      </c>
      <c r="M13" s="674">
        <f>industrie!L18</f>
        <v>0</v>
      </c>
      <c r="N13" s="674">
        <f>industrie!M18</f>
        <v>0</v>
      </c>
      <c r="O13" s="674">
        <f>industrie!N18</f>
        <v>695.38315398412897</v>
      </c>
      <c r="P13" s="674">
        <f>industrie!O18</f>
        <v>0</v>
      </c>
      <c r="Q13" s="675">
        <f>industrie!P18</f>
        <v>0</v>
      </c>
      <c r="R13" s="677">
        <f>SUM(C13:Q13)</f>
        <v>35149.18707842171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42607.907641994068</v>
      </c>
      <c r="D16" s="707">
        <f t="shared" ref="D16:R16" ca="1" si="0">SUM(D9:D15)</f>
        <v>0</v>
      </c>
      <c r="E16" s="707">
        <f t="shared" ca="1" si="0"/>
        <v>41238.542509999999</v>
      </c>
      <c r="F16" s="707">
        <f t="shared" si="0"/>
        <v>1545.9349215748161</v>
      </c>
      <c r="G16" s="707">
        <f t="shared" ca="1" si="0"/>
        <v>51113.58662859918</v>
      </c>
      <c r="H16" s="707">
        <f t="shared" si="0"/>
        <v>0</v>
      </c>
      <c r="I16" s="707">
        <f t="shared" si="0"/>
        <v>0</v>
      </c>
      <c r="J16" s="707">
        <f t="shared" si="0"/>
        <v>0</v>
      </c>
      <c r="K16" s="707">
        <f t="shared" si="0"/>
        <v>950.80243698367758</v>
      </c>
      <c r="L16" s="707">
        <f t="shared" si="0"/>
        <v>0</v>
      </c>
      <c r="M16" s="707">
        <f t="shared" ca="1" si="0"/>
        <v>0</v>
      </c>
      <c r="N16" s="707">
        <f t="shared" si="0"/>
        <v>0</v>
      </c>
      <c r="O16" s="707">
        <f t="shared" ca="1" si="0"/>
        <v>6114.8822254400038</v>
      </c>
      <c r="P16" s="707">
        <f t="shared" si="0"/>
        <v>42.21</v>
      </c>
      <c r="Q16" s="707">
        <f t="shared" si="0"/>
        <v>171.6</v>
      </c>
      <c r="R16" s="707">
        <f t="shared" ca="1" si="0"/>
        <v>143785.46636459176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6.6121969618074594</v>
      </c>
      <c r="D19" s="674">
        <f>transport!C54</f>
        <v>0</v>
      </c>
      <c r="E19" s="674">
        <f>transport!D54</f>
        <v>0</v>
      </c>
      <c r="F19" s="674">
        <f>transport!E54</f>
        <v>0</v>
      </c>
      <c r="G19" s="674">
        <f>transport!F54</f>
        <v>0</v>
      </c>
      <c r="H19" s="674">
        <f>transport!G54</f>
        <v>1434.4497453432214</v>
      </c>
      <c r="I19" s="674">
        <f>transport!H54</f>
        <v>0</v>
      </c>
      <c r="J19" s="674">
        <f>transport!I54</f>
        <v>0</v>
      </c>
      <c r="K19" s="674">
        <f>transport!J54</f>
        <v>0</v>
      </c>
      <c r="L19" s="674">
        <f>transport!K54</f>
        <v>0</v>
      </c>
      <c r="M19" s="674">
        <f>transport!L54</f>
        <v>0</v>
      </c>
      <c r="N19" s="674">
        <f>transport!M54</f>
        <v>61.417628016907109</v>
      </c>
      <c r="O19" s="674">
        <f>transport!N54</f>
        <v>0</v>
      </c>
      <c r="P19" s="674">
        <f>transport!O54</f>
        <v>0</v>
      </c>
      <c r="Q19" s="675">
        <f>transport!P54</f>
        <v>0</v>
      </c>
      <c r="R19" s="677">
        <f>SUM(C19:Q19)</f>
        <v>1502.4795703219361</v>
      </c>
      <c r="S19" s="67"/>
    </row>
    <row r="20" spans="1:19" s="443" customFormat="1">
      <c r="A20" s="789" t="s">
        <v>296</v>
      </c>
      <c r="B20" s="794"/>
      <c r="C20" s="674">
        <f>transport!B14</f>
        <v>1.4306288442244921</v>
      </c>
      <c r="D20" s="674">
        <f>transport!C14</f>
        <v>0</v>
      </c>
      <c r="E20" s="674">
        <f>transport!D14</f>
        <v>4.970376819174291</v>
      </c>
      <c r="F20" s="674">
        <f>transport!E14</f>
        <v>572.2148773864642</v>
      </c>
      <c r="G20" s="674">
        <f>transport!F14</f>
        <v>0</v>
      </c>
      <c r="H20" s="674">
        <f>transport!G14</f>
        <v>101478.82851826774</v>
      </c>
      <c r="I20" s="674">
        <f>transport!H14</f>
        <v>16824.770632490137</v>
      </c>
      <c r="J20" s="674">
        <f>transport!I14</f>
        <v>0</v>
      </c>
      <c r="K20" s="674">
        <f>transport!J14</f>
        <v>0</v>
      </c>
      <c r="L20" s="674">
        <f>transport!K14</f>
        <v>0</v>
      </c>
      <c r="M20" s="674">
        <f>transport!L14</f>
        <v>0</v>
      </c>
      <c r="N20" s="674">
        <f>transport!M14</f>
        <v>5145.9855038806318</v>
      </c>
      <c r="O20" s="674">
        <f>transport!N14</f>
        <v>0</v>
      </c>
      <c r="P20" s="674">
        <f>transport!O14</f>
        <v>0</v>
      </c>
      <c r="Q20" s="675">
        <f>transport!P14</f>
        <v>0</v>
      </c>
      <c r="R20" s="677">
        <f>SUM(C20:Q20)</f>
        <v>124028.20053768836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8.0428258060319511</v>
      </c>
      <c r="D22" s="792">
        <f t="shared" ref="D22:R22" si="1">SUM(D18:D21)</f>
        <v>0</v>
      </c>
      <c r="E22" s="792">
        <f t="shared" si="1"/>
        <v>4.970376819174291</v>
      </c>
      <c r="F22" s="792">
        <f t="shared" si="1"/>
        <v>572.2148773864642</v>
      </c>
      <c r="G22" s="792">
        <f t="shared" si="1"/>
        <v>0</v>
      </c>
      <c r="H22" s="792">
        <f t="shared" si="1"/>
        <v>102913.27826361096</v>
      </c>
      <c r="I22" s="792">
        <f t="shared" si="1"/>
        <v>16824.770632490137</v>
      </c>
      <c r="J22" s="792">
        <f t="shared" si="1"/>
        <v>0</v>
      </c>
      <c r="K22" s="792">
        <f t="shared" si="1"/>
        <v>0</v>
      </c>
      <c r="L22" s="792">
        <f t="shared" si="1"/>
        <v>0</v>
      </c>
      <c r="M22" s="792">
        <f t="shared" si="1"/>
        <v>0</v>
      </c>
      <c r="N22" s="792">
        <f t="shared" si="1"/>
        <v>5207.4031318975385</v>
      </c>
      <c r="O22" s="792">
        <f t="shared" si="1"/>
        <v>0</v>
      </c>
      <c r="P22" s="792">
        <f t="shared" si="1"/>
        <v>0</v>
      </c>
      <c r="Q22" s="792">
        <f t="shared" si="1"/>
        <v>0</v>
      </c>
      <c r="R22" s="792">
        <f t="shared" si="1"/>
        <v>125530.6801080103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1440.8689999999999</v>
      </c>
      <c r="D24" s="674">
        <f>+landbouw!C8</f>
        <v>0</v>
      </c>
      <c r="E24" s="674">
        <f>+landbouw!D8</f>
        <v>139.09471400000001</v>
      </c>
      <c r="F24" s="674">
        <f>+landbouw!E8</f>
        <v>15.089092103417849</v>
      </c>
      <c r="G24" s="674">
        <f>+landbouw!F8</f>
        <v>6168.0141479212089</v>
      </c>
      <c r="H24" s="674">
        <f>+landbouw!G8</f>
        <v>0</v>
      </c>
      <c r="I24" s="674">
        <f>+landbouw!H8</f>
        <v>0</v>
      </c>
      <c r="J24" s="674">
        <f>+landbouw!I8</f>
        <v>0</v>
      </c>
      <c r="K24" s="674">
        <f>+landbouw!J8</f>
        <v>128.68251642916792</v>
      </c>
      <c r="L24" s="674">
        <f>+landbouw!K8</f>
        <v>0</v>
      </c>
      <c r="M24" s="674">
        <f>+landbouw!L8</f>
        <v>0</v>
      </c>
      <c r="N24" s="674">
        <f>+landbouw!M8</f>
        <v>0</v>
      </c>
      <c r="O24" s="674">
        <f>+landbouw!N8</f>
        <v>0</v>
      </c>
      <c r="P24" s="674">
        <f>+landbouw!O8</f>
        <v>0</v>
      </c>
      <c r="Q24" s="675">
        <f>+landbouw!P8</f>
        <v>0</v>
      </c>
      <c r="R24" s="677">
        <f>SUM(C24:Q24)</f>
        <v>7891.7494704537949</v>
      </c>
      <c r="S24" s="67"/>
    </row>
    <row r="25" spans="1:19" s="443" customFormat="1" ht="15" thickBot="1">
      <c r="A25" s="811" t="s">
        <v>889</v>
      </c>
      <c r="B25" s="966"/>
      <c r="C25" s="967">
        <f>IF(Onbekend_ele_kWh="---",0,Onbekend_ele_kWh)/1000+IF(REST_rest_ele_kWh="---",0,REST_rest_ele_kWh)/1000</f>
        <v>2908.895</v>
      </c>
      <c r="D25" s="967"/>
      <c r="E25" s="967">
        <f>IF(onbekend_gas_kWh="---",0,onbekend_gas_kWh)/1000+IF(REST_rest_gas_kWh="---",0,REST_rest_gas_kWh)/1000</f>
        <v>478.51100000000002</v>
      </c>
      <c r="F25" s="967"/>
      <c r="G25" s="967"/>
      <c r="H25" s="967"/>
      <c r="I25" s="967"/>
      <c r="J25" s="967"/>
      <c r="K25" s="967"/>
      <c r="L25" s="967"/>
      <c r="M25" s="967"/>
      <c r="N25" s="967"/>
      <c r="O25" s="967"/>
      <c r="P25" s="967"/>
      <c r="Q25" s="968"/>
      <c r="R25" s="677">
        <f>SUM(C25:Q25)</f>
        <v>3387.4059999999999</v>
      </c>
      <c r="S25" s="67"/>
    </row>
    <row r="26" spans="1:19" s="443" customFormat="1" ht="15.75" thickBot="1">
      <c r="A26" s="680" t="s">
        <v>890</v>
      </c>
      <c r="B26" s="797"/>
      <c r="C26" s="792">
        <f>SUM(C24:C25)</f>
        <v>4349.7640000000001</v>
      </c>
      <c r="D26" s="792">
        <f t="shared" ref="D26:R26" si="2">SUM(D24:D25)</f>
        <v>0</v>
      </c>
      <c r="E26" s="792">
        <f t="shared" si="2"/>
        <v>617.60571400000003</v>
      </c>
      <c r="F26" s="792">
        <f t="shared" si="2"/>
        <v>15.089092103417849</v>
      </c>
      <c r="G26" s="792">
        <f t="shared" si="2"/>
        <v>6168.0141479212089</v>
      </c>
      <c r="H26" s="792">
        <f t="shared" si="2"/>
        <v>0</v>
      </c>
      <c r="I26" s="792">
        <f t="shared" si="2"/>
        <v>0</v>
      </c>
      <c r="J26" s="792">
        <f t="shared" si="2"/>
        <v>0</v>
      </c>
      <c r="K26" s="792">
        <f t="shared" si="2"/>
        <v>128.68251642916792</v>
      </c>
      <c r="L26" s="792">
        <f t="shared" si="2"/>
        <v>0</v>
      </c>
      <c r="M26" s="792">
        <f t="shared" si="2"/>
        <v>0</v>
      </c>
      <c r="N26" s="792">
        <f t="shared" si="2"/>
        <v>0</v>
      </c>
      <c r="O26" s="792">
        <f t="shared" si="2"/>
        <v>0</v>
      </c>
      <c r="P26" s="792">
        <f t="shared" si="2"/>
        <v>0</v>
      </c>
      <c r="Q26" s="792">
        <f t="shared" si="2"/>
        <v>0</v>
      </c>
      <c r="R26" s="792">
        <f t="shared" si="2"/>
        <v>11279.155470453796</v>
      </c>
      <c r="S26" s="67"/>
    </row>
    <row r="27" spans="1:19" s="443" customFormat="1" ht="17.25" thickTop="1" thickBot="1">
      <c r="A27" s="681" t="s">
        <v>109</v>
      </c>
      <c r="B27" s="784"/>
      <c r="C27" s="682">
        <f ca="1">C22+C16+C26</f>
        <v>46965.714467800106</v>
      </c>
      <c r="D27" s="682">
        <f t="shared" ref="D27:R27" ca="1" si="3">D22+D16+D26</f>
        <v>0</v>
      </c>
      <c r="E27" s="682">
        <f t="shared" ca="1" si="3"/>
        <v>41861.118600819173</v>
      </c>
      <c r="F27" s="682">
        <f t="shared" si="3"/>
        <v>2133.2388910646982</v>
      </c>
      <c r="G27" s="682">
        <f t="shared" ca="1" si="3"/>
        <v>57281.60077652039</v>
      </c>
      <c r="H27" s="682">
        <f t="shared" si="3"/>
        <v>102913.27826361096</v>
      </c>
      <c r="I27" s="682">
        <f t="shared" si="3"/>
        <v>16824.770632490137</v>
      </c>
      <c r="J27" s="682">
        <f t="shared" si="3"/>
        <v>0</v>
      </c>
      <c r="K27" s="682">
        <f t="shared" si="3"/>
        <v>1079.4849534128455</v>
      </c>
      <c r="L27" s="682">
        <f t="shared" si="3"/>
        <v>0</v>
      </c>
      <c r="M27" s="682">
        <f t="shared" ca="1" si="3"/>
        <v>0</v>
      </c>
      <c r="N27" s="682">
        <f t="shared" si="3"/>
        <v>5207.4031318975385</v>
      </c>
      <c r="O27" s="682">
        <f t="shared" ca="1" si="3"/>
        <v>6114.8822254400038</v>
      </c>
      <c r="P27" s="682">
        <f t="shared" si="3"/>
        <v>42.21</v>
      </c>
      <c r="Q27" s="682">
        <f t="shared" si="3"/>
        <v>171.6</v>
      </c>
      <c r="R27" s="682">
        <f t="shared" ca="1" si="3"/>
        <v>280595.30194305582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1877.3938865011244</v>
      </c>
      <c r="D40" s="674">
        <f ca="1">tertiair!C20</f>
        <v>0</v>
      </c>
      <c r="E40" s="674">
        <f ca="1">tertiair!D20</f>
        <v>1092.7172906759999</v>
      </c>
      <c r="F40" s="674">
        <f>tertiair!E20</f>
        <v>36.419707364083948</v>
      </c>
      <c r="G40" s="674">
        <f ca="1">tertiair!F20</f>
        <v>606.86800590118969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3613.3988904423977</v>
      </c>
    </row>
    <row r="41" spans="1:18">
      <c r="A41" s="802" t="s">
        <v>214</v>
      </c>
      <c r="B41" s="809"/>
      <c r="C41" s="674">
        <f ca="1">huishoudens!B12</f>
        <v>2556.5178681395314</v>
      </c>
      <c r="D41" s="674">
        <f ca="1">huishoudens!C12</f>
        <v>0</v>
      </c>
      <c r="E41" s="674">
        <f>huishoudens!D12</f>
        <v>4047.7493179200001</v>
      </c>
      <c r="F41" s="674">
        <f>huishoudens!E12</f>
        <v>275.73061405576698</v>
      </c>
      <c r="G41" s="674">
        <f>huishoudens!F12</f>
        <v>11070.382076930342</v>
      </c>
      <c r="H41" s="674">
        <f>huishoudens!G12</f>
        <v>0</v>
      </c>
      <c r="I41" s="674">
        <f>huishoudens!H12</f>
        <v>0</v>
      </c>
      <c r="J41" s="674">
        <f>huishoudens!I12</f>
        <v>0</v>
      </c>
      <c r="K41" s="674">
        <f>huishoudens!J12</f>
        <v>330.50200738665558</v>
      </c>
      <c r="L41" s="674">
        <f>huishoudens!K12</f>
        <v>0</v>
      </c>
      <c r="M41" s="674">
        <f>huishoudens!L12</f>
        <v>0</v>
      </c>
      <c r="N41" s="674">
        <f>huishoudens!M12</f>
        <v>0</v>
      </c>
      <c r="O41" s="674">
        <f>huishoudens!N12</f>
        <v>0</v>
      </c>
      <c r="P41" s="674">
        <f>huishoudens!O12</f>
        <v>0</v>
      </c>
      <c r="Q41" s="749">
        <f>huishoudens!P12</f>
        <v>0</v>
      </c>
      <c r="R41" s="830">
        <f t="shared" ca="1" si="4"/>
        <v>18280.881884432296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1561.3763160639201</v>
      </c>
      <c r="D43" s="674">
        <f ca="1">industrie!C22</f>
        <v>0</v>
      </c>
      <c r="E43" s="674">
        <f>industrie!D22</f>
        <v>3189.7189784239999</v>
      </c>
      <c r="F43" s="674">
        <f>industrie!E22</f>
        <v>38.776905777632365</v>
      </c>
      <c r="G43" s="674">
        <f>industrie!F22</f>
        <v>1970.0775470044512</v>
      </c>
      <c r="H43" s="674">
        <f>industrie!G22</f>
        <v>0</v>
      </c>
      <c r="I43" s="674">
        <f>industrie!H22</f>
        <v>0</v>
      </c>
      <c r="J43" s="674">
        <f>industrie!I22</f>
        <v>0</v>
      </c>
      <c r="K43" s="674">
        <f>industrie!J22</f>
        <v>6.0820553055662554</v>
      </c>
      <c r="L43" s="674">
        <f>industrie!K22</f>
        <v>0</v>
      </c>
      <c r="M43" s="674">
        <f>industrie!L22</f>
        <v>0</v>
      </c>
      <c r="N43" s="674">
        <f>industrie!M22</f>
        <v>0</v>
      </c>
      <c r="O43" s="674">
        <f>industrie!N22</f>
        <v>0</v>
      </c>
      <c r="P43" s="674">
        <f>industrie!O22</f>
        <v>0</v>
      </c>
      <c r="Q43" s="749">
        <f>industrie!P22</f>
        <v>0</v>
      </c>
      <c r="R43" s="829">
        <f t="shared" ca="1" si="4"/>
        <v>6766.0318025755696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5995.2880707045761</v>
      </c>
      <c r="D46" s="707">
        <f t="shared" ref="D46:Q46" ca="1" si="5">SUM(D39:D45)</f>
        <v>0</v>
      </c>
      <c r="E46" s="707">
        <f t="shared" ca="1" si="5"/>
        <v>8330.1855870199997</v>
      </c>
      <c r="F46" s="707">
        <f t="shared" si="5"/>
        <v>350.92722719748326</v>
      </c>
      <c r="G46" s="707">
        <f t="shared" ca="1" si="5"/>
        <v>13647.327629835983</v>
      </c>
      <c r="H46" s="707">
        <f t="shared" si="5"/>
        <v>0</v>
      </c>
      <c r="I46" s="707">
        <f t="shared" si="5"/>
        <v>0</v>
      </c>
      <c r="J46" s="707">
        <f t="shared" si="5"/>
        <v>0</v>
      </c>
      <c r="K46" s="707">
        <f t="shared" si="5"/>
        <v>336.58406269222183</v>
      </c>
      <c r="L46" s="707">
        <f t="shared" si="5"/>
        <v>0</v>
      </c>
      <c r="M46" s="707">
        <f t="shared" ca="1" si="5"/>
        <v>0</v>
      </c>
      <c r="N46" s="707">
        <f t="shared" si="5"/>
        <v>0</v>
      </c>
      <c r="O46" s="707">
        <f t="shared" ca="1" si="5"/>
        <v>0</v>
      </c>
      <c r="P46" s="707">
        <f t="shared" si="5"/>
        <v>0</v>
      </c>
      <c r="Q46" s="707">
        <f t="shared" si="5"/>
        <v>0</v>
      </c>
      <c r="R46" s="707">
        <f ca="1">SUM(R39:R45)</f>
        <v>28660.312577450262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0.93039127617715689</v>
      </c>
      <c r="D49" s="674">
        <f ca="1">transport!C58</f>
        <v>0</v>
      </c>
      <c r="E49" s="674">
        <f>transport!D58</f>
        <v>0</v>
      </c>
      <c r="F49" s="674">
        <f>transport!E58</f>
        <v>0</v>
      </c>
      <c r="G49" s="674">
        <f>transport!F58</f>
        <v>0</v>
      </c>
      <c r="H49" s="674">
        <f>transport!G58</f>
        <v>382.99808200664012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383.92847328281727</v>
      </c>
    </row>
    <row r="50" spans="1:18">
      <c r="A50" s="805" t="s">
        <v>296</v>
      </c>
      <c r="B50" s="815"/>
      <c r="C50" s="973">
        <f ca="1">transport!B18</f>
        <v>0.20130141370592688</v>
      </c>
      <c r="D50" s="973">
        <f>transport!C18</f>
        <v>0</v>
      </c>
      <c r="E50" s="973">
        <f>transport!D18</f>
        <v>1.0040161174732067</v>
      </c>
      <c r="F50" s="973">
        <f>transport!E18</f>
        <v>129.89277716672737</v>
      </c>
      <c r="G50" s="973">
        <f>transport!F18</f>
        <v>0</v>
      </c>
      <c r="H50" s="973">
        <f>transport!G18</f>
        <v>27094.847214377485</v>
      </c>
      <c r="I50" s="973">
        <f>transport!H18</f>
        <v>4189.3678874900443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31415.313196565436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1.1316926898830837</v>
      </c>
      <c r="D52" s="707">
        <f t="shared" ref="D52:Q52" ca="1" si="6">SUM(D48:D51)</f>
        <v>0</v>
      </c>
      <c r="E52" s="707">
        <f t="shared" si="6"/>
        <v>1.0040161174732067</v>
      </c>
      <c r="F52" s="707">
        <f t="shared" si="6"/>
        <v>129.89277716672737</v>
      </c>
      <c r="G52" s="707">
        <f t="shared" si="6"/>
        <v>0</v>
      </c>
      <c r="H52" s="707">
        <f t="shared" si="6"/>
        <v>27477.845296384126</v>
      </c>
      <c r="I52" s="707">
        <f t="shared" si="6"/>
        <v>4189.3678874900443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31799.241669848252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202.74228905420497</v>
      </c>
      <c r="D54" s="973">
        <f ca="1">+landbouw!C12</f>
        <v>0</v>
      </c>
      <c r="E54" s="973">
        <f>+landbouw!D12</f>
        <v>28.097132228000003</v>
      </c>
      <c r="F54" s="973">
        <f>+landbouw!E12</f>
        <v>3.4252239074758517</v>
      </c>
      <c r="G54" s="973">
        <f>+landbouw!F12</f>
        <v>1646.8597774949628</v>
      </c>
      <c r="H54" s="973">
        <f>+landbouw!G12</f>
        <v>0</v>
      </c>
      <c r="I54" s="973">
        <f>+landbouw!H12</f>
        <v>0</v>
      </c>
      <c r="J54" s="973">
        <f>+landbouw!I12</f>
        <v>0</v>
      </c>
      <c r="K54" s="973">
        <f>+landbouw!J12</f>
        <v>45.553610815925438</v>
      </c>
      <c r="L54" s="973">
        <f>+landbouw!K12</f>
        <v>0</v>
      </c>
      <c r="M54" s="973">
        <f>+landbouw!L12</f>
        <v>0</v>
      </c>
      <c r="N54" s="973">
        <f>+landbouw!M12</f>
        <v>0</v>
      </c>
      <c r="O54" s="973">
        <f>+landbouw!N12</f>
        <v>0</v>
      </c>
      <c r="P54" s="973">
        <f>+landbouw!O12</f>
        <v>0</v>
      </c>
      <c r="Q54" s="974">
        <f>+landbouw!P12</f>
        <v>0</v>
      </c>
      <c r="R54" s="706">
        <f ca="1">SUM(C54:Q54)</f>
        <v>1926.678033500569</v>
      </c>
    </row>
    <row r="55" spans="1:18" ht="15" thickBot="1">
      <c r="A55" s="805" t="s">
        <v>889</v>
      </c>
      <c r="B55" s="815"/>
      <c r="C55" s="973">
        <f ca="1">C25*'EF ele_warmte'!B12</f>
        <v>409.30579457142295</v>
      </c>
      <c r="D55" s="973"/>
      <c r="E55" s="973">
        <f>E25*EF_CO2_aardgas</f>
        <v>96.659222000000014</v>
      </c>
      <c r="F55" s="973"/>
      <c r="G55" s="973"/>
      <c r="H55" s="973"/>
      <c r="I55" s="973"/>
      <c r="J55" s="973"/>
      <c r="K55" s="973"/>
      <c r="L55" s="973"/>
      <c r="M55" s="973"/>
      <c r="N55" s="973"/>
      <c r="O55" s="973"/>
      <c r="P55" s="973"/>
      <c r="Q55" s="974"/>
      <c r="R55" s="706">
        <f ca="1">SUM(C55:Q55)</f>
        <v>505.96501657142295</v>
      </c>
    </row>
    <row r="56" spans="1:18" ht="15.75" thickBot="1">
      <c r="A56" s="803" t="s">
        <v>890</v>
      </c>
      <c r="B56" s="816"/>
      <c r="C56" s="707">
        <f ca="1">SUM(C54:C55)</f>
        <v>612.0480836256279</v>
      </c>
      <c r="D56" s="707">
        <f t="shared" ref="D56:Q56" ca="1" si="7">SUM(D54:D55)</f>
        <v>0</v>
      </c>
      <c r="E56" s="707">
        <f t="shared" si="7"/>
        <v>124.75635422800002</v>
      </c>
      <c r="F56" s="707">
        <f t="shared" si="7"/>
        <v>3.4252239074758517</v>
      </c>
      <c r="G56" s="707">
        <f t="shared" si="7"/>
        <v>1646.8597774949628</v>
      </c>
      <c r="H56" s="707">
        <f t="shared" si="7"/>
        <v>0</v>
      </c>
      <c r="I56" s="707">
        <f t="shared" si="7"/>
        <v>0</v>
      </c>
      <c r="J56" s="707">
        <f t="shared" si="7"/>
        <v>0</v>
      </c>
      <c r="K56" s="707">
        <f t="shared" si="7"/>
        <v>45.553610815925438</v>
      </c>
      <c r="L56" s="707">
        <f t="shared" si="7"/>
        <v>0</v>
      </c>
      <c r="M56" s="707">
        <f t="shared" si="7"/>
        <v>0</v>
      </c>
      <c r="N56" s="707">
        <f t="shared" si="7"/>
        <v>0</v>
      </c>
      <c r="O56" s="707">
        <f t="shared" si="7"/>
        <v>0</v>
      </c>
      <c r="P56" s="707">
        <f t="shared" si="7"/>
        <v>0</v>
      </c>
      <c r="Q56" s="708">
        <f t="shared" si="7"/>
        <v>0</v>
      </c>
      <c r="R56" s="709">
        <f ca="1">SUM(R54:R55)</f>
        <v>2432.6430500719921</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6608.467847020087</v>
      </c>
      <c r="D61" s="715">
        <f t="shared" ref="D61:Q61" ca="1" si="8">D46+D52+D56</f>
        <v>0</v>
      </c>
      <c r="E61" s="715">
        <f t="shared" ca="1" si="8"/>
        <v>8455.9459573654731</v>
      </c>
      <c r="F61" s="715">
        <f t="shared" si="8"/>
        <v>484.24522827168647</v>
      </c>
      <c r="G61" s="715">
        <f t="shared" ca="1" si="8"/>
        <v>15294.187407330946</v>
      </c>
      <c r="H61" s="715">
        <f t="shared" si="8"/>
        <v>27477.845296384126</v>
      </c>
      <c r="I61" s="715">
        <f t="shared" si="8"/>
        <v>4189.3678874900443</v>
      </c>
      <c r="J61" s="715">
        <f t="shared" si="8"/>
        <v>0</v>
      </c>
      <c r="K61" s="715">
        <f t="shared" si="8"/>
        <v>382.13767350814726</v>
      </c>
      <c r="L61" s="715">
        <f t="shared" si="8"/>
        <v>0</v>
      </c>
      <c r="M61" s="715">
        <f t="shared" ca="1" si="8"/>
        <v>0</v>
      </c>
      <c r="N61" s="715">
        <f t="shared" si="8"/>
        <v>0</v>
      </c>
      <c r="O61" s="715">
        <f t="shared" ca="1" si="8"/>
        <v>0</v>
      </c>
      <c r="P61" s="715">
        <f t="shared" si="8"/>
        <v>0</v>
      </c>
      <c r="Q61" s="715">
        <f t="shared" si="8"/>
        <v>0</v>
      </c>
      <c r="R61" s="715">
        <f ca="1">R46+R52+R56</f>
        <v>62892.197297370505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0.14070834271138111</v>
      </c>
      <c r="D63" s="759">
        <f t="shared" ca="1" si="9"/>
        <v>0</v>
      </c>
      <c r="E63" s="975">
        <f t="shared" ca="1" si="9"/>
        <v>0.20200000000000001</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15197.191664017113</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1865.9533602531869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17063.145024270299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18168.914641994066</v>
      </c>
      <c r="C4" s="447">
        <f>huishoudens!C8</f>
        <v>0</v>
      </c>
      <c r="D4" s="447">
        <f>huishoudens!D8</f>
        <v>20038.362959999999</v>
      </c>
      <c r="E4" s="447">
        <f>huishoudens!E8</f>
        <v>1214.6723086157135</v>
      </c>
      <c r="F4" s="447">
        <f>huishoudens!F8</f>
        <v>41462.105157042475</v>
      </c>
      <c r="G4" s="447">
        <f>huishoudens!G8</f>
        <v>0</v>
      </c>
      <c r="H4" s="447">
        <f>huishoudens!H8</f>
        <v>0</v>
      </c>
      <c r="I4" s="447">
        <f>huishoudens!I8</f>
        <v>0</v>
      </c>
      <c r="J4" s="447">
        <f>huishoudens!J8</f>
        <v>933.62148979281244</v>
      </c>
      <c r="K4" s="447">
        <f>huishoudens!K8</f>
        <v>0</v>
      </c>
      <c r="L4" s="447">
        <f>huishoudens!L8</f>
        <v>0</v>
      </c>
      <c r="M4" s="447">
        <f>huishoudens!M8</f>
        <v>0</v>
      </c>
      <c r="N4" s="447">
        <f>huishoudens!N8</f>
        <v>4862.9583316016251</v>
      </c>
      <c r="O4" s="447">
        <f>huishoudens!O8</f>
        <v>42.21</v>
      </c>
      <c r="P4" s="448">
        <f>huishoudens!P8</f>
        <v>171.6</v>
      </c>
      <c r="Q4" s="449">
        <f>SUM(B4:P4)</f>
        <v>86894.444889046703</v>
      </c>
    </row>
    <row r="5" spans="1:17">
      <c r="A5" s="446" t="s">
        <v>149</v>
      </c>
      <c r="B5" s="447">
        <f ca="1">tertiair!B16</f>
        <v>12728.908000000001</v>
      </c>
      <c r="C5" s="447">
        <f ca="1">tertiair!C16</f>
        <v>0</v>
      </c>
      <c r="D5" s="447">
        <f ca="1">tertiair!D16</f>
        <v>5409.4915379999993</v>
      </c>
      <c r="E5" s="447">
        <f>tertiair!E16</f>
        <v>160.43923948935659</v>
      </c>
      <c r="F5" s="447">
        <f ca="1">tertiair!F16</f>
        <v>2272.9138797797364</v>
      </c>
      <c r="G5" s="447">
        <f>tertiair!G16</f>
        <v>0</v>
      </c>
      <c r="H5" s="447">
        <f>tertiair!H16</f>
        <v>0</v>
      </c>
      <c r="I5" s="447">
        <f>tertiair!I16</f>
        <v>0</v>
      </c>
      <c r="J5" s="447">
        <f>tertiair!J16</f>
        <v>0</v>
      </c>
      <c r="K5" s="447">
        <f>tertiair!K16</f>
        <v>0</v>
      </c>
      <c r="L5" s="447">
        <f ca="1">tertiair!L16</f>
        <v>0</v>
      </c>
      <c r="M5" s="447">
        <f>tertiair!M16</f>
        <v>0</v>
      </c>
      <c r="N5" s="447">
        <f ca="1">tertiair!N16</f>
        <v>556.54073985424895</v>
      </c>
      <c r="O5" s="447">
        <f>tertiair!O16</f>
        <v>0</v>
      </c>
      <c r="P5" s="448">
        <f>tertiair!P16</f>
        <v>0</v>
      </c>
      <c r="Q5" s="446">
        <f t="shared" ref="Q5:Q14" ca="1" si="0">SUM(B5:P5)</f>
        <v>21128.29339712334</v>
      </c>
    </row>
    <row r="6" spans="1:17">
      <c r="A6" s="446" t="s">
        <v>187</v>
      </c>
      <c r="B6" s="447">
        <f>'openbare verlichting'!B8</f>
        <v>613.54100000000005</v>
      </c>
      <c r="C6" s="447"/>
      <c r="D6" s="447"/>
      <c r="E6" s="447"/>
      <c r="F6" s="447"/>
      <c r="G6" s="447"/>
      <c r="H6" s="447"/>
      <c r="I6" s="447"/>
      <c r="J6" s="447"/>
      <c r="K6" s="447"/>
      <c r="L6" s="447"/>
      <c r="M6" s="447"/>
      <c r="N6" s="447"/>
      <c r="O6" s="447"/>
      <c r="P6" s="448"/>
      <c r="Q6" s="446">
        <f t="shared" si="0"/>
        <v>613.54100000000005</v>
      </c>
    </row>
    <row r="7" spans="1:17">
      <c r="A7" s="446" t="s">
        <v>105</v>
      </c>
      <c r="B7" s="447">
        <f>landbouw!B8</f>
        <v>1440.8689999999999</v>
      </c>
      <c r="C7" s="447">
        <f>landbouw!C8</f>
        <v>0</v>
      </c>
      <c r="D7" s="447">
        <f>landbouw!D8</f>
        <v>139.09471400000001</v>
      </c>
      <c r="E7" s="447">
        <f>landbouw!E8</f>
        <v>15.089092103417849</v>
      </c>
      <c r="F7" s="447">
        <f>landbouw!F8</f>
        <v>6168.0141479212089</v>
      </c>
      <c r="G7" s="447">
        <f>landbouw!G8</f>
        <v>0</v>
      </c>
      <c r="H7" s="447">
        <f>landbouw!H8</f>
        <v>0</v>
      </c>
      <c r="I7" s="447">
        <f>landbouw!I8</f>
        <v>0</v>
      </c>
      <c r="J7" s="447">
        <f>landbouw!J8</f>
        <v>128.68251642916792</v>
      </c>
      <c r="K7" s="447">
        <f>landbouw!K8</f>
        <v>0</v>
      </c>
      <c r="L7" s="447">
        <f>landbouw!L8</f>
        <v>0</v>
      </c>
      <c r="M7" s="447">
        <f>landbouw!M8</f>
        <v>0</v>
      </c>
      <c r="N7" s="447">
        <f>landbouw!N8</f>
        <v>0</v>
      </c>
      <c r="O7" s="447">
        <f>landbouw!O8</f>
        <v>0</v>
      </c>
      <c r="P7" s="448">
        <f>landbouw!P8</f>
        <v>0</v>
      </c>
      <c r="Q7" s="446">
        <f t="shared" si="0"/>
        <v>7891.7494704537949</v>
      </c>
    </row>
    <row r="8" spans="1:17">
      <c r="A8" s="446" t="s">
        <v>637</v>
      </c>
      <c r="B8" s="447">
        <f>industrie!B18</f>
        <v>11096.544000000002</v>
      </c>
      <c r="C8" s="447">
        <f>industrie!C18</f>
        <v>0</v>
      </c>
      <c r="D8" s="447">
        <f>industrie!D18</f>
        <v>15790.688011999999</v>
      </c>
      <c r="E8" s="447">
        <f>industrie!E18</f>
        <v>170.82337346974609</v>
      </c>
      <c r="F8" s="447">
        <f>industrie!F18</f>
        <v>7378.5675917769704</v>
      </c>
      <c r="G8" s="447">
        <f>industrie!G18</f>
        <v>0</v>
      </c>
      <c r="H8" s="447">
        <f>industrie!H18</f>
        <v>0</v>
      </c>
      <c r="I8" s="447">
        <f>industrie!I18</f>
        <v>0</v>
      </c>
      <c r="J8" s="447">
        <f>industrie!J18</f>
        <v>17.18094719086513</v>
      </c>
      <c r="K8" s="447">
        <f>industrie!K18</f>
        <v>0</v>
      </c>
      <c r="L8" s="447">
        <f>industrie!L18</f>
        <v>0</v>
      </c>
      <c r="M8" s="447">
        <f>industrie!M18</f>
        <v>0</v>
      </c>
      <c r="N8" s="447">
        <f>industrie!N18</f>
        <v>695.38315398412897</v>
      </c>
      <c r="O8" s="447">
        <f>industrie!O18</f>
        <v>0</v>
      </c>
      <c r="P8" s="448">
        <f>industrie!P18</f>
        <v>0</v>
      </c>
      <c r="Q8" s="446">
        <f t="shared" si="0"/>
        <v>35149.18707842171</v>
      </c>
    </row>
    <row r="9" spans="1:17" s="452" customFormat="1">
      <c r="A9" s="450" t="s">
        <v>556</v>
      </c>
      <c r="B9" s="451">
        <f>transport!B14</f>
        <v>1.4306288442244921</v>
      </c>
      <c r="C9" s="451">
        <f>transport!C14</f>
        <v>0</v>
      </c>
      <c r="D9" s="451">
        <f>transport!D14</f>
        <v>4.970376819174291</v>
      </c>
      <c r="E9" s="451">
        <f>transport!E14</f>
        <v>572.2148773864642</v>
      </c>
      <c r="F9" s="451">
        <f>transport!F14</f>
        <v>0</v>
      </c>
      <c r="G9" s="451">
        <f>transport!G14</f>
        <v>101478.82851826774</v>
      </c>
      <c r="H9" s="451">
        <f>transport!H14</f>
        <v>16824.770632490137</v>
      </c>
      <c r="I9" s="451">
        <f>transport!I14</f>
        <v>0</v>
      </c>
      <c r="J9" s="451">
        <f>transport!J14</f>
        <v>0</v>
      </c>
      <c r="K9" s="451">
        <f>transport!K14</f>
        <v>0</v>
      </c>
      <c r="L9" s="451">
        <f>transport!L14</f>
        <v>0</v>
      </c>
      <c r="M9" s="451">
        <f>transport!M14</f>
        <v>5145.9855038806318</v>
      </c>
      <c r="N9" s="451">
        <f>transport!N14</f>
        <v>0</v>
      </c>
      <c r="O9" s="451">
        <f>transport!O14</f>
        <v>0</v>
      </c>
      <c r="P9" s="451">
        <f>transport!P14</f>
        <v>0</v>
      </c>
      <c r="Q9" s="450">
        <f>SUM(B9:P9)</f>
        <v>124028.20053768836</v>
      </c>
    </row>
    <row r="10" spans="1:17">
      <c r="A10" s="446" t="s">
        <v>546</v>
      </c>
      <c r="B10" s="447">
        <f>transport!B54</f>
        <v>6.6121969618074594</v>
      </c>
      <c r="C10" s="447">
        <f>transport!C54</f>
        <v>0</v>
      </c>
      <c r="D10" s="447">
        <f>transport!D54</f>
        <v>0</v>
      </c>
      <c r="E10" s="447">
        <f>transport!E54</f>
        <v>0</v>
      </c>
      <c r="F10" s="447">
        <f>transport!F54</f>
        <v>0</v>
      </c>
      <c r="G10" s="447">
        <f>transport!G54</f>
        <v>1434.4497453432214</v>
      </c>
      <c r="H10" s="447">
        <f>transport!H54</f>
        <v>0</v>
      </c>
      <c r="I10" s="447">
        <f>transport!I54</f>
        <v>0</v>
      </c>
      <c r="J10" s="447">
        <f>transport!J54</f>
        <v>0</v>
      </c>
      <c r="K10" s="447">
        <f>transport!K54</f>
        <v>0</v>
      </c>
      <c r="L10" s="447">
        <f>transport!L54</f>
        <v>0</v>
      </c>
      <c r="M10" s="447">
        <f>transport!M54</f>
        <v>61.417628016907109</v>
      </c>
      <c r="N10" s="447">
        <f>transport!N54</f>
        <v>0</v>
      </c>
      <c r="O10" s="447">
        <f>transport!O54</f>
        <v>0</v>
      </c>
      <c r="P10" s="448">
        <f>transport!P54</f>
        <v>0</v>
      </c>
      <c r="Q10" s="446">
        <f t="shared" si="0"/>
        <v>1502.4795703219361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2908.895</v>
      </c>
      <c r="C14" s="454"/>
      <c r="D14" s="454">
        <f>'SEAP template'!E25</f>
        <v>478.51100000000002</v>
      </c>
      <c r="E14" s="454"/>
      <c r="F14" s="454"/>
      <c r="G14" s="454"/>
      <c r="H14" s="454"/>
      <c r="I14" s="454"/>
      <c r="J14" s="454"/>
      <c r="K14" s="454"/>
      <c r="L14" s="454"/>
      <c r="M14" s="454"/>
      <c r="N14" s="454"/>
      <c r="O14" s="454"/>
      <c r="P14" s="455"/>
      <c r="Q14" s="446">
        <f t="shared" si="0"/>
        <v>3387.4059999999999</v>
      </c>
    </row>
    <row r="15" spans="1:17" s="459" customFormat="1">
      <c r="A15" s="456" t="s">
        <v>550</v>
      </c>
      <c r="B15" s="457">
        <f ca="1">SUM(B4:B14)</f>
        <v>46965.714467800106</v>
      </c>
      <c r="C15" s="457">
        <f t="shared" ref="C15:Q15" ca="1" si="1">SUM(C4:C14)</f>
        <v>0</v>
      </c>
      <c r="D15" s="457">
        <f t="shared" ca="1" si="1"/>
        <v>41861.118600819165</v>
      </c>
      <c r="E15" s="457">
        <f t="shared" si="1"/>
        <v>2133.2388910646982</v>
      </c>
      <c r="F15" s="457">
        <f t="shared" ca="1" si="1"/>
        <v>57281.60077652039</v>
      </c>
      <c r="G15" s="457">
        <f t="shared" si="1"/>
        <v>102913.27826361096</v>
      </c>
      <c r="H15" s="457">
        <f t="shared" si="1"/>
        <v>16824.770632490137</v>
      </c>
      <c r="I15" s="457">
        <f t="shared" si="1"/>
        <v>0</v>
      </c>
      <c r="J15" s="457">
        <f t="shared" si="1"/>
        <v>1079.4849534128455</v>
      </c>
      <c r="K15" s="457">
        <f t="shared" si="1"/>
        <v>0</v>
      </c>
      <c r="L15" s="457">
        <f t="shared" ca="1" si="1"/>
        <v>0</v>
      </c>
      <c r="M15" s="457">
        <f t="shared" si="1"/>
        <v>5207.4031318975385</v>
      </c>
      <c r="N15" s="457">
        <f t="shared" ca="1" si="1"/>
        <v>6114.8822254400038</v>
      </c>
      <c r="O15" s="457">
        <f t="shared" si="1"/>
        <v>42.21</v>
      </c>
      <c r="P15" s="457">
        <f t="shared" si="1"/>
        <v>171.6</v>
      </c>
      <c r="Q15" s="457">
        <f t="shared" ca="1" si="1"/>
        <v>280595.30194305582</v>
      </c>
    </row>
    <row r="17" spans="1:17">
      <c r="A17" s="460" t="s">
        <v>551</v>
      </c>
      <c r="B17" s="764">
        <f ca="1">huishoudens!B10</f>
        <v>0.14070834271138111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2556.5178681395314</v>
      </c>
      <c r="C22" s="447">
        <f t="shared" ref="C22:C32" ca="1" si="3">C4*$C$17</f>
        <v>0</v>
      </c>
      <c r="D22" s="447">
        <f t="shared" ref="D22:D32" si="4">D4*$D$17</f>
        <v>4047.7493179200001</v>
      </c>
      <c r="E22" s="447">
        <f t="shared" ref="E22:E32" si="5">E4*$E$17</f>
        <v>275.73061405576698</v>
      </c>
      <c r="F22" s="447">
        <f t="shared" ref="F22:F32" si="6">F4*$F$17</f>
        <v>11070.382076930342</v>
      </c>
      <c r="G22" s="447">
        <f t="shared" ref="G22:G32" si="7">G4*$G$17</f>
        <v>0</v>
      </c>
      <c r="H22" s="447">
        <f t="shared" ref="H22:H32" si="8">H4*$H$17</f>
        <v>0</v>
      </c>
      <c r="I22" s="447">
        <f t="shared" ref="I22:I32" si="9">I4*$I$17</f>
        <v>0</v>
      </c>
      <c r="J22" s="447">
        <f t="shared" ref="J22:J32" si="10">J4*$J$17</f>
        <v>330.50200738665558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18280.881884432296</v>
      </c>
    </row>
    <row r="23" spans="1:17">
      <c r="A23" s="446" t="s">
        <v>149</v>
      </c>
      <c r="B23" s="447">
        <f t="shared" ca="1" si="2"/>
        <v>1791.0635492056408</v>
      </c>
      <c r="C23" s="447">
        <f t="shared" ca="1" si="3"/>
        <v>0</v>
      </c>
      <c r="D23" s="447">
        <f t="shared" ca="1" si="4"/>
        <v>1092.7172906759999</v>
      </c>
      <c r="E23" s="447">
        <f t="shared" si="5"/>
        <v>36.419707364083948</v>
      </c>
      <c r="F23" s="447">
        <f t="shared" ca="1" si="6"/>
        <v>606.86800590118969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3527.0685531469144</v>
      </c>
    </row>
    <row r="24" spans="1:17">
      <c r="A24" s="446" t="s">
        <v>187</v>
      </c>
      <c r="B24" s="447">
        <f t="shared" ca="1" si="2"/>
        <v>86.330337295483488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86.330337295483488</v>
      </c>
    </row>
    <row r="25" spans="1:17">
      <c r="A25" s="446" t="s">
        <v>105</v>
      </c>
      <c r="B25" s="447">
        <f t="shared" ca="1" si="2"/>
        <v>202.74228905420497</v>
      </c>
      <c r="C25" s="447">
        <f t="shared" ca="1" si="3"/>
        <v>0</v>
      </c>
      <c r="D25" s="447">
        <f t="shared" si="4"/>
        <v>28.097132228000003</v>
      </c>
      <c r="E25" s="447">
        <f t="shared" si="5"/>
        <v>3.4252239074758517</v>
      </c>
      <c r="F25" s="447">
        <f t="shared" si="6"/>
        <v>1646.8597774949628</v>
      </c>
      <c r="G25" s="447">
        <f t="shared" si="7"/>
        <v>0</v>
      </c>
      <c r="H25" s="447">
        <f t="shared" si="8"/>
        <v>0</v>
      </c>
      <c r="I25" s="447">
        <f t="shared" si="9"/>
        <v>0</v>
      </c>
      <c r="J25" s="447">
        <f t="shared" si="10"/>
        <v>45.553610815925438</v>
      </c>
      <c r="K25" s="447">
        <f t="shared" si="11"/>
        <v>0</v>
      </c>
      <c r="L25" s="447">
        <f t="shared" si="12"/>
        <v>0</v>
      </c>
      <c r="M25" s="447">
        <f t="shared" si="13"/>
        <v>0</v>
      </c>
      <c r="N25" s="447">
        <f t="shared" si="14"/>
        <v>0</v>
      </c>
      <c r="O25" s="447">
        <f t="shared" si="15"/>
        <v>0</v>
      </c>
      <c r="P25" s="448">
        <f t="shared" si="16"/>
        <v>0</v>
      </c>
      <c r="Q25" s="446">
        <f t="shared" ca="1" si="17"/>
        <v>1926.678033500569</v>
      </c>
    </row>
    <row r="26" spans="1:17">
      <c r="A26" s="446" t="s">
        <v>637</v>
      </c>
      <c r="B26" s="447">
        <f t="shared" ca="1" si="2"/>
        <v>1561.3763160639201</v>
      </c>
      <c r="C26" s="447">
        <f t="shared" ca="1" si="3"/>
        <v>0</v>
      </c>
      <c r="D26" s="447">
        <f t="shared" si="4"/>
        <v>3189.7189784239999</v>
      </c>
      <c r="E26" s="447">
        <f t="shared" si="5"/>
        <v>38.776905777632365</v>
      </c>
      <c r="F26" s="447">
        <f t="shared" si="6"/>
        <v>1970.0775470044512</v>
      </c>
      <c r="G26" s="447">
        <f t="shared" si="7"/>
        <v>0</v>
      </c>
      <c r="H26" s="447">
        <f t="shared" si="8"/>
        <v>0</v>
      </c>
      <c r="I26" s="447">
        <f t="shared" si="9"/>
        <v>0</v>
      </c>
      <c r="J26" s="447">
        <f t="shared" si="10"/>
        <v>6.0820553055662554</v>
      </c>
      <c r="K26" s="447">
        <f t="shared" si="11"/>
        <v>0</v>
      </c>
      <c r="L26" s="447">
        <f t="shared" si="12"/>
        <v>0</v>
      </c>
      <c r="M26" s="447">
        <f t="shared" si="13"/>
        <v>0</v>
      </c>
      <c r="N26" s="447">
        <f t="shared" si="14"/>
        <v>0</v>
      </c>
      <c r="O26" s="447">
        <f t="shared" si="15"/>
        <v>0</v>
      </c>
      <c r="P26" s="448">
        <f t="shared" si="16"/>
        <v>0</v>
      </c>
      <c r="Q26" s="446">
        <f t="shared" ca="1" si="17"/>
        <v>6766.0318025755696</v>
      </c>
    </row>
    <row r="27" spans="1:17" s="452" customFormat="1">
      <c r="A27" s="450" t="s">
        <v>556</v>
      </c>
      <c r="B27" s="758">
        <f t="shared" ca="1" si="2"/>
        <v>0.20130141370592688</v>
      </c>
      <c r="C27" s="451">
        <f t="shared" ca="1" si="3"/>
        <v>0</v>
      </c>
      <c r="D27" s="451">
        <f t="shared" si="4"/>
        <v>1.0040161174732067</v>
      </c>
      <c r="E27" s="451">
        <f t="shared" si="5"/>
        <v>129.89277716672737</v>
      </c>
      <c r="F27" s="451">
        <f t="shared" si="6"/>
        <v>0</v>
      </c>
      <c r="G27" s="451">
        <f t="shared" si="7"/>
        <v>27094.847214377485</v>
      </c>
      <c r="H27" s="451">
        <f t="shared" si="8"/>
        <v>4189.3678874900443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31415.313196565436</v>
      </c>
    </row>
    <row r="28" spans="1:17">
      <c r="A28" s="446" t="s">
        <v>546</v>
      </c>
      <c r="B28" s="447">
        <f t="shared" ca="1" si="2"/>
        <v>0.93039127617715689</v>
      </c>
      <c r="C28" s="447">
        <f t="shared" ca="1" si="3"/>
        <v>0</v>
      </c>
      <c r="D28" s="447">
        <f t="shared" si="4"/>
        <v>0</v>
      </c>
      <c r="E28" s="447">
        <f t="shared" si="5"/>
        <v>0</v>
      </c>
      <c r="F28" s="447">
        <f t="shared" si="6"/>
        <v>0</v>
      </c>
      <c r="G28" s="447">
        <f t="shared" si="7"/>
        <v>382.99808200664012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383.92847328281727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409.30579457142295</v>
      </c>
      <c r="C32" s="447">
        <f t="shared" ca="1" si="3"/>
        <v>0</v>
      </c>
      <c r="D32" s="447">
        <f t="shared" si="4"/>
        <v>96.659222000000014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505.96501657142295</v>
      </c>
    </row>
    <row r="33" spans="1:17" s="459" customFormat="1">
      <c r="A33" s="456" t="s">
        <v>550</v>
      </c>
      <c r="B33" s="457">
        <f ca="1">SUM(B22:B32)</f>
        <v>6608.4678470200861</v>
      </c>
      <c r="C33" s="457">
        <f t="shared" ref="C33:Q33" ca="1" si="19">SUM(C22:C32)</f>
        <v>0</v>
      </c>
      <c r="D33" s="457">
        <f t="shared" ca="1" si="19"/>
        <v>8455.9459573654731</v>
      </c>
      <c r="E33" s="457">
        <f t="shared" si="19"/>
        <v>484.24522827168653</v>
      </c>
      <c r="F33" s="457">
        <f t="shared" ca="1" si="19"/>
        <v>15294.187407330946</v>
      </c>
      <c r="G33" s="457">
        <f t="shared" si="19"/>
        <v>27477.845296384126</v>
      </c>
      <c r="H33" s="457">
        <f t="shared" si="19"/>
        <v>4189.3678874900443</v>
      </c>
      <c r="I33" s="457">
        <f t="shared" si="19"/>
        <v>0</v>
      </c>
      <c r="J33" s="457">
        <f t="shared" si="19"/>
        <v>382.13767350814726</v>
      </c>
      <c r="K33" s="457">
        <f t="shared" si="19"/>
        <v>0</v>
      </c>
      <c r="L33" s="457">
        <f t="shared" ca="1" si="19"/>
        <v>0</v>
      </c>
      <c r="M33" s="457">
        <f t="shared" si="19"/>
        <v>0</v>
      </c>
      <c r="N33" s="457">
        <f t="shared" ca="1" si="19"/>
        <v>0</v>
      </c>
      <c r="O33" s="457">
        <f t="shared" si="19"/>
        <v>0</v>
      </c>
      <c r="P33" s="457">
        <f t="shared" si="19"/>
        <v>0</v>
      </c>
      <c r="Q33" s="457">
        <f t="shared" ca="1" si="19"/>
        <v>62892.197297370505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15197.191664017113</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1865.9533602531869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17063.145024270299</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0.14070834271138111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0.14070834271138111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0.14070834271138111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0.14070834271138111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3751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1906</v>
      </c>
      <c r="C14" s="326"/>
      <c r="D14" s="326"/>
      <c r="E14" s="326"/>
      <c r="F14" s="326"/>
    </row>
    <row r="15" spans="1:6">
      <c r="A15" s="1280" t="s">
        <v>177</v>
      </c>
      <c r="B15" s="1281">
        <v>728</v>
      </c>
      <c r="C15" s="326"/>
      <c r="D15" s="326"/>
      <c r="E15" s="326"/>
      <c r="F15" s="326"/>
    </row>
    <row r="16" spans="1:6">
      <c r="A16" s="1280" t="s">
        <v>6</v>
      </c>
      <c r="B16" s="1281">
        <v>178</v>
      </c>
      <c r="C16" s="326"/>
      <c r="D16" s="326"/>
      <c r="E16" s="326"/>
      <c r="F16" s="326"/>
    </row>
    <row r="17" spans="1:6">
      <c r="A17" s="1280" t="s">
        <v>7</v>
      </c>
      <c r="B17" s="1281">
        <v>385</v>
      </c>
      <c r="C17" s="326"/>
      <c r="D17" s="326"/>
      <c r="E17" s="326"/>
      <c r="F17" s="326"/>
    </row>
    <row r="18" spans="1:6">
      <c r="A18" s="1280" t="s">
        <v>8</v>
      </c>
      <c r="B18" s="1281">
        <v>457</v>
      </c>
      <c r="C18" s="326"/>
      <c r="D18" s="326"/>
      <c r="E18" s="326"/>
      <c r="F18" s="326"/>
    </row>
    <row r="19" spans="1:6">
      <c r="A19" s="1280" t="s">
        <v>9</v>
      </c>
      <c r="B19" s="1281">
        <v>408</v>
      </c>
      <c r="C19" s="326"/>
      <c r="D19" s="326"/>
      <c r="E19" s="326"/>
      <c r="F19" s="326"/>
    </row>
    <row r="20" spans="1:6">
      <c r="A20" s="1280" t="s">
        <v>10</v>
      </c>
      <c r="B20" s="1281">
        <v>337</v>
      </c>
      <c r="C20" s="326"/>
      <c r="D20" s="326"/>
      <c r="E20" s="326"/>
      <c r="F20" s="326"/>
    </row>
    <row r="21" spans="1:6">
      <c r="A21" s="1280" t="s">
        <v>11</v>
      </c>
      <c r="B21" s="1281">
        <v>6513</v>
      </c>
      <c r="C21" s="326"/>
      <c r="D21" s="326"/>
      <c r="E21" s="326"/>
      <c r="F21" s="326"/>
    </row>
    <row r="22" spans="1:6">
      <c r="A22" s="1280" t="s">
        <v>12</v>
      </c>
      <c r="B22" s="1281">
        <v>3798</v>
      </c>
      <c r="C22" s="326"/>
      <c r="D22" s="326"/>
      <c r="E22" s="326"/>
      <c r="F22" s="326"/>
    </row>
    <row r="23" spans="1:6">
      <c r="A23" s="1280" t="s">
        <v>13</v>
      </c>
      <c r="B23" s="1281">
        <v>45</v>
      </c>
      <c r="C23" s="326"/>
      <c r="D23" s="326"/>
      <c r="E23" s="326"/>
      <c r="F23" s="326"/>
    </row>
    <row r="24" spans="1:6">
      <c r="A24" s="1280" t="s">
        <v>14</v>
      </c>
      <c r="B24" s="1281">
        <v>1</v>
      </c>
      <c r="C24" s="326"/>
      <c r="D24" s="326"/>
      <c r="E24" s="326"/>
      <c r="F24" s="326"/>
    </row>
    <row r="25" spans="1:6">
      <c r="A25" s="1280" t="s">
        <v>15</v>
      </c>
      <c r="B25" s="1281">
        <v>288</v>
      </c>
      <c r="C25" s="326"/>
      <c r="D25" s="326"/>
      <c r="E25" s="326"/>
      <c r="F25" s="326"/>
    </row>
    <row r="26" spans="1:6">
      <c r="A26" s="1280" t="s">
        <v>16</v>
      </c>
      <c r="B26" s="1281">
        <v>177</v>
      </c>
      <c r="C26" s="326"/>
      <c r="D26" s="326"/>
      <c r="E26" s="326"/>
      <c r="F26" s="326"/>
    </row>
    <row r="27" spans="1:6">
      <c r="A27" s="1280" t="s">
        <v>17</v>
      </c>
      <c r="B27" s="1281">
        <v>3</v>
      </c>
      <c r="C27" s="326"/>
      <c r="D27" s="326"/>
      <c r="E27" s="326"/>
      <c r="F27" s="326"/>
    </row>
    <row r="28" spans="1:6">
      <c r="A28" s="1280" t="s">
        <v>18</v>
      </c>
      <c r="B28" s="1282">
        <v>70960</v>
      </c>
      <c r="C28" s="326"/>
      <c r="D28" s="326"/>
      <c r="E28" s="326"/>
      <c r="F28" s="326"/>
    </row>
    <row r="29" spans="1:6">
      <c r="A29" s="1280" t="s">
        <v>972</v>
      </c>
      <c r="B29" s="1282">
        <v>43</v>
      </c>
      <c r="C29" s="326"/>
      <c r="D29" s="326"/>
      <c r="E29" s="326"/>
      <c r="F29" s="326"/>
    </row>
    <row r="30" spans="1:6">
      <c r="A30" s="1275" t="s">
        <v>973</v>
      </c>
      <c r="B30" s="1283">
        <v>11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4</v>
      </c>
      <c r="F36" s="1281">
        <v>17830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1290</v>
      </c>
      <c r="D39" s="1281">
        <v>22215480</v>
      </c>
      <c r="E39" s="1281">
        <v>3765</v>
      </c>
      <c r="F39" s="1281">
        <v>17150600</v>
      </c>
    </row>
    <row r="40" spans="1:6">
      <c r="A40" s="1280" t="s">
        <v>29</v>
      </c>
      <c r="B40" s="1280" t="s">
        <v>28</v>
      </c>
      <c r="C40" s="1281">
        <v>0</v>
      </c>
      <c r="D40" s="1281">
        <v>0</v>
      </c>
      <c r="E40" s="1281">
        <v>0</v>
      </c>
      <c r="F40" s="1281">
        <v>0</v>
      </c>
    </row>
    <row r="41" spans="1:6">
      <c r="A41" s="1280" t="s">
        <v>31</v>
      </c>
      <c r="B41" s="1280" t="s">
        <v>32</v>
      </c>
      <c r="C41" s="1281">
        <v>17</v>
      </c>
      <c r="D41" s="1281">
        <v>11343567</v>
      </c>
      <c r="E41" s="1281">
        <v>52</v>
      </c>
      <c r="F41" s="1281">
        <v>8956028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14</v>
      </c>
      <c r="F44" s="1281">
        <v>244160</v>
      </c>
    </row>
    <row r="45" spans="1:6">
      <c r="A45" s="1280" t="s">
        <v>31</v>
      </c>
      <c r="B45" s="1280" t="s">
        <v>36</v>
      </c>
      <c r="C45" s="1281">
        <v>0</v>
      </c>
      <c r="D45" s="1281">
        <v>0</v>
      </c>
      <c r="E45" s="1281">
        <v>3</v>
      </c>
      <c r="F45" s="1281">
        <v>96064</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4</v>
      </c>
      <c r="D48" s="1281">
        <v>2290712</v>
      </c>
      <c r="E48" s="1281">
        <v>5</v>
      </c>
      <c r="F48" s="1281">
        <v>1290843</v>
      </c>
    </row>
    <row r="49" spans="1:6">
      <c r="A49" s="1280" t="s">
        <v>31</v>
      </c>
      <c r="B49" s="1280" t="s">
        <v>39</v>
      </c>
      <c r="C49" s="1281">
        <v>0</v>
      </c>
      <c r="D49" s="1281">
        <v>0</v>
      </c>
      <c r="E49" s="1281">
        <v>0</v>
      </c>
      <c r="F49" s="1281">
        <v>0</v>
      </c>
    </row>
    <row r="50" spans="1:6">
      <c r="A50" s="1280" t="s">
        <v>31</v>
      </c>
      <c r="B50" s="1280" t="s">
        <v>40</v>
      </c>
      <c r="C50" s="1281">
        <v>5</v>
      </c>
      <c r="D50" s="1281">
        <v>3872027</v>
      </c>
      <c r="E50" s="1281">
        <v>6</v>
      </c>
      <c r="F50" s="1281">
        <v>509449</v>
      </c>
    </row>
    <row r="51" spans="1:6">
      <c r="A51" s="1280" t="s">
        <v>41</v>
      </c>
      <c r="B51" s="1280" t="s">
        <v>42</v>
      </c>
      <c r="C51" s="1281">
        <v>4</v>
      </c>
      <c r="D51" s="1281">
        <v>154207</v>
      </c>
      <c r="E51" s="1281">
        <v>47</v>
      </c>
      <c r="F51" s="1281">
        <v>1440869</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59</v>
      </c>
      <c r="F54" s="1281">
        <v>613541</v>
      </c>
    </row>
    <row r="55" spans="1:6">
      <c r="A55" s="1280" t="s">
        <v>45</v>
      </c>
      <c r="B55" s="1280" t="s">
        <v>28</v>
      </c>
      <c r="C55" s="1281">
        <v>0</v>
      </c>
      <c r="D55" s="1281">
        <v>0</v>
      </c>
      <c r="E55" s="1281">
        <v>0</v>
      </c>
      <c r="F55" s="1281">
        <v>0</v>
      </c>
    </row>
    <row r="56" spans="1:6">
      <c r="A56" s="1280" t="s">
        <v>47</v>
      </c>
      <c r="B56" s="1280" t="s">
        <v>28</v>
      </c>
      <c r="C56" s="1281">
        <v>16</v>
      </c>
      <c r="D56" s="1281">
        <v>478511</v>
      </c>
      <c r="E56" s="1281">
        <v>76</v>
      </c>
      <c r="F56" s="1281">
        <v>2908895</v>
      </c>
    </row>
    <row r="57" spans="1:6">
      <c r="A57" s="1280" t="s">
        <v>48</v>
      </c>
      <c r="B57" s="1280" t="s">
        <v>49</v>
      </c>
      <c r="C57" s="1281">
        <v>11</v>
      </c>
      <c r="D57" s="1281">
        <v>305428</v>
      </c>
      <c r="E57" s="1281">
        <v>53</v>
      </c>
      <c r="F57" s="1281">
        <v>2300760</v>
      </c>
    </row>
    <row r="58" spans="1:6">
      <c r="A58" s="1280" t="s">
        <v>48</v>
      </c>
      <c r="B58" s="1280" t="s">
        <v>50</v>
      </c>
      <c r="C58" s="1281">
        <v>5</v>
      </c>
      <c r="D58" s="1281">
        <v>1139300</v>
      </c>
      <c r="E58" s="1281">
        <v>15</v>
      </c>
      <c r="F58" s="1281">
        <v>535975</v>
      </c>
    </row>
    <row r="59" spans="1:6">
      <c r="A59" s="1280" t="s">
        <v>48</v>
      </c>
      <c r="B59" s="1280" t="s">
        <v>51</v>
      </c>
      <c r="C59" s="1281">
        <v>33</v>
      </c>
      <c r="D59" s="1281">
        <v>1829205</v>
      </c>
      <c r="E59" s="1281">
        <v>97</v>
      </c>
      <c r="F59" s="1281">
        <v>7062738</v>
      </c>
    </row>
    <row r="60" spans="1:6">
      <c r="A60" s="1280" t="s">
        <v>48</v>
      </c>
      <c r="B60" s="1280" t="s">
        <v>52</v>
      </c>
      <c r="C60" s="1281">
        <v>12</v>
      </c>
      <c r="D60" s="1281">
        <v>389577</v>
      </c>
      <c r="E60" s="1281">
        <v>27</v>
      </c>
      <c r="F60" s="1281">
        <v>524436</v>
      </c>
    </row>
    <row r="61" spans="1:6">
      <c r="A61" s="1280" t="s">
        <v>48</v>
      </c>
      <c r="B61" s="1280" t="s">
        <v>53</v>
      </c>
      <c r="C61" s="1281">
        <v>38</v>
      </c>
      <c r="D61" s="1281">
        <v>2181076</v>
      </c>
      <c r="E61" s="1281">
        <v>146</v>
      </c>
      <c r="F61" s="1281">
        <v>2280142</v>
      </c>
    </row>
    <row r="62" spans="1:6">
      <c r="A62" s="1280" t="s">
        <v>48</v>
      </c>
      <c r="B62" s="1280" t="s">
        <v>54</v>
      </c>
      <c r="C62" s="1281">
        <v>0</v>
      </c>
      <c r="D62" s="1281">
        <v>0</v>
      </c>
      <c r="E62" s="1281">
        <v>0</v>
      </c>
      <c r="F62" s="1281">
        <v>0</v>
      </c>
    </row>
    <row r="63" spans="1:6">
      <c r="A63" s="1280" t="s">
        <v>48</v>
      </c>
      <c r="B63" s="1280" t="s">
        <v>28</v>
      </c>
      <c r="C63" s="1281">
        <v>2</v>
      </c>
      <c r="D63" s="1281">
        <v>152633</v>
      </c>
      <c r="E63" s="1281">
        <v>1</v>
      </c>
      <c r="F63" s="1281">
        <v>24857</v>
      </c>
    </row>
    <row r="64" spans="1:6">
      <c r="A64" s="1280" t="s">
        <v>55</v>
      </c>
      <c r="B64" s="1280" t="s">
        <v>56</v>
      </c>
      <c r="C64" s="1281">
        <v>0</v>
      </c>
      <c r="D64" s="1281">
        <v>0</v>
      </c>
      <c r="E64" s="1281">
        <v>0</v>
      </c>
      <c r="F64" s="1281">
        <v>0</v>
      </c>
    </row>
    <row r="65" spans="1:6">
      <c r="A65" s="1280" t="s">
        <v>55</v>
      </c>
      <c r="B65" s="1280" t="s">
        <v>28</v>
      </c>
      <c r="C65" s="1281">
        <v>2</v>
      </c>
      <c r="D65" s="1281">
        <v>75945</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v>
      </c>
      <c r="F68" s="1283">
        <v>27244</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18609065</v>
      </c>
      <c r="E73" s="445"/>
      <c r="F73" s="326"/>
    </row>
    <row r="74" spans="1:6">
      <c r="A74" s="1280" t="s">
        <v>63</v>
      </c>
      <c r="B74" s="1280" t="s">
        <v>754</v>
      </c>
      <c r="C74" s="1293" t="s">
        <v>755</v>
      </c>
      <c r="D74" s="1281">
        <v>992384.65909787058</v>
      </c>
      <c r="E74" s="445"/>
      <c r="F74" s="326"/>
    </row>
    <row r="75" spans="1:6">
      <c r="A75" s="1280" t="s">
        <v>64</v>
      </c>
      <c r="B75" s="1280" t="s">
        <v>752</v>
      </c>
      <c r="C75" s="1293" t="s">
        <v>756</v>
      </c>
      <c r="D75" s="1281">
        <v>29245223</v>
      </c>
      <c r="E75" s="445"/>
      <c r="F75" s="326"/>
    </row>
    <row r="76" spans="1:6">
      <c r="A76" s="1280" t="s">
        <v>64</v>
      </c>
      <c r="B76" s="1280" t="s">
        <v>754</v>
      </c>
      <c r="C76" s="1293" t="s">
        <v>757</v>
      </c>
      <c r="D76" s="1281">
        <v>994052.65909787058</v>
      </c>
      <c r="E76" s="445"/>
      <c r="F76" s="326"/>
    </row>
    <row r="77" spans="1:6">
      <c r="A77" s="1280" t="s">
        <v>65</v>
      </c>
      <c r="B77" s="1280" t="s">
        <v>752</v>
      </c>
      <c r="C77" s="1293" t="s">
        <v>758</v>
      </c>
      <c r="D77" s="1281">
        <v>81568899</v>
      </c>
      <c r="E77" s="445"/>
      <c r="F77" s="326"/>
    </row>
    <row r="78" spans="1:6">
      <c r="A78" s="1275" t="s">
        <v>65</v>
      </c>
      <c r="B78" s="1275" t="s">
        <v>754</v>
      </c>
      <c r="C78" s="1275" t="s">
        <v>759</v>
      </c>
      <c r="D78" s="1283">
        <v>9169245</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393428.68180425896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15197.191664017113</v>
      </c>
      <c r="C90" s="326"/>
      <c r="D90" s="326"/>
      <c r="E90" s="326"/>
      <c r="F90" s="326"/>
    </row>
    <row r="91" spans="1:6">
      <c r="A91" s="1280" t="s">
        <v>67</v>
      </c>
      <c r="B91" s="1281">
        <v>1018.3146419940662</v>
      </c>
      <c r="C91" s="326"/>
      <c r="D91" s="326"/>
      <c r="E91" s="326"/>
      <c r="F91" s="326"/>
    </row>
    <row r="92" spans="1:6">
      <c r="A92" s="1275" t="s">
        <v>68</v>
      </c>
      <c r="B92" s="1276">
        <v>847.63871825912088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340</v>
      </c>
      <c r="C97" s="326"/>
      <c r="D97" s="326"/>
      <c r="E97" s="326"/>
      <c r="F97" s="326"/>
    </row>
    <row r="98" spans="1:6">
      <c r="A98" s="1280" t="s">
        <v>71</v>
      </c>
      <c r="B98" s="1281">
        <v>1</v>
      </c>
      <c r="C98" s="326"/>
      <c r="D98" s="326"/>
      <c r="E98" s="326"/>
      <c r="F98" s="326"/>
    </row>
    <row r="99" spans="1:6">
      <c r="A99" s="1280" t="s">
        <v>72</v>
      </c>
      <c r="B99" s="1281">
        <v>29</v>
      </c>
      <c r="C99" s="326"/>
      <c r="D99" s="326"/>
      <c r="E99" s="326"/>
      <c r="F99" s="326"/>
    </row>
    <row r="100" spans="1:6">
      <c r="A100" s="1280" t="s">
        <v>73</v>
      </c>
      <c r="B100" s="1281">
        <v>159</v>
      </c>
      <c r="C100" s="326"/>
      <c r="D100" s="326"/>
      <c r="E100" s="326"/>
      <c r="F100" s="326"/>
    </row>
    <row r="101" spans="1:6">
      <c r="A101" s="1280" t="s">
        <v>74</v>
      </c>
      <c r="B101" s="1281">
        <v>41</v>
      </c>
      <c r="C101" s="326"/>
      <c r="D101" s="326"/>
      <c r="E101" s="326"/>
      <c r="F101" s="326"/>
    </row>
    <row r="102" spans="1:6">
      <c r="A102" s="1280" t="s">
        <v>75</v>
      </c>
      <c r="B102" s="1281">
        <v>44</v>
      </c>
      <c r="C102" s="326"/>
      <c r="D102" s="326"/>
      <c r="E102" s="326"/>
      <c r="F102" s="326"/>
    </row>
    <row r="103" spans="1:6">
      <c r="A103" s="1280" t="s">
        <v>76</v>
      </c>
      <c r="B103" s="1281">
        <v>75</v>
      </c>
      <c r="C103" s="326"/>
      <c r="D103" s="326"/>
      <c r="E103" s="326"/>
      <c r="F103" s="326"/>
    </row>
    <row r="104" spans="1:6">
      <c r="A104" s="1280" t="s">
        <v>77</v>
      </c>
      <c r="B104" s="1281">
        <v>2517</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3</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23</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46965.714467800106</v>
      </c>
      <c r="C3" s="43" t="s">
        <v>163</v>
      </c>
      <c r="D3" s="43"/>
      <c r="E3" s="156"/>
      <c r="F3" s="43"/>
      <c r="G3" s="43"/>
      <c r="H3" s="43"/>
      <c r="I3" s="43"/>
      <c r="J3" s="43"/>
      <c r="K3" s="96"/>
    </row>
    <row r="4" spans="1:11">
      <c r="A4" s="352" t="s">
        <v>164</v>
      </c>
      <c r="B4" s="49">
        <f>IF(ISERROR('SEAP template'!B78+'SEAP template'!C78),0,'SEAP template'!B78+'SEAP template'!C78)</f>
        <v>17063.145024270299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0.14070834271138111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613.54100000000005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613.54100000000005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0.14070834271138111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86.330337295483488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17150.599999999999</v>
      </c>
      <c r="C5" s="17">
        <f>IF(ISERROR('Eigen informatie GS &amp; warmtenet'!B57),0,'Eigen informatie GS &amp; warmtenet'!B57)</f>
        <v>0</v>
      </c>
      <c r="D5" s="30">
        <f>(SUM(HH_hh_gas_kWh,HH_rest_gas_kWh)/1000)*0.902</f>
        <v>20038.362959999999</v>
      </c>
      <c r="E5" s="17">
        <f>B32*B41</f>
        <v>1214.6723086157135</v>
      </c>
      <c r="F5" s="17">
        <f>B36*B45</f>
        <v>41462.105157042475</v>
      </c>
      <c r="G5" s="18"/>
      <c r="H5" s="17"/>
      <c r="I5" s="17"/>
      <c r="J5" s="17">
        <f>B35*B44+C35*C44</f>
        <v>933.62148979281244</v>
      </c>
      <c r="K5" s="17"/>
      <c r="L5" s="17"/>
      <c r="M5" s="17"/>
      <c r="N5" s="17">
        <f>B34*B43+C34*C43</f>
        <v>4862.9583316016251</v>
      </c>
      <c r="O5" s="17">
        <f>B52*B53*B54</f>
        <v>42.21</v>
      </c>
      <c r="P5" s="17">
        <f>B60*B61*B62/1000-B60*B61*B62/1000/B63</f>
        <v>171.6</v>
      </c>
    </row>
    <row r="6" spans="1:16">
      <c r="A6" s="16" t="s">
        <v>615</v>
      </c>
      <c r="B6" s="766">
        <f>kWh_PV_kleiner_dan_10kW</f>
        <v>1018.3146419940662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18168.914641994066</v>
      </c>
      <c r="C8" s="21">
        <f>C5</f>
        <v>0</v>
      </c>
      <c r="D8" s="21">
        <f>D5</f>
        <v>20038.362959999999</v>
      </c>
      <c r="E8" s="21">
        <f>E5</f>
        <v>1214.6723086157135</v>
      </c>
      <c r="F8" s="21">
        <f>F5</f>
        <v>41462.105157042475</v>
      </c>
      <c r="G8" s="21"/>
      <c r="H8" s="21"/>
      <c r="I8" s="21"/>
      <c r="J8" s="21">
        <f>J5</f>
        <v>933.62148979281244</v>
      </c>
      <c r="K8" s="21"/>
      <c r="L8" s="21">
        <f>L5</f>
        <v>0</v>
      </c>
      <c r="M8" s="21">
        <f>M5</f>
        <v>0</v>
      </c>
      <c r="N8" s="21">
        <f>N5</f>
        <v>4862.9583316016251</v>
      </c>
      <c r="O8" s="21">
        <f>O5</f>
        <v>42.21</v>
      </c>
      <c r="P8" s="21">
        <f>P5</f>
        <v>171.6</v>
      </c>
    </row>
    <row r="9" spans="1:16">
      <c r="B9" s="19"/>
      <c r="C9" s="19"/>
      <c r="D9" s="256"/>
      <c r="E9" s="19"/>
      <c r="F9" s="19"/>
      <c r="G9" s="19"/>
      <c r="H9" s="19"/>
      <c r="I9" s="19"/>
      <c r="J9" s="19"/>
      <c r="K9" s="19"/>
      <c r="L9" s="19"/>
      <c r="M9" s="19"/>
      <c r="N9" s="19"/>
      <c r="O9" s="19"/>
      <c r="P9" s="19"/>
    </row>
    <row r="10" spans="1:16">
      <c r="A10" s="24" t="s">
        <v>207</v>
      </c>
      <c r="B10" s="25">
        <f ca="1">'EF ele_warmte'!B12</f>
        <v>0.14070834271138111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2556.5178681395314</v>
      </c>
      <c r="C12" s="23">
        <f ca="1">C10*C8</f>
        <v>0</v>
      </c>
      <c r="D12" s="23">
        <f>D8*D10</f>
        <v>4047.7493179200001</v>
      </c>
      <c r="E12" s="23">
        <f>E10*E8</f>
        <v>275.73061405576698</v>
      </c>
      <c r="F12" s="23">
        <f>F10*F8</f>
        <v>11070.382076930342</v>
      </c>
      <c r="G12" s="23"/>
      <c r="H12" s="23"/>
      <c r="I12" s="23"/>
      <c r="J12" s="23">
        <f>J10*J8</f>
        <v>330.50200738665558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3751</v>
      </c>
      <c r="C26" s="36"/>
      <c r="D26" s="226"/>
    </row>
    <row r="27" spans="1:5" s="15" customFormat="1">
      <c r="A27" s="228" t="s">
        <v>695</v>
      </c>
      <c r="B27" s="37">
        <f>SUM(HH_hh_gas_aantal,HH_rest_gas_aantal)</f>
        <v>1290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1225.5</v>
      </c>
      <c r="C31" s="34" t="s">
        <v>104</v>
      </c>
      <c r="D31" s="172"/>
    </row>
    <row r="32" spans="1:5">
      <c r="A32" s="169" t="s">
        <v>72</v>
      </c>
      <c r="B32" s="33">
        <f>IF((B21*($B$26-($B$27-0.05*$B$27)-$B$60))&lt;0,0,B21*($B$26-($B$27-0.05*$B$27)-$B$60))</f>
        <v>17.840899511041407</v>
      </c>
      <c r="C32" s="34" t="s">
        <v>104</v>
      </c>
      <c r="D32" s="172"/>
    </row>
    <row r="33" spans="1:6">
      <c r="A33" s="169" t="s">
        <v>73</v>
      </c>
      <c r="B33" s="33">
        <f>IF((B22*($B$26-($B$27-0.05*$B$27)-$B$60))&lt;0,0,B22*($B$26-($B$27-0.05*$B$27)-$B$60))</f>
        <v>511.31775265317998</v>
      </c>
      <c r="C33" s="34" t="s">
        <v>104</v>
      </c>
      <c r="D33" s="172"/>
    </row>
    <row r="34" spans="1:6">
      <c r="A34" s="169" t="s">
        <v>74</v>
      </c>
      <c r="B34" s="33">
        <f>IF((B24*($B$26-($B$27-0.05*$B$27)-$B$60))&lt;0,0,B24*($B$26-($B$27-0.05*$B$27)-$B$60))</f>
        <v>101.9621636482177</v>
      </c>
      <c r="C34" s="33">
        <f>B26*C24</f>
        <v>766.99553285222714</v>
      </c>
      <c r="D34" s="231"/>
    </row>
    <row r="35" spans="1:6">
      <c r="A35" s="169" t="s">
        <v>76</v>
      </c>
      <c r="B35" s="33">
        <f>IF((B19*($B$26-($B$27-0.05*$B$27)-$B$60))&lt;0,0,B19*($B$26-($B$27-0.05*$B$27)-$B$60))</f>
        <v>53.097915211432763</v>
      </c>
      <c r="C35" s="33">
        <f>B35/2</f>
        <v>26.548957605716382</v>
      </c>
      <c r="D35" s="231"/>
    </row>
    <row r="36" spans="1:6">
      <c r="A36" s="169" t="s">
        <v>77</v>
      </c>
      <c r="B36" s="33">
        <f>IF((B18*($B$26-($B$27-0.05*$B$27)-$B$60))&lt;0,0,B18*($B$26-($B$27-0.05*$B$27)-$B$60))</f>
        <v>1832.2812689761281</v>
      </c>
      <c r="C36" s="34" t="s">
        <v>104</v>
      </c>
      <c r="D36" s="172"/>
    </row>
    <row r="37" spans="1:6">
      <c r="A37" s="169" t="s">
        <v>78</v>
      </c>
      <c r="B37" s="33">
        <f>B60</f>
        <v>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12728.908000000001</v>
      </c>
      <c r="C5" s="17">
        <f>IF(ISERROR('Eigen informatie GS &amp; warmtenet'!B58),0,'Eigen informatie GS &amp; warmtenet'!B58)</f>
        <v>0</v>
      </c>
      <c r="D5" s="30">
        <f>SUM(D6:D12)</f>
        <v>5409.4915379999993</v>
      </c>
      <c r="E5" s="17">
        <f>SUM(E6:E12)</f>
        <v>160.43923948935659</v>
      </c>
      <c r="F5" s="17">
        <f>SUM(F6:F12)</f>
        <v>2272.9138797797364</v>
      </c>
      <c r="G5" s="18"/>
      <c r="H5" s="17"/>
      <c r="I5" s="17"/>
      <c r="J5" s="17">
        <f>SUM(J6:J12)</f>
        <v>0</v>
      </c>
      <c r="K5" s="17"/>
      <c r="L5" s="17"/>
      <c r="M5" s="17"/>
      <c r="N5" s="17">
        <f>SUM(N6:N12)</f>
        <v>556.54073985424895</v>
      </c>
      <c r="O5" s="17">
        <f>B38*B39*B40</f>
        <v>0</v>
      </c>
      <c r="P5" s="17">
        <f>B46*B47*B48/1000-B46*B47*B48/1000/B49</f>
        <v>0</v>
      </c>
      <c r="R5" s="32"/>
    </row>
    <row r="6" spans="1:18">
      <c r="A6" s="32" t="s">
        <v>53</v>
      </c>
      <c r="B6" s="37">
        <f>B26</f>
        <v>2280.1419999999998</v>
      </c>
      <c r="C6" s="33"/>
      <c r="D6" s="37">
        <f>IF(ISERROR(TER_kantoor_gas_kWh/1000),0,TER_kantoor_gas_kWh/1000)*0.902</f>
        <v>1967.3305520000001</v>
      </c>
      <c r="E6" s="33">
        <f>$C$26*'E Balans VL '!I12/100/3.6*1000000</f>
        <v>79.81393950092037</v>
      </c>
      <c r="F6" s="33">
        <f>$C$26*('E Balans VL '!L12+'E Balans VL '!N12)/100/3.6*1000000</f>
        <v>345.7184813690331</v>
      </c>
      <c r="G6" s="34"/>
      <c r="H6" s="33"/>
      <c r="I6" s="33"/>
      <c r="J6" s="33">
        <f>$C$26*('E Balans VL '!D12+'E Balans VL '!E12)/100/3.6*1000000</f>
        <v>0</v>
      </c>
      <c r="K6" s="33"/>
      <c r="L6" s="33"/>
      <c r="M6" s="33"/>
      <c r="N6" s="33">
        <f>$C$26*'E Balans VL '!Y12/100/3.6*1000000</f>
        <v>17.624783995194935</v>
      </c>
      <c r="O6" s="33"/>
      <c r="P6" s="33"/>
      <c r="R6" s="32"/>
    </row>
    <row r="7" spans="1:18">
      <c r="A7" s="32" t="s">
        <v>52</v>
      </c>
      <c r="B7" s="37">
        <f t="shared" ref="B7:B12" si="0">B27</f>
        <v>524.43600000000004</v>
      </c>
      <c r="C7" s="33"/>
      <c r="D7" s="37">
        <f>IF(ISERROR(TER_horeca_gas_kWh/1000),0,TER_horeca_gas_kWh/1000)*0.902</f>
        <v>351.39845400000002</v>
      </c>
      <c r="E7" s="33">
        <f>$C$27*'E Balans VL '!I9/100/3.6*1000000</f>
        <v>29.585163700513569</v>
      </c>
      <c r="F7" s="33">
        <f>$C$27*('E Balans VL '!L9+'E Balans VL '!N9)/100/3.6*1000000</f>
        <v>91.359653466087352</v>
      </c>
      <c r="G7" s="34"/>
      <c r="H7" s="33"/>
      <c r="I7" s="33"/>
      <c r="J7" s="33">
        <f>$C$27*('E Balans VL '!D9+'E Balans VL '!E9)/100/3.6*1000000</f>
        <v>0</v>
      </c>
      <c r="K7" s="33"/>
      <c r="L7" s="33"/>
      <c r="M7" s="33"/>
      <c r="N7" s="33">
        <f>$C$27*'E Balans VL '!Y9/100/3.6*1000000</f>
        <v>0</v>
      </c>
      <c r="O7" s="33"/>
      <c r="P7" s="33"/>
      <c r="R7" s="32"/>
    </row>
    <row r="8" spans="1:18">
      <c r="A8" s="6" t="s">
        <v>51</v>
      </c>
      <c r="B8" s="37">
        <f t="shared" si="0"/>
        <v>7062.7380000000003</v>
      </c>
      <c r="C8" s="33"/>
      <c r="D8" s="37">
        <f>IF(ISERROR(TER_handel_gas_kWh/1000),0,TER_handel_gas_kWh/1000)*0.902</f>
        <v>1649.94291</v>
      </c>
      <c r="E8" s="33">
        <f>$C$28*'E Balans VL '!I13/100/3.6*1000000</f>
        <v>36.259379328226295</v>
      </c>
      <c r="F8" s="33">
        <f>$C$28*('E Balans VL '!L13+'E Balans VL '!N13)/100/3.6*1000000</f>
        <v>1088.9650690951646</v>
      </c>
      <c r="G8" s="34"/>
      <c r="H8" s="33"/>
      <c r="I8" s="33"/>
      <c r="J8" s="33">
        <f>$C$28*('E Balans VL '!D13+'E Balans VL '!E13)/100/3.6*1000000</f>
        <v>0</v>
      </c>
      <c r="K8" s="33"/>
      <c r="L8" s="33"/>
      <c r="M8" s="33"/>
      <c r="N8" s="33">
        <f>$C$28*'E Balans VL '!Y13/100/3.6*1000000</f>
        <v>3.3033287749217921</v>
      </c>
      <c r="O8" s="33"/>
      <c r="P8" s="33"/>
      <c r="R8" s="32"/>
    </row>
    <row r="9" spans="1:18">
      <c r="A9" s="32" t="s">
        <v>50</v>
      </c>
      <c r="B9" s="37">
        <f t="shared" si="0"/>
        <v>535.97500000000002</v>
      </c>
      <c r="C9" s="33"/>
      <c r="D9" s="37">
        <f>IF(ISERROR(TER_gezond_gas_kWh/1000),0,TER_gezond_gas_kWh/1000)*0.902</f>
        <v>1027.6486</v>
      </c>
      <c r="E9" s="33">
        <f>$C$29*'E Balans VL '!I10/100/3.6*1000000</f>
        <v>0.22215782042285323</v>
      </c>
      <c r="F9" s="33">
        <f>$C$29*('E Balans VL '!L10+'E Balans VL '!N10)/100/3.6*1000000</f>
        <v>132.00295559312408</v>
      </c>
      <c r="G9" s="34"/>
      <c r="H9" s="33"/>
      <c r="I9" s="33"/>
      <c r="J9" s="33">
        <f>$C$29*('E Balans VL '!D10+'E Balans VL '!E10)/100/3.6*1000000</f>
        <v>0</v>
      </c>
      <c r="K9" s="33"/>
      <c r="L9" s="33"/>
      <c r="M9" s="33"/>
      <c r="N9" s="33">
        <f>$C$29*'E Balans VL '!Y10/100/3.6*1000000</f>
        <v>4.6321506051850374</v>
      </c>
      <c r="O9" s="33"/>
      <c r="P9" s="33"/>
      <c r="R9" s="32"/>
    </row>
    <row r="10" spans="1:18">
      <c r="A10" s="32" t="s">
        <v>49</v>
      </c>
      <c r="B10" s="37">
        <f t="shared" si="0"/>
        <v>2300.7600000000002</v>
      </c>
      <c r="C10" s="33"/>
      <c r="D10" s="37">
        <f>IF(ISERROR(TER_ander_gas_kWh/1000),0,TER_ander_gas_kWh/1000)*0.902</f>
        <v>275.49605600000001</v>
      </c>
      <c r="E10" s="33">
        <f>$C$30*'E Balans VL '!I14/100/3.6*1000000</f>
        <v>14.025489725955387</v>
      </c>
      <c r="F10" s="33">
        <f>$C$30*('E Balans VL '!L14+'E Balans VL '!N14)/100/3.6*1000000</f>
        <v>609.96299283688995</v>
      </c>
      <c r="G10" s="34"/>
      <c r="H10" s="33"/>
      <c r="I10" s="33"/>
      <c r="J10" s="33">
        <f>$C$30*('E Balans VL '!D14+'E Balans VL '!E14)/100/3.6*1000000</f>
        <v>0</v>
      </c>
      <c r="K10" s="33"/>
      <c r="L10" s="33"/>
      <c r="M10" s="33"/>
      <c r="N10" s="33">
        <f>$C$30*'E Balans VL '!Y14/100/3.6*1000000</f>
        <v>530.27546423569004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24.856999999999999</v>
      </c>
      <c r="C12" s="33"/>
      <c r="D12" s="37">
        <f>IF(ISERROR(TER_rest_gas_kWh/1000),0,TER_rest_gas_kWh/1000)*0.902</f>
        <v>137.67496600000001</v>
      </c>
      <c r="E12" s="33">
        <f>$C$32*'E Balans VL '!I8/100/3.6*1000000</f>
        <v>0.53310941331811457</v>
      </c>
      <c r="F12" s="33">
        <f>$C$32*('E Balans VL '!L8+'E Balans VL '!N8)/100/3.6*1000000</f>
        <v>4.9047274194370685</v>
      </c>
      <c r="G12" s="34"/>
      <c r="H12" s="33"/>
      <c r="I12" s="33"/>
      <c r="J12" s="33">
        <f>$C$32*('E Balans VL '!D8+'E Balans VL '!E8)/100/3.6*1000000</f>
        <v>0</v>
      </c>
      <c r="K12" s="33"/>
      <c r="L12" s="33"/>
      <c r="M12" s="33"/>
      <c r="N12" s="33">
        <f>$C$32*'E Balans VL '!Y8/100/3.6*1000000</f>
        <v>0.70501224325712453</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12728.908000000001</v>
      </c>
      <c r="C16" s="21">
        <f ca="1">C5+C13+C14</f>
        <v>0</v>
      </c>
      <c r="D16" s="21">
        <f t="shared" ref="D16:N16" ca="1" si="1">MAX((D5+D13+D14),0)</f>
        <v>5409.4915379999993</v>
      </c>
      <c r="E16" s="21">
        <f t="shared" si="1"/>
        <v>160.43923948935659</v>
      </c>
      <c r="F16" s="21">
        <f t="shared" ca="1" si="1"/>
        <v>2272.9138797797364</v>
      </c>
      <c r="G16" s="21">
        <f t="shared" si="1"/>
        <v>0</v>
      </c>
      <c r="H16" s="21">
        <f t="shared" si="1"/>
        <v>0</v>
      </c>
      <c r="I16" s="21">
        <f t="shared" si="1"/>
        <v>0</v>
      </c>
      <c r="J16" s="21">
        <f t="shared" si="1"/>
        <v>0</v>
      </c>
      <c r="K16" s="21">
        <f t="shared" si="1"/>
        <v>0</v>
      </c>
      <c r="L16" s="21">
        <f t="shared" ca="1" si="1"/>
        <v>0</v>
      </c>
      <c r="M16" s="21">
        <f t="shared" si="1"/>
        <v>0</v>
      </c>
      <c r="N16" s="21">
        <f t="shared" ca="1" si="1"/>
        <v>556.54073985424895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0.14070834271138111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1791.0635492056408</v>
      </c>
      <c r="C20" s="23">
        <f t="shared" ref="C20:P20" ca="1" si="2">C16*C18</f>
        <v>0</v>
      </c>
      <c r="D20" s="23">
        <f t="shared" ca="1" si="2"/>
        <v>1092.7172906759999</v>
      </c>
      <c r="E20" s="23">
        <f t="shared" si="2"/>
        <v>36.419707364083948</v>
      </c>
      <c r="F20" s="23">
        <f t="shared" ca="1" si="2"/>
        <v>606.86800590118969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2280.1419999999998</v>
      </c>
      <c r="C26" s="39">
        <f>IF(ISERROR(B26*3.6/1000000/'E Balans VL '!Z12*100),0,B26*3.6/1000000/'E Balans VL '!Z12*100)</f>
        <v>4.7981807059122902E-2</v>
      </c>
      <c r="D26" s="234" t="s">
        <v>700</v>
      </c>
      <c r="F26" s="6"/>
    </row>
    <row r="27" spans="1:18">
      <c r="A27" s="229" t="s">
        <v>52</v>
      </c>
      <c r="B27" s="33">
        <f>IF(ISERROR(TER_horeca_ele_kWh/1000),0,TER_horeca_ele_kWh/1000)</f>
        <v>524.43600000000004</v>
      </c>
      <c r="C27" s="39">
        <f>IF(ISERROR(B27*3.6/1000000/'E Balans VL '!Z9*100),0,B27*3.6/1000000/'E Balans VL '!Z9*100)</f>
        <v>4.4402522468486944E-2</v>
      </c>
      <c r="D27" s="234" t="s">
        <v>700</v>
      </c>
      <c r="F27" s="6"/>
    </row>
    <row r="28" spans="1:18">
      <c r="A28" s="169" t="s">
        <v>51</v>
      </c>
      <c r="B28" s="33">
        <f>IF(ISERROR(TER_handel_ele_kWh/1000),0,TER_handel_ele_kWh/1000)</f>
        <v>7062.7380000000003</v>
      </c>
      <c r="C28" s="39">
        <f>IF(ISERROR(B28*3.6/1000000/'E Balans VL '!Z13*100),0,B28*3.6/1000000/'E Balans VL '!Z13*100)</f>
        <v>0.19553092490132928</v>
      </c>
      <c r="D28" s="234" t="s">
        <v>700</v>
      </c>
      <c r="F28" s="6"/>
    </row>
    <row r="29" spans="1:18">
      <c r="A29" s="229" t="s">
        <v>50</v>
      </c>
      <c r="B29" s="33">
        <f>IF(ISERROR(TER_gezond_ele_kWh/1000),0,TER_gezond_ele_kWh/1000)</f>
        <v>535.97500000000002</v>
      </c>
      <c r="C29" s="39">
        <f>IF(ISERROR(B29*3.6/1000000/'E Balans VL '!Z10*100),0,B29*3.6/1000000/'E Balans VL '!Z10*100)</f>
        <v>6.967080802435173E-2</v>
      </c>
      <c r="D29" s="234" t="s">
        <v>700</v>
      </c>
      <c r="F29" s="6"/>
    </row>
    <row r="30" spans="1:18">
      <c r="A30" s="229" t="s">
        <v>49</v>
      </c>
      <c r="B30" s="33">
        <f>IF(ISERROR(TER_ander_ele_kWh/1000),0,TER_ander_ele_kWh/1000)</f>
        <v>2300.7600000000002</v>
      </c>
      <c r="C30" s="39">
        <f>IF(ISERROR(B30*3.6/1000000/'E Balans VL '!Z14*100),0,B30*3.6/1000000/'E Balans VL '!Z14*100)</f>
        <v>0.1783299995810185</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24.856999999999999</v>
      </c>
      <c r="C32" s="39">
        <f>IF(ISERROR(B32*3.6/1000000/'E Balans VL '!Z8*100),0,B32*3.6/1000000/'E Balans VL '!Z8*100)</f>
        <v>2.0496505307715556E-4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11096.544000000002</v>
      </c>
      <c r="C5" s="17">
        <f>IF(ISERROR('Eigen informatie GS &amp; warmtenet'!B59),0,'Eigen informatie GS &amp; warmtenet'!B59)</f>
        <v>0</v>
      </c>
      <c r="D5" s="30">
        <f>SUM(D6:D15)</f>
        <v>15790.688011999999</v>
      </c>
      <c r="E5" s="17">
        <f>SUM(E6:E15)</f>
        <v>170.82337346974609</v>
      </c>
      <c r="F5" s="17">
        <f>SUM(F6:F15)</f>
        <v>7378.5675917769704</v>
      </c>
      <c r="G5" s="18"/>
      <c r="H5" s="17"/>
      <c r="I5" s="17"/>
      <c r="J5" s="17">
        <f>SUM(J6:J15)</f>
        <v>17.18094719086513</v>
      </c>
      <c r="K5" s="17"/>
      <c r="L5" s="17"/>
      <c r="M5" s="17"/>
      <c r="N5" s="17">
        <f>SUM(N6:N15)</f>
        <v>695.38315398412897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244.16</v>
      </c>
      <c r="C8" s="33"/>
      <c r="D8" s="37">
        <f>IF( ISERROR(IND_metaal_Gas_kWH/1000),0,IND_metaal_Gas_kWH/1000)*0.902</f>
        <v>0</v>
      </c>
      <c r="E8" s="33">
        <f>C30*'E Balans VL '!I18/100/3.6*1000000</f>
        <v>1.7156584485396233</v>
      </c>
      <c r="F8" s="33">
        <f>C30*'E Balans VL '!L18/100/3.6*1000000+C30*'E Balans VL '!N18/100/3.6*1000000</f>
        <v>26.807339523397136</v>
      </c>
      <c r="G8" s="34"/>
      <c r="H8" s="33"/>
      <c r="I8" s="33"/>
      <c r="J8" s="40">
        <f>C30*'E Balans VL '!D18/100/3.6*1000000+C30*'E Balans VL '!E18/100/3.6*1000000</f>
        <v>5.0375470604551511</v>
      </c>
      <c r="K8" s="33"/>
      <c r="L8" s="33"/>
      <c r="M8" s="33"/>
      <c r="N8" s="33">
        <f>C30*'E Balans VL '!Y18/100/3.6*1000000</f>
        <v>0.91512926438433861</v>
      </c>
      <c r="O8" s="33"/>
      <c r="P8" s="33"/>
      <c r="R8" s="32"/>
    </row>
    <row r="9" spans="1:18">
      <c r="A9" s="6" t="s">
        <v>32</v>
      </c>
      <c r="B9" s="37">
        <f t="shared" si="0"/>
        <v>8956.0280000000002</v>
      </c>
      <c r="C9" s="33"/>
      <c r="D9" s="37">
        <f>IF( ISERROR(IND_andere_gas_kWh/1000),0,IND_andere_gas_kWh/1000)*0.902</f>
        <v>10231.897433999999</v>
      </c>
      <c r="E9" s="33">
        <f>C31*'E Balans VL '!I19/100/3.6*1000000</f>
        <v>150.42746174460001</v>
      </c>
      <c r="F9" s="33">
        <f>C31*'E Balans VL '!L19/100/3.6*1000000+C31*'E Balans VL '!N19/100/3.6*1000000</f>
        <v>7001.3125931328477</v>
      </c>
      <c r="G9" s="34"/>
      <c r="H9" s="33"/>
      <c r="I9" s="33"/>
      <c r="J9" s="40">
        <f>C31*'E Balans VL '!D19/100/3.6*1000000+C31*'E Balans VL '!E19/100/3.6*1000000</f>
        <v>0.80775466729354595</v>
      </c>
      <c r="K9" s="33"/>
      <c r="L9" s="33"/>
      <c r="M9" s="33"/>
      <c r="N9" s="33">
        <f>C31*'E Balans VL '!Y19/100/3.6*1000000</f>
        <v>663.78536161946511</v>
      </c>
      <c r="O9" s="33"/>
      <c r="P9" s="33"/>
      <c r="R9" s="32"/>
    </row>
    <row r="10" spans="1:18">
      <c r="A10" s="6" t="s">
        <v>40</v>
      </c>
      <c r="B10" s="37">
        <f t="shared" si="0"/>
        <v>509.44900000000001</v>
      </c>
      <c r="C10" s="33"/>
      <c r="D10" s="37">
        <f>IF( ISERROR(IND_voed_gas_kWh/1000),0,IND_voed_gas_kWh/1000)*0.902</f>
        <v>3492.568354</v>
      </c>
      <c r="E10" s="33">
        <f>C32*'E Balans VL '!I20/100/3.6*1000000</f>
        <v>4.6480009744782285</v>
      </c>
      <c r="F10" s="33">
        <f>C32*'E Balans VL '!L20/100/3.6*1000000+C32*'E Balans VL '!N20/100/3.6*1000000</f>
        <v>82.190058332192876</v>
      </c>
      <c r="G10" s="34"/>
      <c r="H10" s="33"/>
      <c r="I10" s="33"/>
      <c r="J10" s="40">
        <f>C32*'E Balans VL '!D20/100/3.6*1000000+C32*'E Balans VL '!E20/100/3.6*1000000</f>
        <v>2.0982449929322264</v>
      </c>
      <c r="K10" s="33"/>
      <c r="L10" s="33"/>
      <c r="M10" s="33"/>
      <c r="N10" s="33">
        <f>C32*'E Balans VL '!Y20/100/3.6*1000000</f>
        <v>7.4528371581890287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96.063999999999993</v>
      </c>
      <c r="C12" s="33"/>
      <c r="D12" s="37">
        <f>IF( ISERROR(IND_min_gas_kWh/1000),0,IND_min_gas_kWh/1000)*0.902</f>
        <v>0</v>
      </c>
      <c r="E12" s="33">
        <f>C34*'E Balans VL '!I22/100/3.6*1000000</f>
        <v>2.3826995087054259</v>
      </c>
      <c r="F12" s="33">
        <f>C34*'E Balans VL '!L22/100/3.6*1000000+C34*'E Balans VL '!N22/100/3.6*1000000</f>
        <v>10.207719812440752</v>
      </c>
      <c r="G12" s="34"/>
      <c r="H12" s="33"/>
      <c r="I12" s="33"/>
      <c r="J12" s="40">
        <f>C34*'E Balans VL '!D22/100/3.6*1000000+C34*'E Balans VL '!E22/100/3.6*1000000</f>
        <v>0.54569988672418701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1290.8430000000001</v>
      </c>
      <c r="C15" s="33"/>
      <c r="D15" s="37">
        <f>IF( ISERROR(IND_rest_gas_kWh/1000),0,IND_rest_gas_kWh/1000)*0.902</f>
        <v>2066.2222240000001</v>
      </c>
      <c r="E15" s="33">
        <f>C37*'E Balans VL '!I15/100/3.6*1000000</f>
        <v>11.649552793422808</v>
      </c>
      <c r="F15" s="33">
        <f>C37*'E Balans VL '!L15/100/3.6*1000000+C37*'E Balans VL '!N15/100/3.6*1000000</f>
        <v>258.04988097609242</v>
      </c>
      <c r="G15" s="34"/>
      <c r="H15" s="33"/>
      <c r="I15" s="33"/>
      <c r="J15" s="40">
        <f>C37*'E Balans VL '!D15/100/3.6*1000000+C37*'E Balans VL '!E15/100/3.6*1000000</f>
        <v>8.6917005834600189</v>
      </c>
      <c r="K15" s="33"/>
      <c r="L15" s="33"/>
      <c r="M15" s="33"/>
      <c r="N15" s="33">
        <f>C37*'E Balans VL '!Y15/100/3.6*1000000</f>
        <v>23.229825942090581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11096.544000000002</v>
      </c>
      <c r="C18" s="21">
        <f>C5+C16</f>
        <v>0</v>
      </c>
      <c r="D18" s="21">
        <f>MAX((D5+D16),0)</f>
        <v>15790.688011999999</v>
      </c>
      <c r="E18" s="21">
        <f>MAX((E5+E16),0)</f>
        <v>170.82337346974609</v>
      </c>
      <c r="F18" s="21">
        <f>MAX((F5+F16),0)</f>
        <v>7378.5675917769704</v>
      </c>
      <c r="G18" s="21"/>
      <c r="H18" s="21"/>
      <c r="I18" s="21"/>
      <c r="J18" s="21">
        <f>MAX((J5+J16),0)</f>
        <v>17.18094719086513</v>
      </c>
      <c r="K18" s="21"/>
      <c r="L18" s="21">
        <f>MAX((L5+L16),0)</f>
        <v>0</v>
      </c>
      <c r="M18" s="21"/>
      <c r="N18" s="21">
        <f>MAX((N5+N16),0)</f>
        <v>695.38315398412897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0.14070834271138111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1561.3763160639201</v>
      </c>
      <c r="C22" s="23">
        <f ca="1">C18*C20</f>
        <v>0</v>
      </c>
      <c r="D22" s="23">
        <f>D18*D20</f>
        <v>3189.7189784239999</v>
      </c>
      <c r="E22" s="23">
        <f>E18*E20</f>
        <v>38.776905777632365</v>
      </c>
      <c r="F22" s="23">
        <f>F18*F20</f>
        <v>1970.0775470044512</v>
      </c>
      <c r="G22" s="23"/>
      <c r="H22" s="23"/>
      <c r="I22" s="23"/>
      <c r="J22" s="23">
        <f>J18*J20</f>
        <v>6.0820553055662554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244.16</v>
      </c>
      <c r="C30" s="39">
        <f>IF(ISERROR(B30*3.6/1000000/'E Balans VL '!Z18*100),0,B30*3.6/1000000/'E Balans VL '!Z18*100)</f>
        <v>1.6253880296590029E-2</v>
      </c>
      <c r="D30" s="234" t="s">
        <v>700</v>
      </c>
    </row>
    <row r="31" spans="1:18">
      <c r="A31" s="6" t="s">
        <v>32</v>
      </c>
      <c r="B31" s="37">
        <f>IF( ISERROR(IND_ander_ele_kWh/1000),0,IND_ander_ele_kWh/1000)</f>
        <v>8956.0280000000002</v>
      </c>
      <c r="C31" s="39">
        <f>IF(ISERROR(B31*3.6/1000000/'E Balans VL '!Z19*100),0,B31*3.6/1000000/'E Balans VL '!Z19*100)</f>
        <v>0.39698522897703287</v>
      </c>
      <c r="D31" s="234" t="s">
        <v>700</v>
      </c>
    </row>
    <row r="32" spans="1:18">
      <c r="A32" s="169" t="s">
        <v>40</v>
      </c>
      <c r="B32" s="37">
        <f>IF( ISERROR(IND_voed_ele_kWh/1000),0,IND_voed_ele_kWh/1000)</f>
        <v>509.44900000000001</v>
      </c>
      <c r="C32" s="39">
        <f>IF(ISERROR(B32*3.6/1000000/'E Balans VL '!Z20*100),0,B32*3.6/1000000/'E Balans VL '!Z20*100)</f>
        <v>1.7017058020036283E-2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96.063999999999993</v>
      </c>
      <c r="C34" s="39">
        <f>IF(ISERROR(B34*3.6/1000000/'E Balans VL '!Z22*100),0,B34*3.6/1000000/'E Balans VL '!Z22*100)</f>
        <v>1.8683392796941371E-2</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1290.8430000000001</v>
      </c>
      <c r="C37" s="39">
        <f>IF(ISERROR(B37*3.6/1000000/'E Balans VL '!Z15*100),0,B37*3.6/1000000/'E Balans VL '!Z15*100)</f>
        <v>9.6017689568671238E-3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1440.8689999999999</v>
      </c>
      <c r="C5" s="17">
        <f>'Eigen informatie GS &amp; warmtenet'!B60</f>
        <v>0</v>
      </c>
      <c r="D5" s="30">
        <f>IF(ISERROR(SUM(LB_lb_gas_kWh,LB_rest_gas_kWh)/1000),0,SUM(LB_lb_gas_kWh,LB_rest_gas_kWh)/1000)*0.902</f>
        <v>139.09471400000001</v>
      </c>
      <c r="E5" s="17">
        <f>B17*'E Balans VL '!I25/3.6*1000000/100</f>
        <v>15.089092103417849</v>
      </c>
      <c r="F5" s="17">
        <f>B17*('E Balans VL '!L25/3.6*1000000+'E Balans VL '!N25/3.6*1000000)/100</f>
        <v>6168.0141479212089</v>
      </c>
      <c r="G5" s="18"/>
      <c r="H5" s="17"/>
      <c r="I5" s="17"/>
      <c r="J5" s="17">
        <f>('E Balans VL '!D25+'E Balans VL '!E25)/3.6*1000000*landbouw!B17/100</f>
        <v>128.68251642916792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1440.8689999999999</v>
      </c>
      <c r="C8" s="21">
        <f>C5+C6</f>
        <v>0</v>
      </c>
      <c r="D8" s="21">
        <f>MAX((D5+D6),0)</f>
        <v>139.09471400000001</v>
      </c>
      <c r="E8" s="21">
        <f>MAX((E5+E6),0)</f>
        <v>15.089092103417849</v>
      </c>
      <c r="F8" s="21">
        <f>MAX((F5+F6),0)</f>
        <v>6168.0141479212089</v>
      </c>
      <c r="G8" s="21"/>
      <c r="H8" s="21"/>
      <c r="I8" s="21"/>
      <c r="J8" s="21">
        <f>MAX((J5+J6),0)</f>
        <v>128.68251642916792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0.14070834271138111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202.74228905420497</v>
      </c>
      <c r="C12" s="23">
        <f ca="1">C8*C10</f>
        <v>0</v>
      </c>
      <c r="D12" s="23">
        <f>D8*D10</f>
        <v>28.097132228000003</v>
      </c>
      <c r="E12" s="23">
        <f>E8*E10</f>
        <v>3.4252239074758517</v>
      </c>
      <c r="F12" s="23">
        <f>F8*F10</f>
        <v>1646.8597774949628</v>
      </c>
      <c r="G12" s="23"/>
      <c r="H12" s="23"/>
      <c r="I12" s="23"/>
      <c r="J12" s="23">
        <f>J8*J10</f>
        <v>45.553610815925438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0.22177755301166746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117.7314961943939</v>
      </c>
      <c r="C26" s="244">
        <f>B26*'GWP N2O_CH4'!B5</f>
        <v>2472.3614200822717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47.295595787239272</v>
      </c>
      <c r="C27" s="244">
        <f>B27*'GWP N2O_CH4'!B5</f>
        <v>993.20751153202468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2.7086733945231418</v>
      </c>
      <c r="C28" s="244">
        <f>B28*'GWP N2O_CH4'!B4</f>
        <v>839.68875230217395</v>
      </c>
      <c r="D28" s="50"/>
    </row>
    <row r="29" spans="1:4">
      <c r="A29" s="41" t="s">
        <v>266</v>
      </c>
      <c r="B29" s="244">
        <f>B34*'ha_N2O bodem landbouw'!B4</f>
        <v>17.14840086923164</v>
      </c>
      <c r="C29" s="244">
        <f>B29*'GWP N2O_CH4'!B4</f>
        <v>5316.0042694618087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2.8339984655370324E-3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5.1502638392081713E-6</v>
      </c>
      <c r="C5" s="433" t="s">
        <v>204</v>
      </c>
      <c r="D5" s="418">
        <f>SUM(D6:D11)</f>
        <v>1.7893356549027448E-5</v>
      </c>
      <c r="E5" s="418">
        <f>SUM(E6:E11)</f>
        <v>2.059973558591271E-3</v>
      </c>
      <c r="F5" s="431" t="s">
        <v>204</v>
      </c>
      <c r="G5" s="418">
        <f>SUM(G6:G11)</f>
        <v>0.36532378266576387</v>
      </c>
      <c r="H5" s="418">
        <f>SUM(H6:H11)</f>
        <v>6.0569174276964503E-2</v>
      </c>
      <c r="I5" s="433" t="s">
        <v>204</v>
      </c>
      <c r="J5" s="433" t="s">
        <v>204</v>
      </c>
      <c r="K5" s="433" t="s">
        <v>204</v>
      </c>
      <c r="L5" s="433" t="s">
        <v>204</v>
      </c>
      <c r="M5" s="418">
        <f>SUM(M6:M11)</f>
        <v>1.8525547813970276E-2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7.071723718178962E-7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2.2390639954554973E-6</v>
      </c>
      <c r="E6" s="421">
        <f>vkm_GW_PW*SUMIFS(TableVerdeelsleutelVkm[LPG],TableVerdeelsleutelVkm[Voertuigtype],"Lichte voertuigen")*SUMIFS(TableECFTransport[EnergieConsumptieFactor (PJ per km)],TableECFTransport[Index],CONCATENATE($A6,"_LPG_LPG"))</f>
        <v>2.3332993839616392E-4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3.1079605961763498E-2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7.4559303613564998E-3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1.6820435945055312E-3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2.0637196443930124E-8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9.3027768703597899E-3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2.5187250999611507E-7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4.0076749602163079E-4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1.1113623233221705E-6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5.9801879254700966E-6</v>
      </c>
      <c r="E8" s="421">
        <f>vkm_NGW_PW*SUMIFS(TableVerdeelsleutelVkm[LPG],TableVerdeelsleutelVkm[Voertuigtype],"Lichte voertuigen")*SUMIFS(TableECFTransport[EnergieConsumptieFactor (PJ per km)],TableECFTransport[Index],CONCATENATE($A8,"_LPG_LPG"))</f>
        <v>5.8811340428691246E-4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7.4170471197996121E-2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1.8829963669415226E-2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4.061853363679863E-3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2.0671883440905439E-8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1.2907465414055361E-2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3.0452753397808423E-7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5.5605690899649817E-4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3.0997404637150988E-6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9.6741046281018529E-6</v>
      </c>
      <c r="E10" s="421">
        <f>vkm_SW_PW*SUMIFS(TableVerdeelsleutelVkm[LPG],TableVerdeelsleutelVkm[Voertuigtype],"Lichte voertuigen")*SUMIFS(TableECFTransport[EnergieConsumptieFactor (PJ per km)],TableECFTransport[Index],CONCATENATE($A10,"_LPG_LPG"))</f>
        <v>1.2385302159081948E-3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0.15492501016238072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3.4280328519509233E-2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8.2517965108696266E-3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1.9067960046817101E-7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8.2938453059208384E-2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2.3953266395716688E-6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3.573029939897129E-3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1.4306288442244921</v>
      </c>
      <c r="C14" s="21"/>
      <c r="D14" s="21">
        <f t="shared" ref="D14:M14" si="0">((D5)*10^9/3600)+D12</f>
        <v>4.970376819174291</v>
      </c>
      <c r="E14" s="21">
        <f t="shared" si="0"/>
        <v>572.2148773864642</v>
      </c>
      <c r="F14" s="21"/>
      <c r="G14" s="21">
        <f t="shared" si="0"/>
        <v>101478.82851826774</v>
      </c>
      <c r="H14" s="21">
        <f t="shared" si="0"/>
        <v>16824.770632490137</v>
      </c>
      <c r="I14" s="21"/>
      <c r="J14" s="21"/>
      <c r="K14" s="21"/>
      <c r="L14" s="21"/>
      <c r="M14" s="21">
        <f t="shared" si="0"/>
        <v>5145.9855038806318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0.14070834271138111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0.20130141370592688</v>
      </c>
      <c r="C18" s="23"/>
      <c r="D18" s="23">
        <f t="shared" ref="D18:M18" si="1">D14*D16</f>
        <v>1.0040161174732067</v>
      </c>
      <c r="E18" s="23">
        <f t="shared" si="1"/>
        <v>129.89277716672737</v>
      </c>
      <c r="F18" s="23"/>
      <c r="G18" s="23">
        <f t="shared" si="1"/>
        <v>27094.847214377485</v>
      </c>
      <c r="H18" s="23">
        <f t="shared" si="1"/>
        <v>4189.3678874900443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2.3803909062506853E-5</v>
      </c>
      <c r="C50" s="315">
        <f t="shared" ref="C50:P50" si="2">SUM(C51:C52)</f>
        <v>0</v>
      </c>
      <c r="D50" s="315">
        <f t="shared" si="2"/>
        <v>0</v>
      </c>
      <c r="E50" s="315">
        <f t="shared" si="2"/>
        <v>0</v>
      </c>
      <c r="F50" s="315">
        <f t="shared" si="2"/>
        <v>0</v>
      </c>
      <c r="G50" s="315">
        <f t="shared" si="2"/>
        <v>5.164019083235597E-3</v>
      </c>
      <c r="H50" s="315">
        <f t="shared" si="2"/>
        <v>0</v>
      </c>
      <c r="I50" s="315">
        <f t="shared" si="2"/>
        <v>0</v>
      </c>
      <c r="J50" s="315">
        <f t="shared" si="2"/>
        <v>0</v>
      </c>
      <c r="K50" s="315">
        <f t="shared" si="2"/>
        <v>0</v>
      </c>
      <c r="L50" s="315">
        <f t="shared" si="2"/>
        <v>0</v>
      </c>
      <c r="M50" s="315">
        <f t="shared" si="2"/>
        <v>2.2110346086086558E-4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2.3803909062506853E-5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5.164019083235597E-3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2.2110346086086558E-4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6.6121969618074594</v>
      </c>
      <c r="C54" s="21">
        <f t="shared" ref="C54:P54" si="3">(C50)*10^9/3600</f>
        <v>0</v>
      </c>
      <c r="D54" s="21">
        <f t="shared" si="3"/>
        <v>0</v>
      </c>
      <c r="E54" s="21">
        <f t="shared" si="3"/>
        <v>0</v>
      </c>
      <c r="F54" s="21">
        <f t="shared" si="3"/>
        <v>0</v>
      </c>
      <c r="G54" s="21">
        <f t="shared" si="3"/>
        <v>1434.4497453432214</v>
      </c>
      <c r="H54" s="21">
        <f t="shared" si="3"/>
        <v>0</v>
      </c>
      <c r="I54" s="21">
        <f t="shared" si="3"/>
        <v>0</v>
      </c>
      <c r="J54" s="21">
        <f t="shared" si="3"/>
        <v>0</v>
      </c>
      <c r="K54" s="21">
        <f t="shared" si="3"/>
        <v>0</v>
      </c>
      <c r="L54" s="21">
        <f t="shared" si="3"/>
        <v>0</v>
      </c>
      <c r="M54" s="21">
        <f t="shared" si="3"/>
        <v>61.417628016907109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0.14070834271138111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0.93039127617715689</v>
      </c>
      <c r="C58" s="23">
        <f t="shared" ref="C58:P58" ca="1" si="4">C54*C56</f>
        <v>0</v>
      </c>
      <c r="D58" s="23">
        <f t="shared" si="4"/>
        <v>0</v>
      </c>
      <c r="E58" s="23">
        <f t="shared" si="4"/>
        <v>0</v>
      </c>
      <c r="F58" s="23">
        <f t="shared" si="4"/>
        <v>0</v>
      </c>
      <c r="G58" s="23">
        <f t="shared" si="4"/>
        <v>382.99808200664012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15197.191664017113</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1865.9533602531869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17063.145024270299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2021-11-11T13:49:54Z</dcterms:modified>
</cp:coreProperties>
</file>