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30840DF-7D6B-4155-A653-C7ACE62B705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<sst xmlns="http://schemas.openxmlformats.org/spreadsheetml/2006/main" count="2579" uniqueCount="982">
  <si>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</si>
  <si>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</si>
  <si>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</si>
  <si>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</si>
  <si>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</si>
  <si>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</si>
  <si>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</si>
  <si>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</si>
  <si>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</si>
  <si>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</si>
  <si>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</si>
  <si>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</si>
  <si>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</si>
  <si>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</si>
  <si>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</si>
  <si>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</si>
  <si>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</si>
  <si>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</si>
  <si>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</si>
  <si>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</si>
  <si>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</si>
  <si>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</si>
  <si>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</si>
  <si>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</si>
  <si>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</si>
  <si>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</si>
  <si>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</si>
  <si>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</si>
  <si>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</si>
  <si>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</si>
  <si>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</si>
  <si>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</si>
  <si>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</si>
  <si>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</si>
  <si>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</si>
  <si>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</si>
  <si>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</si>
  <si>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</si>
  <si>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</si>
  <si>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</si>
  <si>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</si>
  <si>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</si>
  <si>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</si>
  <si>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</si>
  <si>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</si>
  <si>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</si>
  <si>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</si>
  <si>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</si>
  <si>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</si>
  <si>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</si>
  <si>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</si>
  <si>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</si>
  <si>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</si>
  <si>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</si>
  <si>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</si>
  <si>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</si>
  <si>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</si>
  <si>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</si>
  <si>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</si>
  <si>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</si>
  <si>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</si>
  <si>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</si>
  <si>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</si>
  <si>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</si>
  <si>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</si>
  <si>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</si>
  <si>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</si>
  <si>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</si>
  <si>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</si>
  <si>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</si>
  <si>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</si>
  <si>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</si>
  <si>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</si>
  <si>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</si>
  <si>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</si>
  <si>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</si>
  <si>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</si>
  <si>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</si>
  <si>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</si>
  <si>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</si>
  <si>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</si>
  <si>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</si>
  <si>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</si>
  <si>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</si>
  <si>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</si>
  <si>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</si>
  <si>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</si>
  <si>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</si>
  <si>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</si>
  <si>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</si>
  <si>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</si>
  <si>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</si>
  <si>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</si>
  <si>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</si>
  <si>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</si>
  <si>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</si>
  <si>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</si>
  <si>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</si>
  <si>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</si>
  <si>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</si>
  <si>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</si>
  <si>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</si>
  <si>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</si>
  <si>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</si>
  <si>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</si>
  <si>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</si>
  <si>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</si>
  <si>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</si>
  <si>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</si>
  <si>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</si>
  <si>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</si>
  <si>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</si>
  <si>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</si>
  <si>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</si>
  <si>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</si>
  <si>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</si>
  <si>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</si>
  <si>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</si>
  <si>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</si>
  <si>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</si>
  <si>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</si>
  <si>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</si>
  <si>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</si>
  <si>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</si>
  <si>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</si>
  <si>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</si>
  <si>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</si>
  <si>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</si>
  <si>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</si>
  <si>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</si>
  <si>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</si>
  <si>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</si>
  <si>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</si>
  <si>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</si>
  <si>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</si>
  <si>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</si>
  <si>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</si>
  <si>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</si>
  <si>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</si>
  <si>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</si>
  <si>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</si>
  <si>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</si>
  <si>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</si>
  <si>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</si>
  <si>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</si>
  <si>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</si>
  <si>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</si>
  <si>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</si>
  <si>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</si>
  <si>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</si>
  <si>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</si>
  <si>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</si>
  <si>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</si>
  <si>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</si>
  <si>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</si>
  <si>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</si>
  <si>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</si>
  <si>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</si>
  <si>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</si>
  <si>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</si>
  <si>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</si>
  <si>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</si>
  <si>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</si>
  <si>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</si>
  <si>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</si>
  <si>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</si>
  <si>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</si>
  <si>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</si>
  <si>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</si>
  <si>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</si>
  <si>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</si>
  <si>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</si>
  <si>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</si>
  <si>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</si>
  <si>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</si>
  <si>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</si>
  <si>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</si>
  <si>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</si>
  <si>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</si>
  <si>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</si>
  <si>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</si>
  <si>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</si>
  <si>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</si>
  <si>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</si>
  <si>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</si>
  <si>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</si>
  <si>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</si>
  <si>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</si>
  <si>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</si>
  <si>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</si>
  <si>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</si>
  <si>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</si>
  <si>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</si>
  <si>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</si>
  <si>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</si>
  <si>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</si>
  <si>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</si>
  <si>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</si>
  <si>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</si>
  <si>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</si>
  <si>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</si>
  <si>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</si>
  <si>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</si>
  <si>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</si>
  <si>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</si>
  <si>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</si>
  <si>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</si>
  <si>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</si>
  <si>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</si>
  <si>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</si>
  <si>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</si>
  <si>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</si>
  <si>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</si>
  <si>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</si>
  <si>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</si>
  <si>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</si>
  <si>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</si>
  <si>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</si>
  <si>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</si>
  <si>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</si>
  <si>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</si>
  <si>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</si>
  <si>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</si>
  <si>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</si>
  <si>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</si>
  <si>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</si>
  <si>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</si>
  <si>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</si>
  <si>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</si>
  <si>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</si>
  <si>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</si>
  <si>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</si>
  <si>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</si>
  <si>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</si>
  <si>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</si>
  <si>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</si>
  <si>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</si>
  <si>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</si>
  <si>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</si>
  <si>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</si>
  <si>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</si>
  <si>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</si>
  <si>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</si>
  <si>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</si>
  <si>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</si>
  <si>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</si>
  <si>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</si>
  <si>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</si>
  <si>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</si>
  <si>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</si>
  <si>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</si>
  <si>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</si>
  <si>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</si>
  <si>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</si>
  <si>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</si>
  <si>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</si>
  <si>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</si>
  <si>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</si>
  <si>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</si>
  <si>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</si>
  <si>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</si>
  <si>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</si>
  <si>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</si>
  <si>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</si>
  <si>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</si>
  <si>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</si>
  <si>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</si>
  <si>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</si>
  <si>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</si>
  <si>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</si>
  <si>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</si>
  <si>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</si>
  <si>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</si>
  <si>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</si>
  <si>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</si>
  <si>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</si>
  <si>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</si>
  <si>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</si>
  <si>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</si>
  <si>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</si>
  <si>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</si>
  <si>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</si>
  <si>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</si>
  <si>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</si>
  <si>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</si>
  <si>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</si>
  <si>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</si>
  <si>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</si>
  <si>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</si>
  <si>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</si>
  <si>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</si>
  <si>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</si>
  <si>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</si>
  <si>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</si>
  <si>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</si>
  <si>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</si>
  <si>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</si>
  <si>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</si>
  <si>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</si>
  <si>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</si>
  <si>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</si>
  <si>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</si>
  <si>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</si>
  <si>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</si>
  <si>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</si>
  <si>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</si>
  <si>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</si>
  <si>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</si>
  <si>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</si>
  <si>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</si>
  <si>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</si>
  <si>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</si>
  <si>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</si>
  <si>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</si>
  <si>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</si>
  <si>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</si>
  <si>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</si>
  <si>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</si>
  <si>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</si>
  <si>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</si>
  <si>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</si>
  <si>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</si>
  <si>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</si>
  <si>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</si>
  <si>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</si>
  <si>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</si>
  <si>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</si>
  <si>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</si>
  <si>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</si>
  <si>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</si>
  <si>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</si>
  <si>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</si>
  <si>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</si>
  <si>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</si>
  <si>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</si>
  <si>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</si>
  <si>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</si>
  <si>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</si>
  <si>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</si>
  <si>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</si>
  <si>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</si>
  <si>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</si>
  <si>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</si>
  <si>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</si>
  <si>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</si>
  <si>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</si>
  <si>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</si>
  <si>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</si>
  <si>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</si>
  <si>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</si>
  <si>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</si>
  <si>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</si>
  <si>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</si>
  <si>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</si>
  <si>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</si>
  <si>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</si>
  <si>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</si>
  <si>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</si>
  <si>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</si>
  <si>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</si>
  <si>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</si>
  <si>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</si>
  <si>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</si>
  <si>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</si>
  <si>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</si>
  <si>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</si>
  <si>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</si>
  <si>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</si>
  <si>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</si>
  <si>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</si>
  <si>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</si>
  <si>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</si>
  <si>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</si>
  <si>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</si>
  <si>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</si>
  <si>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</si>
  <si>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</si>
  <si>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</si>
  <si>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</si>
  <si>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</si>
  <si>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</si>
  <si>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</si>
  <si>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</si>
  <si>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</si>
  <si>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</si>
  <si>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</si>
  <si>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</si>
  <si>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</si>
  <si>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</si>
  <si>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</si>
  <si>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</si>
  <si>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</si>
  <si>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</si>
  <si>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</si>
  <si>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</si>
  <si>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</si>
  <si>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</si>
  <si>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</si>
  <si>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</si>
  <si>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</si>
  <si>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</si>
  <si>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</si>
  <si>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</si>
  <si>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</si>
  <si>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</si>
  <si>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</si>
  <si>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</si>
  <si>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</si>
  <si>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</si>
  <si>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</si>
  <si>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</si>
  <si>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</si>
  <si>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</si>
  <si>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</si>
  <si>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</si>
  <si>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</si>
  <si>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</si>
  <si>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</si>
  <si>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</si>
  <si>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</si>
  <si>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</si>
  <si>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</si>
  <si>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</si>
  <si>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</si>
  <si>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</si>
  <si>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</si>
  <si>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</si>
  <si>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</si>
  <si>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</si>
  <si>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</si>
  <si>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</si>
  <si>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</si>
  <si>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</si>
  <si>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</si>
  <si>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</si>
  <si>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</si>
  <si>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</si>
  <si>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</si>
  <si>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</si>
  <si>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</si>
  <si>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</si>
  <si>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</si>
  <si>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</si>
  <si>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</si>
  <si>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</si>
  <si>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</si>
  <si>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</si>
  <si>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</si>
  <si>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</si>
  <si>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</si>
  <si>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</si>
  <si>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</si>
  <si>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</si>
  <si>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</si>
  <si>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</si>
  <si>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</si>
  <si>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</si>
  <si>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</si>
  <si>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</si>
  <si>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</si>
  <si>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</si>
  <si>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</si>
  <si>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</si>
  <si>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</si>
  <si>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</si>
  <si>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</si>
  <si>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</si>
  <si>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</si>
  <si>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</si>
  <si>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</si>
  <si>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</si>
  <si>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</si>
  <si>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</si>
  <si>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</si>
  <si>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</si>
  <si>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</si>
  <si>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</si>
  <si>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</si>
  <si>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</si>
  <si>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</si>
  <si>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</si>
  <si>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</si>
  <si>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</si>
  <si>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</si>
  <si>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</si>
  <si>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</si>
  <si>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</si>
  <si>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</si>
  <si>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</si>
  <si>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</si>
  <si>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</si>
  <si>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</si>
  <si>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</si>
  <si>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</si>
  <si>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</si>
  <si>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</si>
  <si>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</si>
  <si>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</si>
  <si>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</si>
  <si>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</si>
  <si>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</si>
  <si>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</si>
  <si>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</si>
  <si>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</si>
  <si>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</si>
  <si>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</si>
  <si>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</si>
  <si>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</si>
  <si>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</si>
  <si>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</si>
  <si>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</si>
  <si>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</si>
  <si>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</si>
  <si>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</si>
  <si>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</si>
  <si>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</si>
  <si>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</si>
  <si>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</si>
  <si>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</si>
  <si>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</si>
  <si>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</si>
  <si>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</si>
  <si>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</si>
  <si>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</si>
  <si>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</si>
  <si>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</si>
  <si>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</si>
  <si>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</si>
  <si>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</si>
  <si>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</si>
  <si>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</si>
  <si>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</si>
  <si>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</si>
  <si>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</si>
  <si>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</si>
  <si>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</si>
  <si>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</si>
  <si>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</si>
  <si>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</si>
  <si>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</si>
  <si>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</si>
  <si>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</si>
  <si>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</si>
  <si>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</si>
  <si>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</si>
  <si>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</si>
  <si>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</si>
  <si>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</si>
  <si>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</si>
  <si>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</si>
  <si>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</si>
  <si>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</si>
  <si>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</si>
  <si>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</si>
  <si>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</si>
  <si>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</si>
  <si>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</si>
  <si>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</si>
  <si>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</si>
  <si>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</si>
  <si>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</si>
  <si>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</si>
  <si>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</si>
  <si>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</si>
  <si>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</si>
  <si>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</si>
  <si>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</si>
  <si>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</si>
  <si>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</si>
  <si>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</si>
  <si>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</si>
  <si>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</si>
  <si>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</si>
  <si>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</si>
  <si>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</si>
  <si>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</si>
  <si>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</si>
  <si>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</si>
  <si>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</si>
  <si>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</si>
  <si>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</si>
  <si>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</si>
  <si>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</si>
  <si>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</si>
  <si>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</si>
  <si>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</si>
  <si>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</si>
  <si>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</si>
  <si>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</si>
  <si>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</si>
  <si>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</si>
  <si>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</si>
  <si>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</si>
  <si>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</si>
  <si>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</si>
  <si>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</si>
  <si>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</si>
  <si>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</si>
  <si>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</si>
  <si>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</si>
  <si>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</si>
  <si>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</si>
  <si>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</si>
  <si>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</si>
  <si>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</si>
  <si>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</si>
  <si>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</si>
  <si>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</si>
  <si>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</si>
  <si>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</si>
  <si>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</si>
  <si>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</si>
  <si>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</si>
  <si>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</si>
  <si>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</si>
  <si>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</si>
  <si>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</si>
  <si>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</si>
  <si>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</si>
  <si>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</si>
  <si>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</si>
  <si>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</si>
  <si>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</si>
  <si>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</si>
  <si>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</si>
  <si>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</si>
  <si>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</si>
  <si>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</si>
  <si>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</si>
  <si>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</si>
  <si>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</si>
  <si>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</si>
  <si>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</si>
  <si>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</si>
  <si>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</si>
  <si>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</si>
  <si>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</si>
  <si>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</si>
  <si>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</si>
  <si>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</si>
  <si>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</si>
  <si>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</si>
  <si>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</si>
  <si>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</si>
  <si>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</si>
  <si>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</si>
  <si>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</si>
  <si>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</si>
  <si>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</si>
  <si>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</si>
  <si>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</si>
  <si>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</si>
  <si>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</si>
  <si>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</si>
  <si>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</si>
  <si>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</si>
  <si>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</si>
  <si>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</si>
  <si>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</si>
  <si>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</si>
  <si>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</si>
  <si>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</si>
  <si>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</si>
  <si>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</si>
  <si>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</si>
  <si>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</si>
  <si>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</si>
  <si>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</si>
  <si>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</si>
  <si>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</si>
  <si>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</si>
  <si>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</si>
  <si>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</si>
  <si>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</si>
  <si>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</si>
  <si>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</si>
  <si>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</si>
  <si>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</si>
  <si>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</si>
  <si>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</si>
  <si>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</si>
  <si>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</si>
  <si>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</si>
  <si>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</si>
  <si>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</si>
  <si>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</si>
  <si>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</si>
  <si>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</si>
  <si>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</si>
  <si>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</si>
  <si>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</si>
  <si>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</si>
  <si>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</si>
  <si>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</si>
  <si>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</si>
  <si>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</si>
  <si>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</si>
  <si>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</si>
  <si>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</si>
  <si>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</si>
  <si>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</si>
  <si>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</si>
  <si>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</si>
  <si>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</si>
  <si>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</si>
  <si>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</si>
  <si>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</si>
  <si>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</si>
  <si>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</si>
  <si>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</si>
  <si>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</si>
  <si>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</si>
  <si>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</si>
  <si>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</si>
  <si>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</si>
  <si>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</si>
  <si>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</si>
  <si>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</si>
  <si>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</si>
  <si>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</si>
  <si>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</si>
  <si>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</si>
  <si>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</si>
  <si>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</si>
  <si>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</si>
  <si>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</si>
  <si>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</si>
  <si>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</si>
  <si>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</si>
  <si>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</si>
  <si>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</si>
  <si>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</si>
  <si>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</si>
  <si>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</si>
  <si>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</si>
  <si>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</si>
  <si>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</si>
  <si>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</si>
  <si>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</si>
  <si>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</si>
  <si>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</si>
  <si>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</si>
  <si>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</si>
  <si>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</si>
  <si>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</si>
  <si>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</si>
  <si>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</si>
  <si>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</si>
  <si>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</si>
  <si>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</si>
  <si>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</si>
  <si>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</si>
  <si>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</si>
  <si>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</si>
  <si>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</si>
  <si>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</si>
  <si>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</si>
  <si>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</si>
  <si>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</si>
  <si>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</si>
  <si>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</si>
  <si>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</si>
  <si>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</si>
  <si>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</si>
  <si>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</si>
  <si>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</si>
  <si>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</si>
  <si>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</si>
  <si>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</si>
  <si>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</si>
  <si>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</si>
  <si>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</si>
  <si>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</si>
  <si>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</si>
  <si>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</si>
  <si>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</si>
  <si>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</si>
  <si>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</si>
  <si>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</si>
  <si>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</si>
  <si>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</si>
  <si>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</si>
  <si>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</si>
  <si>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</si>
  <si>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</si>
  <si>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</si>
  <si>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</si>
  <si>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</si>
  <si>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</si>
  <si>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</si>
  <si>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</si>
  <si>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</si>
  <si>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</si>
  <si>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</si>
  <si>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</si>
  <si>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</si>
  <si>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</si>
  <si>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</si>
  <si>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</si>
  <si>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</si>
  <si>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</si>
  <si>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</si>
  <si>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</si>
  <si>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</si>
  <si>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</si>
  <si>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</si>
  <si>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</si>
  <si>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</si>
  <si>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</si>
  <si>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</si>
  <si>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</si>
  <si>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</si>
  <si>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</si>
  <si>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</si>
  <si>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</si>
  <si>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</si>
  <si>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</si>
  <si>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</si>
  <si>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</si>
  <si>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</si>
  <si>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</si>
  <si>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</si>
  <si>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</si>
  <si>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</si>
  <si>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</si>
  <si>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</si>
  <si>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</si>
  <si>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</si>
  <si>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</si>
  <si>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</si>
  <si>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</si>
  <si>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</si>
  <si>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</si>
  <si>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</si>
  <si>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</si>
  <si>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</si>
  <si>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</si>
  <si>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</si>
  <si>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</si>
  <si>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</si>
  <si>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</si>
  <si>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</si>
  <si>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</si>
  <si>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</si>
  <si>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</si>
  <si>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</si>
  <si>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</si>
  <si>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</si>
  <si>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</si>
  <si>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</si>
  <si>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</si>
  <si>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</si>
  <si>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</si>
  <si>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</si>
  <si>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</si>
  <si>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</si>
  <si>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</si>
  <si>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</si>
  <si>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</si>
  <si>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</si>
  <si>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</si>
  <si>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</si>
  <si>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</si>
  <si>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</si>
  <si>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</si>
  <si>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</si>
  <si>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</si>
  <si>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</si>
  <si>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</si>
  <si>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</si>
  <si>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</si>
  <si>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</si>
  <si>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</si>
  <si>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</si>
  <si>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</si>
  <si>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</si>
  <si>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</si>
  <si>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</si>
  <si>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</si>
  <si>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</si>
  <si>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</si>
  <si>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</si>
  <si>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</si>
  <si>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</si>
  <si>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</si>
  <si>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</si>
  <si>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</si>
  <si>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</si>
  <si>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</si>
  <si>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</si>
  <si>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</si>
  <si>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</si>
  <si>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</si>
  <si>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</si>
  <si>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</si>
  <si>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</si>
  <si>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</si>
  <si>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</si>
  <si>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</si>
  <si>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</si>
  <si>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</si>
  <si>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</si>
  <si>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</si>
  <si>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</si>
  <si>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</si>
  <si>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</si>
  <si>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</si>
  <si>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</si>
  <si>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</si>
  <si>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</si>
  <si>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</si>
  <si>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</si>
  <si>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</si>
  <si>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</si>
  <si>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</si>
  <si>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</si>
  <si>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</si>
  <si>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</si>
  <si>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</si>
  <si>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</si>
  <si>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</si>
  <si>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</si>
  <si>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</si>
  <si>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</si>
  <si>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</si>
  <si>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</si>
  <si>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</si>
  <si>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</si>
  <si>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</si>
  <si>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</si>
  <si>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</si>
  <si>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</si>
  <si>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</si>
  <si>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</si>
  <si>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</si>
  <si>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</si>
  <si>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</si>
  <si>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</si>
  <si>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</si>
  <si>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</si>
  <si>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</si>
  <si>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</si>
  <si>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</si>
  <si>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</si>
  <si>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</si>
  <si>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</si>
  <si>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</si>
  <si>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</si>
  <si>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</si>
  <si>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</si>
  <si>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</si>
  <si>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</si>
  <si>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</si>
  <si>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</si>
  <si>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</si>
  <si>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</si>
  <si>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</si>
  <si>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</si>
  <si>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</si>
  <si>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</si>
  <si>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</si>
  <si>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</si>
  <si>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</si>
  <si>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</si>
  <si>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</si>
  <si>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</si>
  <si>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</si>
  <si>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</si>
  <si>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</si>
  <si>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</si>
  <si>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71016</t>
  </si>
  <si>
    <t>GENK</t>
  </si>
  <si>
    <t>Paarden&amp;pony's 200 - 600 kg</t>
  </si>
  <si>
    <t>Paarden&amp;pony's &lt; 200 kg</t>
  </si>
  <si>
    <t>Fluvius</t>
  </si>
  <si>
    <t xml:space="preserve">Bron: </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</si>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</sst>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670F9D9-D9F3-47AE-86AB-3F2B970B166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71016</v>
      </c>
      <c r="B6" s="384"/>
      <c r="C6" s="385"/>
    </row>
    <row r="7" spans="1:7" s="382" customFormat="1" ht="15.75" customHeight="1">
      <c r="A7" s="386" t="str">
        <f>txtMunicipality</f>
        <v>GENK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135660.97399999999</v>
      </c>
      <c r="D10" s="674">
        <f ca="1">tertiair!C16</f>
        <v>109.28571428571429</v>
      </c>
      <c r="E10" s="674">
        <f ca="1">tertiair!D16</f>
        <v>94000.467265428568</v>
      </c>
      <c r="F10" s="674">
        <f>tertiair!E16</f>
        <v>2754.3108131280528</v>
      </c>
      <c r="G10" s="674">
        <f ca="1">tertiair!F16</f>
        <v>24109.087141316413</v>
      </c>
      <c r="H10" s="674">
        <f>tertiair!G16</f>
        <v>0</v>
      </c>
      <c r="I10" s="674">
        <f>tertiair!H16</f>
        <v>0</v>
      </c>
      <c r="J10" s="674">
        <f>tertiair!I16</f>
        <v>0</v>
      </c>
      <c r="K10" s="674">
        <f>tertiair!J16</f>
        <v>0</v>
      </c>
      <c r="L10" s="674">
        <f>tertiair!K16</f>
        <v>0</v>
      </c>
      <c r="M10" s="674">
        <f ca="1">tertiair!L16</f>
        <v>0</v>
      </c>
      <c r="N10" s="674">
        <f>tertiair!M16</f>
        <v>0</v>
      </c>
      <c r="O10" s="674">
        <f ca="1">tertiair!N16</f>
        <v>558.80055714502714</v>
      </c>
      <c r="P10" s="674">
        <f>tertiair!O16</f>
        <v>4.6900000000000004</v>
      </c>
      <c r="Q10" s="675">
        <f>tertiair!P16</f>
        <v>76.266666666666666</v>
      </c>
      <c r="R10" s="677">
        <f ca="1">SUM(C10:Q10)</f>
        <v>257273.88215797042</v>
      </c>
      <c r="S10" s="67"/>
    </row>
    <row r="11" spans="1:19" s="443" customFormat="1">
      <c r="A11" s="789" t="s">
        <v>214</v>
      </c>
      <c r="B11" s="794"/>
      <c r="C11" s="674">
        <f>huishoudens!B8</f>
        <v>139015.15817968221</v>
      </c>
      <c r="D11" s="674">
        <f>huishoudens!C8</f>
        <v>0</v>
      </c>
      <c r="E11" s="674">
        <f>huishoudens!D8</f>
        <v>147862.634766</v>
      </c>
      <c r="F11" s="674">
        <f>huishoudens!E8</f>
        <v>7532.8749121136416</v>
      </c>
      <c r="G11" s="674">
        <f>huishoudens!F8</f>
        <v>257130.13256788955</v>
      </c>
      <c r="H11" s="674">
        <f>huishoudens!G8</f>
        <v>0</v>
      </c>
      <c r="I11" s="674">
        <f>huishoudens!H8</f>
        <v>0</v>
      </c>
      <c r="J11" s="674">
        <f>huishoudens!I8</f>
        <v>0</v>
      </c>
      <c r="K11" s="674">
        <f>huishoudens!J8</f>
        <v>5789.918686699415</v>
      </c>
      <c r="L11" s="674">
        <f>huishoudens!K8</f>
        <v>0</v>
      </c>
      <c r="M11" s="674">
        <f>huishoudens!L8</f>
        <v>0</v>
      </c>
      <c r="N11" s="674">
        <f>huishoudens!M8</f>
        <v>0</v>
      </c>
      <c r="O11" s="674">
        <f>huishoudens!N8</f>
        <v>31742.524162640129</v>
      </c>
      <c r="P11" s="674">
        <f>huishoudens!O8</f>
        <v>286.09000000000003</v>
      </c>
      <c r="Q11" s="675">
        <f>huishoudens!P8</f>
        <v>877.06666666666661</v>
      </c>
      <c r="R11" s="677">
        <f>SUM(C11:Q11)</f>
        <v>590236.39994169155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268526.23200000002</v>
      </c>
      <c r="D13" s="674">
        <f>industrie!C18</f>
        <v>0</v>
      </c>
      <c r="E13" s="674">
        <f>industrie!D18</f>
        <v>96941.638200000001</v>
      </c>
      <c r="F13" s="674">
        <f>industrie!E18</f>
        <v>3176.1972028781979</v>
      </c>
      <c r="G13" s="674">
        <f>industrie!F18</f>
        <v>97615.778902447579</v>
      </c>
      <c r="H13" s="674">
        <f>industrie!G18</f>
        <v>0</v>
      </c>
      <c r="I13" s="674">
        <f>industrie!H18</f>
        <v>0</v>
      </c>
      <c r="J13" s="674">
        <f>industrie!I18</f>
        <v>0</v>
      </c>
      <c r="K13" s="674">
        <f>industrie!J18</f>
        <v>1344.1196199720571</v>
      </c>
      <c r="L13" s="674">
        <f>industrie!K18</f>
        <v>0</v>
      </c>
      <c r="M13" s="674">
        <f>industrie!L18</f>
        <v>0</v>
      </c>
      <c r="N13" s="674">
        <f>industrie!M18</f>
        <v>0</v>
      </c>
      <c r="O13" s="674">
        <f>industrie!N18</f>
        <v>8731.847603313925</v>
      </c>
      <c r="P13" s="674">
        <f>industrie!O18</f>
        <v>0</v>
      </c>
      <c r="Q13" s="675">
        <f>industrie!P18</f>
        <v>0</v>
      </c>
      <c r="R13" s="677">
        <f>SUM(C13:Q13)</f>
        <v>476335.81352861173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543202.36417968222</v>
      </c>
      <c r="D16" s="707">
        <f t="shared" ref="D16:R16" ca="1" si="0">SUM(D9:D15)</f>
        <v>109.28571428571429</v>
      </c>
      <c r="E16" s="707">
        <f t="shared" ca="1" si="0"/>
        <v>338804.74023142859</v>
      </c>
      <c r="F16" s="707">
        <f t="shared" si="0"/>
        <v>13463.382928119892</v>
      </c>
      <c r="G16" s="707">
        <f t="shared" ca="1" si="0"/>
        <v>378854.99861165357</v>
      </c>
      <c r="H16" s="707">
        <f t="shared" si="0"/>
        <v>0</v>
      </c>
      <c r="I16" s="707">
        <f t="shared" si="0"/>
        <v>0</v>
      </c>
      <c r="J16" s="707">
        <f t="shared" si="0"/>
        <v>0</v>
      </c>
      <c r="K16" s="707">
        <f t="shared" si="0"/>
        <v>7134.0383066714721</v>
      </c>
      <c r="L16" s="707">
        <f t="shared" si="0"/>
        <v>0</v>
      </c>
      <c r="M16" s="707">
        <f t="shared" ca="1" si="0"/>
        <v>0</v>
      </c>
      <c r="N16" s="707">
        <f t="shared" si="0"/>
        <v>0</v>
      </c>
      <c r="O16" s="707">
        <f t="shared" ca="1" si="0"/>
        <v>41033.172323099083</v>
      </c>
      <c r="P16" s="707">
        <f t="shared" si="0"/>
        <v>290.78000000000003</v>
      </c>
      <c r="Q16" s="707">
        <f t="shared" si="0"/>
        <v>953.33333333333326</v>
      </c>
      <c r="R16" s="707">
        <f t="shared" ca="1" si="0"/>
        <v>1323846.0956282737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76.868944320097853</v>
      </c>
      <c r="D19" s="674">
        <f>transport!C54</f>
        <v>0</v>
      </c>
      <c r="E19" s="674">
        <f>transport!D54</f>
        <v>0</v>
      </c>
      <c r="F19" s="674">
        <f>transport!E54</f>
        <v>0</v>
      </c>
      <c r="G19" s="674">
        <f>transport!F54</f>
        <v>0</v>
      </c>
      <c r="H19" s="674">
        <f>transport!G54</f>
        <v>16675.945716932412</v>
      </c>
      <c r="I19" s="674">
        <f>transport!H54</f>
        <v>0</v>
      </c>
      <c r="J19" s="674">
        <f>transport!I54</f>
        <v>0</v>
      </c>
      <c r="K19" s="674">
        <f>transport!J54</f>
        <v>0</v>
      </c>
      <c r="L19" s="674">
        <f>transport!K54</f>
        <v>0</v>
      </c>
      <c r="M19" s="674">
        <f>transport!L54</f>
        <v>0</v>
      </c>
      <c r="N19" s="674">
        <f>transport!M54</f>
        <v>713.99993913877415</v>
      </c>
      <c r="O19" s="674">
        <f>transport!N54</f>
        <v>0</v>
      </c>
      <c r="P19" s="674">
        <f>transport!O54</f>
        <v>0</v>
      </c>
      <c r="Q19" s="675">
        <f>transport!P54</f>
        <v>0</v>
      </c>
      <c r="R19" s="677">
        <f>SUM(C19:Q19)</f>
        <v>17466.814600391284</v>
      </c>
      <c r="S19" s="67"/>
    </row>
    <row r="20" spans="1:19" s="443" customFormat="1">
      <c r="A20" s="789" t="s">
        <v>296</v>
      </c>
      <c r="B20" s="794"/>
      <c r="C20" s="674">
        <f>transport!B14</f>
        <v>5.1355483546040439</v>
      </c>
      <c r="D20" s="674">
        <f>transport!C14</f>
        <v>0</v>
      </c>
      <c r="E20" s="674">
        <f>transport!D14</f>
        <v>16.831243625357409</v>
      </c>
      <c r="F20" s="674">
        <f>transport!E14</f>
        <v>1844.3028886257496</v>
      </c>
      <c r="G20" s="674">
        <f>transport!F14</f>
        <v>0</v>
      </c>
      <c r="H20" s="674">
        <f>transport!G14</f>
        <v>358404.87371207314</v>
      </c>
      <c r="I20" s="674">
        <f>transport!H14</f>
        <v>56392.46079006503</v>
      </c>
      <c r="J20" s="674">
        <f>transport!I14</f>
        <v>0</v>
      </c>
      <c r="K20" s="674">
        <f>transport!J14</f>
        <v>0</v>
      </c>
      <c r="L20" s="674">
        <f>transport!K14</f>
        <v>0</v>
      </c>
      <c r="M20" s="674">
        <f>transport!L14</f>
        <v>0</v>
      </c>
      <c r="N20" s="674">
        <f>transport!M14</f>
        <v>18035.253285823983</v>
      </c>
      <c r="O20" s="674">
        <f>transport!N14</f>
        <v>0</v>
      </c>
      <c r="P20" s="674">
        <f>transport!O14</f>
        <v>0</v>
      </c>
      <c r="Q20" s="675">
        <f>transport!P14</f>
        <v>0</v>
      </c>
      <c r="R20" s="677">
        <f>SUM(C20:Q20)</f>
        <v>434698.85746856791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82.004492674701893</v>
      </c>
      <c r="D22" s="792">
        <f t="shared" ref="D22:R22" si="1">SUM(D18:D21)</f>
        <v>0</v>
      </c>
      <c r="E22" s="792">
        <f t="shared" si="1"/>
        <v>16.831243625357409</v>
      </c>
      <c r="F22" s="792">
        <f t="shared" si="1"/>
        <v>1844.3028886257496</v>
      </c>
      <c r="G22" s="792">
        <f t="shared" si="1"/>
        <v>0</v>
      </c>
      <c r="H22" s="792">
        <f t="shared" si="1"/>
        <v>375080.81942900555</v>
      </c>
      <c r="I22" s="792">
        <f t="shared" si="1"/>
        <v>56392.46079006503</v>
      </c>
      <c r="J22" s="792">
        <f t="shared" si="1"/>
        <v>0</v>
      </c>
      <c r="K22" s="792">
        <f t="shared" si="1"/>
        <v>0</v>
      </c>
      <c r="L22" s="792">
        <f t="shared" si="1"/>
        <v>0</v>
      </c>
      <c r="M22" s="792">
        <f t="shared" si="1"/>
        <v>0</v>
      </c>
      <c r="N22" s="792">
        <f t="shared" si="1"/>
        <v>18749.253224962758</v>
      </c>
      <c r="O22" s="792">
        <f t="shared" si="1"/>
        <v>0</v>
      </c>
      <c r="P22" s="792">
        <f t="shared" si="1"/>
        <v>0</v>
      </c>
      <c r="Q22" s="792">
        <f t="shared" si="1"/>
        <v>0</v>
      </c>
      <c r="R22" s="792">
        <f t="shared" si="1"/>
        <v>452165.67206895922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272.40899999999999</v>
      </c>
      <c r="D24" s="674">
        <f>+landbouw!C8</f>
        <v>0</v>
      </c>
      <c r="E24" s="674">
        <f>+landbouw!D8</f>
        <v>61.961086000000002</v>
      </c>
      <c r="F24" s="674">
        <f>+landbouw!E8</f>
        <v>2.8527260221435484</v>
      </c>
      <c r="G24" s="674">
        <f>+landbouw!F8</f>
        <v>1166.1175068802704</v>
      </c>
      <c r="H24" s="674">
        <f>+landbouw!G8</f>
        <v>0</v>
      </c>
      <c r="I24" s="674">
        <f>+landbouw!H8</f>
        <v>0</v>
      </c>
      <c r="J24" s="674">
        <f>+landbouw!I8</f>
        <v>0</v>
      </c>
      <c r="K24" s="674">
        <f>+landbouw!J8</f>
        <v>24.328565343520609</v>
      </c>
      <c r="L24" s="674">
        <f>+landbouw!K8</f>
        <v>0</v>
      </c>
      <c r="M24" s="674">
        <f>+landbouw!L8</f>
        <v>0</v>
      </c>
      <c r="N24" s="674">
        <f>+landbouw!M8</f>
        <v>0</v>
      </c>
      <c r="O24" s="674">
        <f>+landbouw!N8</f>
        <v>0</v>
      </c>
      <c r="P24" s="674">
        <f>+landbouw!O8</f>
        <v>0</v>
      </c>
      <c r="Q24" s="675">
        <f>+landbouw!P8</f>
        <v>0</v>
      </c>
      <c r="R24" s="677">
        <f>SUM(C24:Q24)</f>
        <v>1527.6688842459344</v>
      </c>
      <c r="S24" s="67"/>
    </row>
    <row r="25" spans="1:19" s="443" customFormat="1" ht="15" thickBot="1">
      <c r="A25" s="811" t="s">
        <v>889</v>
      </c>
      <c r="B25" s="966"/>
      <c r="C25" s="967">
        <f>IF(Onbekend_ele_kWh="---",0,Onbekend_ele_kWh)/1000+IF(REST_rest_ele_kWh="---",0,REST_rest_ele_kWh)/1000</f>
        <v>8940.6049999999996</v>
      </c>
      <c r="D25" s="967"/>
      <c r="E25" s="967">
        <f>IF(onbekend_gas_kWh="---",0,onbekend_gas_kWh)/1000+IF(REST_rest_gas_kWh="---",0,REST_rest_gas_kWh)/1000</f>
        <v>10422.581</v>
      </c>
      <c r="F25" s="967"/>
      <c r="G25" s="967"/>
      <c r="H25" s="967"/>
      <c r="I25" s="967"/>
      <c r="J25" s="967"/>
      <c r="K25" s="967"/>
      <c r="L25" s="967"/>
      <c r="M25" s="967"/>
      <c r="N25" s="967"/>
      <c r="O25" s="967"/>
      <c r="P25" s="967"/>
      <c r="Q25" s="968"/>
      <c r="R25" s="677">
        <f>SUM(C25:Q25)</f>
        <v>19363.186000000002</v>
      </c>
      <c r="S25" s="67"/>
    </row>
    <row r="26" spans="1:19" s="443" customFormat="1" ht="15.75" thickBot="1">
      <c r="A26" s="680" t="s">
        <v>890</v>
      </c>
      <c r="B26" s="797"/>
      <c r="C26" s="792">
        <f>SUM(C24:C25)</f>
        <v>9213.0139999999992</v>
      </c>
      <c r="D26" s="792">
        <f t="shared" ref="D26:R26" si="2">SUM(D24:D25)</f>
        <v>0</v>
      </c>
      <c r="E26" s="792">
        <f t="shared" si="2"/>
        <v>10484.542085999999</v>
      </c>
      <c r="F26" s="792">
        <f t="shared" si="2"/>
        <v>2.8527260221435484</v>
      </c>
      <c r="G26" s="792">
        <f t="shared" si="2"/>
        <v>1166.1175068802704</v>
      </c>
      <c r="H26" s="792">
        <f t="shared" si="2"/>
        <v>0</v>
      </c>
      <c r="I26" s="792">
        <f t="shared" si="2"/>
        <v>0</v>
      </c>
      <c r="J26" s="792">
        <f t="shared" si="2"/>
        <v>0</v>
      </c>
      <c r="K26" s="792">
        <f t="shared" si="2"/>
        <v>24.328565343520609</v>
      </c>
      <c r="L26" s="792">
        <f t="shared" si="2"/>
        <v>0</v>
      </c>
      <c r="M26" s="792">
        <f t="shared" si="2"/>
        <v>0</v>
      </c>
      <c r="N26" s="792">
        <f t="shared" si="2"/>
        <v>0</v>
      </c>
      <c r="O26" s="792">
        <f t="shared" si="2"/>
        <v>0</v>
      </c>
      <c r="P26" s="792">
        <f t="shared" si="2"/>
        <v>0</v>
      </c>
      <c r="Q26" s="792">
        <f t="shared" si="2"/>
        <v>0</v>
      </c>
      <c r="R26" s="792">
        <f t="shared" si="2"/>
        <v>20890.854884245935</v>
      </c>
      <c r="S26" s="67"/>
    </row>
    <row r="27" spans="1:19" s="443" customFormat="1" ht="17.25" thickTop="1" thickBot="1">
      <c r="A27" s="681" t="s">
        <v>109</v>
      </c>
      <c r="B27" s="784"/>
      <c r="C27" s="682">
        <f ca="1">C22+C16+C26</f>
        <v>552497.38267235691</v>
      </c>
      <c r="D27" s="682">
        <f t="shared" ref="D27:R27" ca="1" si="3">D22+D16+D26</f>
        <v>109.28571428571429</v>
      </c>
      <c r="E27" s="682">
        <f t="shared" ca="1" si="3"/>
        <v>349306.11356105393</v>
      </c>
      <c r="F27" s="682">
        <f t="shared" si="3"/>
        <v>15310.538542767785</v>
      </c>
      <c r="G27" s="682">
        <f t="shared" ca="1" si="3"/>
        <v>380021.11611853383</v>
      </c>
      <c r="H27" s="682">
        <f t="shared" si="3"/>
        <v>375080.81942900555</v>
      </c>
      <c r="I27" s="682">
        <f t="shared" si="3"/>
        <v>56392.46079006503</v>
      </c>
      <c r="J27" s="682">
        <f t="shared" si="3"/>
        <v>0</v>
      </c>
      <c r="K27" s="682">
        <f t="shared" si="3"/>
        <v>7158.3668720149926</v>
      </c>
      <c r="L27" s="682">
        <f t="shared" si="3"/>
        <v>0</v>
      </c>
      <c r="M27" s="682">
        <f t="shared" ca="1" si="3"/>
        <v>0</v>
      </c>
      <c r="N27" s="682">
        <f t="shared" si="3"/>
        <v>18749.253224962758</v>
      </c>
      <c r="O27" s="682">
        <f t="shared" ca="1" si="3"/>
        <v>41033.172323099083</v>
      </c>
      <c r="P27" s="682">
        <f t="shared" si="3"/>
        <v>290.78000000000003</v>
      </c>
      <c r="Q27" s="682">
        <f t="shared" si="3"/>
        <v>953.33333333333326</v>
      </c>
      <c r="R27" s="682">
        <f t="shared" ca="1" si="3"/>
        <v>1796902.6225814787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28651.685079806</v>
      </c>
      <c r="D40" s="674">
        <f ca="1">tertiair!C20</f>
        <v>25.971428571428575</v>
      </c>
      <c r="E40" s="674">
        <f ca="1">tertiair!D20</f>
        <v>18988.094387616573</v>
      </c>
      <c r="F40" s="674">
        <f>tertiair!E20</f>
        <v>625.22855458006802</v>
      </c>
      <c r="G40" s="674">
        <f ca="1">tertiair!F20</f>
        <v>6437.1262667314822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54728.105717305552</v>
      </c>
    </row>
    <row r="41" spans="1:18">
      <c r="A41" s="802" t="s">
        <v>214</v>
      </c>
      <c r="B41" s="809"/>
      <c r="C41" s="674">
        <f ca="1">huishoudens!B12</f>
        <v>29360.090938781494</v>
      </c>
      <c r="D41" s="674">
        <f ca="1">huishoudens!C12</f>
        <v>0</v>
      </c>
      <c r="E41" s="674">
        <f>huishoudens!D12</f>
        <v>29868.252222732004</v>
      </c>
      <c r="F41" s="674">
        <f>huishoudens!E12</f>
        <v>1709.9626050497966</v>
      </c>
      <c r="G41" s="674">
        <f>huishoudens!F12</f>
        <v>68653.745395626509</v>
      </c>
      <c r="H41" s="674">
        <f>huishoudens!G12</f>
        <v>0</v>
      </c>
      <c r="I41" s="674">
        <f>huishoudens!H12</f>
        <v>0</v>
      </c>
      <c r="J41" s="674">
        <f>huishoudens!I12</f>
        <v>0</v>
      </c>
      <c r="K41" s="674">
        <f>huishoudens!J12</f>
        <v>2049.6312150915928</v>
      </c>
      <c r="L41" s="674">
        <f>huishoudens!K12</f>
        <v>0</v>
      </c>
      <c r="M41" s="674">
        <f>huishoudens!L12</f>
        <v>0</v>
      </c>
      <c r="N41" s="674">
        <f>huishoudens!M12</f>
        <v>0</v>
      </c>
      <c r="O41" s="674">
        <f>huishoudens!N12</f>
        <v>0</v>
      </c>
      <c r="P41" s="674">
        <f>huishoudens!O12</f>
        <v>0</v>
      </c>
      <c r="Q41" s="749">
        <f>huishoudens!P12</f>
        <v>0</v>
      </c>
      <c r="R41" s="830">
        <f t="shared" ca="1" si="4"/>
        <v>131641.6823772814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56712.913139860881</v>
      </c>
      <c r="D43" s="674">
        <f ca="1">industrie!C22</f>
        <v>0</v>
      </c>
      <c r="E43" s="674">
        <f>industrie!D22</f>
        <v>19582.210916400003</v>
      </c>
      <c r="F43" s="674">
        <f>industrie!E22</f>
        <v>720.99676505335094</v>
      </c>
      <c r="G43" s="674">
        <f>industrie!F22</f>
        <v>26063.412966953503</v>
      </c>
      <c r="H43" s="674">
        <f>industrie!G22</f>
        <v>0</v>
      </c>
      <c r="I43" s="674">
        <f>industrie!H22</f>
        <v>0</v>
      </c>
      <c r="J43" s="674">
        <f>industrie!I22</f>
        <v>0</v>
      </c>
      <c r="K43" s="674">
        <f>industrie!J22</f>
        <v>475.81834547010817</v>
      </c>
      <c r="L43" s="674">
        <f>industrie!K22</f>
        <v>0</v>
      </c>
      <c r="M43" s="674">
        <f>industrie!L22</f>
        <v>0</v>
      </c>
      <c r="N43" s="674">
        <f>industrie!M22</f>
        <v>0</v>
      </c>
      <c r="O43" s="674">
        <f>industrie!N22</f>
        <v>0</v>
      </c>
      <c r="P43" s="674">
        <f>industrie!O22</f>
        <v>0</v>
      </c>
      <c r="Q43" s="749">
        <f>industrie!P22</f>
        <v>0</v>
      </c>
      <c r="R43" s="829">
        <f t="shared" ca="1" si="4"/>
        <v>103555.35213373785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114724.68915844837</v>
      </c>
      <c r="D46" s="707">
        <f t="shared" ref="D46:Q46" ca="1" si="5">SUM(D39:D45)</f>
        <v>25.971428571428575</v>
      </c>
      <c r="E46" s="707">
        <f t="shared" ca="1" si="5"/>
        <v>68438.557526748584</v>
      </c>
      <c r="F46" s="707">
        <f t="shared" si="5"/>
        <v>3056.1879246832154</v>
      </c>
      <c r="G46" s="707">
        <f t="shared" ca="1" si="5"/>
        <v>101154.2846293115</v>
      </c>
      <c r="H46" s="707">
        <f t="shared" si="5"/>
        <v>0</v>
      </c>
      <c r="I46" s="707">
        <f t="shared" si="5"/>
        <v>0</v>
      </c>
      <c r="J46" s="707">
        <f t="shared" si="5"/>
        <v>0</v>
      </c>
      <c r="K46" s="707">
        <f t="shared" si="5"/>
        <v>2525.4495605617012</v>
      </c>
      <c r="L46" s="707">
        <f t="shared" si="5"/>
        <v>0</v>
      </c>
      <c r="M46" s="707">
        <f t="shared" ca="1" si="5"/>
        <v>0</v>
      </c>
      <c r="N46" s="707">
        <f t="shared" si="5"/>
        <v>0</v>
      </c>
      <c r="O46" s="707">
        <f t="shared" ca="1" si="5"/>
        <v>0</v>
      </c>
      <c r="P46" s="707">
        <f t="shared" si="5"/>
        <v>0</v>
      </c>
      <c r="Q46" s="707">
        <f t="shared" si="5"/>
        <v>0</v>
      </c>
      <c r="R46" s="707">
        <f ca="1">SUM(R39:R45)</f>
        <v>289925.1402283248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16.234770547029875</v>
      </c>
      <c r="D49" s="674">
        <f ca="1">transport!C58</f>
        <v>0</v>
      </c>
      <c r="E49" s="674">
        <f>transport!D58</f>
        <v>0</v>
      </c>
      <c r="F49" s="674">
        <f>transport!E58</f>
        <v>0</v>
      </c>
      <c r="G49" s="674">
        <f>transport!F58</f>
        <v>0</v>
      </c>
      <c r="H49" s="674">
        <f>transport!G58</f>
        <v>4452.4775064209543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4468.7122769679845</v>
      </c>
    </row>
    <row r="50" spans="1:18">
      <c r="A50" s="805" t="s">
        <v>296</v>
      </c>
      <c r="B50" s="815"/>
      <c r="C50" s="973">
        <f ca="1">transport!B18</f>
        <v>1.0846311199876166</v>
      </c>
      <c r="D50" s="973">
        <f>transport!C18</f>
        <v>0</v>
      </c>
      <c r="E50" s="973">
        <f>transport!D18</f>
        <v>3.3999112123221971</v>
      </c>
      <c r="F50" s="973">
        <f>transport!E18</f>
        <v>418.65675571804519</v>
      </c>
      <c r="G50" s="973">
        <f>transport!F18</f>
        <v>0</v>
      </c>
      <c r="H50" s="973">
        <f>transport!G18</f>
        <v>95694.101281123527</v>
      </c>
      <c r="I50" s="973">
        <f>transport!H18</f>
        <v>14041.722736726193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110158.96531590007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17.319401667017491</v>
      </c>
      <c r="D52" s="707">
        <f t="shared" ref="D52:Q52" ca="1" si="6">SUM(D48:D51)</f>
        <v>0</v>
      </c>
      <c r="E52" s="707">
        <f t="shared" si="6"/>
        <v>3.3999112123221971</v>
      </c>
      <c r="F52" s="707">
        <f t="shared" si="6"/>
        <v>418.65675571804519</v>
      </c>
      <c r="G52" s="707">
        <f t="shared" si="6"/>
        <v>0</v>
      </c>
      <c r="H52" s="707">
        <f t="shared" si="6"/>
        <v>100146.57878754448</v>
      </c>
      <c r="I52" s="707">
        <f t="shared" si="6"/>
        <v>14041.722736726193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114627.67759286806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57.532956242116263</v>
      </c>
      <c r="D54" s="973">
        <f ca="1">+landbouw!C12</f>
        <v>0</v>
      </c>
      <c r="E54" s="973">
        <f>+landbouw!D12</f>
        <v>12.516139372000001</v>
      </c>
      <c r="F54" s="973">
        <f>+landbouw!E12</f>
        <v>0.64756880702658548</v>
      </c>
      <c r="G54" s="973">
        <f>+landbouw!F12</f>
        <v>311.35337433703222</v>
      </c>
      <c r="H54" s="973">
        <f>+landbouw!G12</f>
        <v>0</v>
      </c>
      <c r="I54" s="973">
        <f>+landbouw!H12</f>
        <v>0</v>
      </c>
      <c r="J54" s="973">
        <f>+landbouw!I12</f>
        <v>0</v>
      </c>
      <c r="K54" s="973">
        <f>+landbouw!J12</f>
        <v>8.6123121316062949</v>
      </c>
      <c r="L54" s="973">
        <f>+landbouw!K12</f>
        <v>0</v>
      </c>
      <c r="M54" s="973">
        <f>+landbouw!L12</f>
        <v>0</v>
      </c>
      <c r="N54" s="973">
        <f>+landbouw!M12</f>
        <v>0</v>
      </c>
      <c r="O54" s="973">
        <f>+landbouw!N12</f>
        <v>0</v>
      </c>
      <c r="P54" s="973">
        <f>+landbouw!O12</f>
        <v>0</v>
      </c>
      <c r="Q54" s="974">
        <f>+landbouw!P12</f>
        <v>0</v>
      </c>
      <c r="R54" s="706">
        <f ca="1">SUM(C54:Q54)</f>
        <v>390.66235088978141</v>
      </c>
    </row>
    <row r="55" spans="1:18" ht="15" thickBot="1">
      <c r="A55" s="805" t="s">
        <v>889</v>
      </c>
      <c r="B55" s="815"/>
      <c r="C55" s="973">
        <f ca="1">C25*'EF ele_warmte'!B12</f>
        <v>1888.2615341014646</v>
      </c>
      <c r="D55" s="973"/>
      <c r="E55" s="973">
        <f>E25*EF_CO2_aardgas</f>
        <v>2105.3613620000001</v>
      </c>
      <c r="F55" s="973"/>
      <c r="G55" s="973"/>
      <c r="H55" s="973"/>
      <c r="I55" s="973"/>
      <c r="J55" s="973"/>
      <c r="K55" s="973"/>
      <c r="L55" s="973"/>
      <c r="M55" s="973"/>
      <c r="N55" s="973"/>
      <c r="O55" s="973"/>
      <c r="P55" s="973"/>
      <c r="Q55" s="974"/>
      <c r="R55" s="706">
        <f ca="1">SUM(C55:Q55)</f>
        <v>3993.6228961014649</v>
      </c>
    </row>
    <row r="56" spans="1:18" ht="15.75" thickBot="1">
      <c r="A56" s="803" t="s">
        <v>890</v>
      </c>
      <c r="B56" s="816"/>
      <c r="C56" s="707">
        <f ca="1">SUM(C54:C55)</f>
        <v>1945.7944903435809</v>
      </c>
      <c r="D56" s="707">
        <f t="shared" ref="D56:Q56" ca="1" si="7">SUM(D54:D55)</f>
        <v>0</v>
      </c>
      <c r="E56" s="707">
        <f t="shared" si="7"/>
        <v>2117.8775013720001</v>
      </c>
      <c r="F56" s="707">
        <f t="shared" si="7"/>
        <v>0.64756880702658548</v>
      </c>
      <c r="G56" s="707">
        <f t="shared" si="7"/>
        <v>311.35337433703222</v>
      </c>
      <c r="H56" s="707">
        <f t="shared" si="7"/>
        <v>0</v>
      </c>
      <c r="I56" s="707">
        <f t="shared" si="7"/>
        <v>0</v>
      </c>
      <c r="J56" s="707">
        <f t="shared" si="7"/>
        <v>0</v>
      </c>
      <c r="K56" s="707">
        <f t="shared" si="7"/>
        <v>8.6123121316062949</v>
      </c>
      <c r="L56" s="707">
        <f t="shared" si="7"/>
        <v>0</v>
      </c>
      <c r="M56" s="707">
        <f t="shared" si="7"/>
        <v>0</v>
      </c>
      <c r="N56" s="707">
        <f t="shared" si="7"/>
        <v>0</v>
      </c>
      <c r="O56" s="707">
        <f t="shared" si="7"/>
        <v>0</v>
      </c>
      <c r="P56" s="707">
        <f t="shared" si="7"/>
        <v>0</v>
      </c>
      <c r="Q56" s="708">
        <f t="shared" si="7"/>
        <v>0</v>
      </c>
      <c r="R56" s="709">
        <f ca="1">SUM(R54:R55)</f>
        <v>4384.2852469912459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116687.80305045897</v>
      </c>
      <c r="D61" s="715">
        <f t="shared" ref="D61:Q61" ca="1" si="8">D46+D52+D56</f>
        <v>25.971428571428575</v>
      </c>
      <c r="E61" s="715">
        <f t="shared" ca="1" si="8"/>
        <v>70559.834939332912</v>
      </c>
      <c r="F61" s="715">
        <f t="shared" si="8"/>
        <v>3475.4922492082874</v>
      </c>
      <c r="G61" s="715">
        <f t="shared" ca="1" si="8"/>
        <v>101465.63800364854</v>
      </c>
      <c r="H61" s="715">
        <f t="shared" si="8"/>
        <v>100146.57878754448</v>
      </c>
      <c r="I61" s="715">
        <f t="shared" si="8"/>
        <v>14041.722736726193</v>
      </c>
      <c r="J61" s="715">
        <f t="shared" si="8"/>
        <v>0</v>
      </c>
      <c r="K61" s="715">
        <f t="shared" si="8"/>
        <v>2534.0618726933076</v>
      </c>
      <c r="L61" s="715">
        <f t="shared" si="8"/>
        <v>0</v>
      </c>
      <c r="M61" s="715">
        <f t="shared" ca="1" si="8"/>
        <v>0</v>
      </c>
      <c r="N61" s="715">
        <f t="shared" si="8"/>
        <v>0</v>
      </c>
      <c r="O61" s="715">
        <f t="shared" ca="1" si="8"/>
        <v>0</v>
      </c>
      <c r="P61" s="715">
        <f t="shared" si="8"/>
        <v>0</v>
      </c>
      <c r="Q61" s="715">
        <f t="shared" si="8"/>
        <v>0</v>
      </c>
      <c r="R61" s="715">
        <f ca="1">R46+R52+R56</f>
        <v>408937.10306818411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0.21120064403935357</v>
      </c>
      <c r="D63" s="759">
        <f t="shared" ca="1" si="9"/>
        <v>0.23764705882352943</v>
      </c>
      <c r="E63" s="975">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6607.4746365291803</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17019.061653660436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76.5</v>
      </c>
      <c r="D76" s="985">
        <f>'lokale energieproductie'!C8</f>
        <v>90.000000000000014</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18.180000000000003</v>
      </c>
      <c r="R76" s="832">
        <v>0</v>
      </c>
    </row>
    <row r="77" spans="1:18" ht="30.75" thickBot="1">
      <c r="A77" s="728" t="s">
        <v>340</v>
      </c>
      <c r="B77" s="725">
        <f>'lokale energieproductie'!B9*IFERROR(SUM(I77:O77)/SUM(D77:O77),0)</f>
        <v>877.5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2507.1428571428573</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24504.036290189615</v>
      </c>
      <c r="C78" s="730">
        <f>SUM(C72:C77)</f>
        <v>76.5</v>
      </c>
      <c r="D78" s="731">
        <f t="shared" ref="D78:H78" si="10">SUM(D76:D77)</f>
        <v>90.000000000000014</v>
      </c>
      <c r="E78" s="731">
        <f t="shared" si="10"/>
        <v>0</v>
      </c>
      <c r="F78" s="731">
        <f t="shared" si="10"/>
        <v>0</v>
      </c>
      <c r="G78" s="731">
        <f t="shared" si="10"/>
        <v>0</v>
      </c>
      <c r="H78" s="731">
        <f t="shared" si="10"/>
        <v>0</v>
      </c>
      <c r="I78" s="731">
        <f>SUM(I76:I77)</f>
        <v>0</v>
      </c>
      <c r="J78" s="731">
        <f>SUM(J76:J77)</f>
        <v>2507.1428571428573</v>
      </c>
      <c r="K78" s="731">
        <f t="shared" ref="K78:L78" si="11">SUM(K76:K77)</f>
        <v>0</v>
      </c>
      <c r="L78" s="731">
        <f t="shared" si="11"/>
        <v>0</v>
      </c>
      <c r="M78" s="731">
        <f>SUM(M76:M77)</f>
        <v>0</v>
      </c>
      <c r="N78" s="731">
        <f>SUM(N76:N77)</f>
        <v>0</v>
      </c>
      <c r="O78" s="840">
        <f>SUM(O76:O77)</f>
        <v>0</v>
      </c>
      <c r="P78" s="732">
        <v>0</v>
      </c>
      <c r="Q78" s="732">
        <f>SUM(Q76:Q77)</f>
        <v>18.180000000000003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109.28571428571429</v>
      </c>
      <c r="D87" s="752">
        <f>'lokale energieproductie'!C17</f>
        <v>128.57142857142858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25.971428571428575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109.28571428571429</v>
      </c>
      <c r="D90" s="730">
        <f t="shared" ref="D90:H90" si="12">SUM(D87:D89)</f>
        <v>128.57142857142858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25.971428571428575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139015.15817968221</v>
      </c>
      <c r="C4" s="447">
        <f>huishoudens!C8</f>
        <v>0</v>
      </c>
      <c r="D4" s="447">
        <f>huishoudens!D8</f>
        <v>147862.634766</v>
      </c>
      <c r="E4" s="447">
        <f>huishoudens!E8</f>
        <v>7532.8749121136416</v>
      </c>
      <c r="F4" s="447">
        <f>huishoudens!F8</f>
        <v>257130.13256788955</v>
      </c>
      <c r="G4" s="447">
        <f>huishoudens!G8</f>
        <v>0</v>
      </c>
      <c r="H4" s="447">
        <f>huishoudens!H8</f>
        <v>0</v>
      </c>
      <c r="I4" s="447">
        <f>huishoudens!I8</f>
        <v>0</v>
      </c>
      <c r="J4" s="447">
        <f>huishoudens!J8</f>
        <v>5789.918686699415</v>
      </c>
      <c r="K4" s="447">
        <f>huishoudens!K8</f>
        <v>0</v>
      </c>
      <c r="L4" s="447">
        <f>huishoudens!L8</f>
        <v>0</v>
      </c>
      <c r="M4" s="447">
        <f>huishoudens!M8</f>
        <v>0</v>
      </c>
      <c r="N4" s="447">
        <f>huishoudens!N8</f>
        <v>31742.524162640129</v>
      </c>
      <c r="O4" s="447">
        <f>huishoudens!O8</f>
        <v>286.09000000000003</v>
      </c>
      <c r="P4" s="448">
        <f>huishoudens!P8</f>
        <v>877.06666666666661</v>
      </c>
      <c r="Q4" s="449">
        <f>SUM(B4:P4)</f>
        <v>590236.39994169155</v>
      </c>
    </row>
    <row r="5" spans="1:17">
      <c r="A5" s="446" t="s">
        <v>149</v>
      </c>
      <c r="B5" s="447">
        <f ca="1">tertiair!B16</f>
        <v>131978.008</v>
      </c>
      <c r="C5" s="447">
        <f ca="1">tertiair!C16</f>
        <v>109.28571428571429</v>
      </c>
      <c r="D5" s="447">
        <f ca="1">tertiair!D16</f>
        <v>94000.467265428568</v>
      </c>
      <c r="E5" s="447">
        <f>tertiair!E16</f>
        <v>2754.3108131280528</v>
      </c>
      <c r="F5" s="447">
        <f ca="1">tertiair!F16</f>
        <v>24109.087141316413</v>
      </c>
      <c r="G5" s="447">
        <f>tertiair!G16</f>
        <v>0</v>
      </c>
      <c r="H5" s="447">
        <f>tertiair!H16</f>
        <v>0</v>
      </c>
      <c r="I5" s="447">
        <f>tertiair!I16</f>
        <v>0</v>
      </c>
      <c r="J5" s="447">
        <f>tertiair!J16</f>
        <v>0</v>
      </c>
      <c r="K5" s="447">
        <f>tertiair!K16</f>
        <v>0</v>
      </c>
      <c r="L5" s="447">
        <f ca="1">tertiair!L16</f>
        <v>0</v>
      </c>
      <c r="M5" s="447">
        <f>tertiair!M16</f>
        <v>0</v>
      </c>
      <c r="N5" s="447">
        <f ca="1">tertiair!N16</f>
        <v>558.80055714502714</v>
      </c>
      <c r="O5" s="447">
        <f>tertiair!O16</f>
        <v>4.6900000000000004</v>
      </c>
      <c r="P5" s="448">
        <f>tertiair!P16</f>
        <v>76.266666666666666</v>
      </c>
      <c r="Q5" s="446">
        <f t="shared" ref="Q5:Q14" ca="1" si="0">SUM(B5:P5)</f>
        <v>253590.91615797044</v>
      </c>
    </row>
    <row r="6" spans="1:17">
      <c r="A6" s="446" t="s">
        <v>187</v>
      </c>
      <c r="B6" s="447">
        <f>'openbare verlichting'!B8</f>
        <v>3682.9659999999999</v>
      </c>
      <c r="C6" s="447"/>
      <c r="D6" s="447"/>
      <c r="E6" s="447"/>
      <c r="F6" s="447"/>
      <c r="G6" s="447"/>
      <c r="H6" s="447"/>
      <c r="I6" s="447"/>
      <c r="J6" s="447"/>
      <c r="K6" s="447"/>
      <c r="L6" s="447"/>
      <c r="M6" s="447"/>
      <c r="N6" s="447"/>
      <c r="O6" s="447"/>
      <c r="P6" s="448"/>
      <c r="Q6" s="446">
        <f t="shared" si="0"/>
        <v>3682.9659999999999</v>
      </c>
    </row>
    <row r="7" spans="1:17">
      <c r="A7" s="446" t="s">
        <v>105</v>
      </c>
      <c r="B7" s="447">
        <f>landbouw!B8</f>
        <v>272.40899999999999</v>
      </c>
      <c r="C7" s="447">
        <f>landbouw!C8</f>
        <v>0</v>
      </c>
      <c r="D7" s="447">
        <f>landbouw!D8</f>
        <v>61.961086000000002</v>
      </c>
      <c r="E7" s="447">
        <f>landbouw!E8</f>
        <v>2.8527260221435484</v>
      </c>
      <c r="F7" s="447">
        <f>landbouw!F8</f>
        <v>1166.1175068802704</v>
      </c>
      <c r="G7" s="447">
        <f>landbouw!G8</f>
        <v>0</v>
      </c>
      <c r="H7" s="447">
        <f>landbouw!H8</f>
        <v>0</v>
      </c>
      <c r="I7" s="447">
        <f>landbouw!I8</f>
        <v>0</v>
      </c>
      <c r="J7" s="447">
        <f>landbouw!J8</f>
        <v>24.328565343520609</v>
      </c>
      <c r="K7" s="447">
        <f>landbouw!K8</f>
        <v>0</v>
      </c>
      <c r="L7" s="447">
        <f>landbouw!L8</f>
        <v>0</v>
      </c>
      <c r="M7" s="447">
        <f>landbouw!M8</f>
        <v>0</v>
      </c>
      <c r="N7" s="447">
        <f>landbouw!N8</f>
        <v>0</v>
      </c>
      <c r="O7" s="447">
        <f>landbouw!O8</f>
        <v>0</v>
      </c>
      <c r="P7" s="448">
        <f>landbouw!P8</f>
        <v>0</v>
      </c>
      <c r="Q7" s="446">
        <f t="shared" si="0"/>
        <v>1527.6688842459344</v>
      </c>
    </row>
    <row r="8" spans="1:17">
      <c r="A8" s="446" t="s">
        <v>637</v>
      </c>
      <c r="B8" s="447">
        <f>industrie!B18</f>
        <v>268526.23200000002</v>
      </c>
      <c r="C8" s="447">
        <f>industrie!C18</f>
        <v>0</v>
      </c>
      <c r="D8" s="447">
        <f>industrie!D18</f>
        <v>96941.638200000001</v>
      </c>
      <c r="E8" s="447">
        <f>industrie!E18</f>
        <v>3176.1972028781979</v>
      </c>
      <c r="F8" s="447">
        <f>industrie!F18</f>
        <v>97615.778902447579</v>
      </c>
      <c r="G8" s="447">
        <f>industrie!G18</f>
        <v>0</v>
      </c>
      <c r="H8" s="447">
        <f>industrie!H18</f>
        <v>0</v>
      </c>
      <c r="I8" s="447">
        <f>industrie!I18</f>
        <v>0</v>
      </c>
      <c r="J8" s="447">
        <f>industrie!J18</f>
        <v>1344.1196199720571</v>
      </c>
      <c r="K8" s="447">
        <f>industrie!K18</f>
        <v>0</v>
      </c>
      <c r="L8" s="447">
        <f>industrie!L18</f>
        <v>0</v>
      </c>
      <c r="M8" s="447">
        <f>industrie!M18</f>
        <v>0</v>
      </c>
      <c r="N8" s="447">
        <f>industrie!N18</f>
        <v>8731.847603313925</v>
      </c>
      <c r="O8" s="447">
        <f>industrie!O18</f>
        <v>0</v>
      </c>
      <c r="P8" s="448">
        <f>industrie!P18</f>
        <v>0</v>
      </c>
      <c r="Q8" s="446">
        <f t="shared" si="0"/>
        <v>476335.81352861173</v>
      </c>
    </row>
    <row r="9" spans="1:17" s="452" customFormat="1">
      <c r="A9" s="450" t="s">
        <v>556</v>
      </c>
      <c r="B9" s="451">
        <f>transport!B14</f>
        <v>5.1355483546040439</v>
      </c>
      <c r="C9" s="451">
        <f>transport!C14</f>
        <v>0</v>
      </c>
      <c r="D9" s="451">
        <f>transport!D14</f>
        <v>16.831243625357409</v>
      </c>
      <c r="E9" s="451">
        <f>transport!E14</f>
        <v>1844.3028886257496</v>
      </c>
      <c r="F9" s="451">
        <f>transport!F14</f>
        <v>0</v>
      </c>
      <c r="G9" s="451">
        <f>transport!G14</f>
        <v>358404.87371207314</v>
      </c>
      <c r="H9" s="451">
        <f>transport!H14</f>
        <v>56392.46079006503</v>
      </c>
      <c r="I9" s="451">
        <f>transport!I14</f>
        <v>0</v>
      </c>
      <c r="J9" s="451">
        <f>transport!J14</f>
        <v>0</v>
      </c>
      <c r="K9" s="451">
        <f>transport!K14</f>
        <v>0</v>
      </c>
      <c r="L9" s="451">
        <f>transport!L14</f>
        <v>0</v>
      </c>
      <c r="M9" s="451">
        <f>transport!M14</f>
        <v>18035.253285823983</v>
      </c>
      <c r="N9" s="451">
        <f>transport!N14</f>
        <v>0</v>
      </c>
      <c r="O9" s="451">
        <f>transport!O14</f>
        <v>0</v>
      </c>
      <c r="P9" s="451">
        <f>transport!P14</f>
        <v>0</v>
      </c>
      <c r="Q9" s="450">
        <f>SUM(B9:P9)</f>
        <v>434698.85746856791</v>
      </c>
    </row>
    <row r="10" spans="1:17">
      <c r="A10" s="446" t="s">
        <v>546</v>
      </c>
      <c r="B10" s="447">
        <f>transport!B54</f>
        <v>76.868944320097853</v>
      </c>
      <c r="C10" s="447">
        <f>transport!C54</f>
        <v>0</v>
      </c>
      <c r="D10" s="447">
        <f>transport!D54</f>
        <v>0</v>
      </c>
      <c r="E10" s="447">
        <f>transport!E54</f>
        <v>0</v>
      </c>
      <c r="F10" s="447">
        <f>transport!F54</f>
        <v>0</v>
      </c>
      <c r="G10" s="447">
        <f>transport!G54</f>
        <v>16675.945716932412</v>
      </c>
      <c r="H10" s="447">
        <f>transport!H54</f>
        <v>0</v>
      </c>
      <c r="I10" s="447">
        <f>transport!I54</f>
        <v>0</v>
      </c>
      <c r="J10" s="447">
        <f>transport!J54</f>
        <v>0</v>
      </c>
      <c r="K10" s="447">
        <f>transport!K54</f>
        <v>0</v>
      </c>
      <c r="L10" s="447">
        <f>transport!L54</f>
        <v>0</v>
      </c>
      <c r="M10" s="447">
        <f>transport!M54</f>
        <v>713.99993913877415</v>
      </c>
      <c r="N10" s="447">
        <f>transport!N54</f>
        <v>0</v>
      </c>
      <c r="O10" s="447">
        <f>transport!O54</f>
        <v>0</v>
      </c>
      <c r="P10" s="448">
        <f>transport!P54</f>
        <v>0</v>
      </c>
      <c r="Q10" s="446">
        <f t="shared" si="0"/>
        <v>17466.814600391284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8940.6049999999996</v>
      </c>
      <c r="C14" s="454"/>
      <c r="D14" s="454">
        <f>'SEAP template'!E25</f>
        <v>10422.581</v>
      </c>
      <c r="E14" s="454"/>
      <c r="F14" s="454"/>
      <c r="G14" s="454"/>
      <c r="H14" s="454"/>
      <c r="I14" s="454"/>
      <c r="J14" s="454"/>
      <c r="K14" s="454"/>
      <c r="L14" s="454"/>
      <c r="M14" s="454"/>
      <c r="N14" s="454"/>
      <c r="O14" s="454"/>
      <c r="P14" s="455"/>
      <c r="Q14" s="446">
        <f t="shared" si="0"/>
        <v>19363.186000000002</v>
      </c>
    </row>
    <row r="15" spans="1:17" s="459" customFormat="1">
      <c r="A15" s="456" t="s">
        <v>550</v>
      </c>
      <c r="B15" s="457">
        <f ca="1">SUM(B4:B14)</f>
        <v>552497.38267235691</v>
      </c>
      <c r="C15" s="457">
        <f t="shared" ref="C15:Q15" ca="1" si="1">SUM(C4:C14)</f>
        <v>109.28571428571429</v>
      </c>
      <c r="D15" s="457">
        <f t="shared" ca="1" si="1"/>
        <v>349306.11356105393</v>
      </c>
      <c r="E15" s="457">
        <f t="shared" si="1"/>
        <v>15310.538542767785</v>
      </c>
      <c r="F15" s="457">
        <f t="shared" ca="1" si="1"/>
        <v>380021.11611853377</v>
      </c>
      <c r="G15" s="457">
        <f t="shared" si="1"/>
        <v>375080.81942900555</v>
      </c>
      <c r="H15" s="457">
        <f t="shared" si="1"/>
        <v>56392.46079006503</v>
      </c>
      <c r="I15" s="457">
        <f t="shared" si="1"/>
        <v>0</v>
      </c>
      <c r="J15" s="457">
        <f t="shared" si="1"/>
        <v>7158.3668720149926</v>
      </c>
      <c r="K15" s="457">
        <f t="shared" si="1"/>
        <v>0</v>
      </c>
      <c r="L15" s="457">
        <f t="shared" ca="1" si="1"/>
        <v>0</v>
      </c>
      <c r="M15" s="457">
        <f t="shared" si="1"/>
        <v>18749.253224962758</v>
      </c>
      <c r="N15" s="457">
        <f t="shared" ca="1" si="1"/>
        <v>41033.172323099083</v>
      </c>
      <c r="O15" s="457">
        <f t="shared" si="1"/>
        <v>290.78000000000003</v>
      </c>
      <c r="P15" s="457">
        <f t="shared" si="1"/>
        <v>953.33333333333326</v>
      </c>
      <c r="Q15" s="457">
        <f t="shared" ca="1" si="1"/>
        <v>1796902.6225814789</v>
      </c>
    </row>
    <row r="17" spans="1:17">
      <c r="A17" s="460" t="s">
        <v>551</v>
      </c>
      <c r="B17" s="764">
        <f ca="1">huishoudens!B10</f>
        <v>0.21120064403935357</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29360.090938781494</v>
      </c>
      <c r="C22" s="447">
        <f t="shared" ref="C22:C32" ca="1" si="3">C4*$C$17</f>
        <v>0</v>
      </c>
      <c r="D22" s="447">
        <f t="shared" ref="D22:D32" si="4">D4*$D$17</f>
        <v>29868.252222732004</v>
      </c>
      <c r="E22" s="447">
        <f t="shared" ref="E22:E32" si="5">E4*$E$17</f>
        <v>1709.9626050497966</v>
      </c>
      <c r="F22" s="447">
        <f t="shared" ref="F22:F32" si="6">F4*$F$17</f>
        <v>68653.745395626509</v>
      </c>
      <c r="G22" s="447">
        <f t="shared" ref="G22:G32" si="7">G4*$G$17</f>
        <v>0</v>
      </c>
      <c r="H22" s="447">
        <f t="shared" ref="H22:H32" si="8">H4*$H$17</f>
        <v>0</v>
      </c>
      <c r="I22" s="447">
        <f t="shared" ref="I22:I32" si="9">I4*$I$17</f>
        <v>0</v>
      </c>
      <c r="J22" s="447">
        <f t="shared" ref="J22:J32" si="10">J4*$J$17</f>
        <v>2049.6312150915928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131641.6823772814</v>
      </c>
    </row>
    <row r="23" spans="1:17">
      <c r="A23" s="446" t="s">
        <v>149</v>
      </c>
      <c r="B23" s="447">
        <f t="shared" ca="1" si="2"/>
        <v>27873.84028863096</v>
      </c>
      <c r="C23" s="447">
        <f t="shared" ca="1" si="3"/>
        <v>25.971428571428575</v>
      </c>
      <c r="D23" s="447">
        <f t="shared" ca="1" si="4"/>
        <v>18988.094387616573</v>
      </c>
      <c r="E23" s="447">
        <f t="shared" si="5"/>
        <v>625.22855458006802</v>
      </c>
      <c r="F23" s="447">
        <f t="shared" ca="1" si="6"/>
        <v>6437.1262667314822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53950.260926130512</v>
      </c>
    </row>
    <row r="24" spans="1:17">
      <c r="A24" s="446" t="s">
        <v>187</v>
      </c>
      <c r="B24" s="447">
        <f t="shared" ca="1" si="2"/>
        <v>777.84479117504179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777.84479117504179</v>
      </c>
    </row>
    <row r="25" spans="1:17">
      <c r="A25" s="446" t="s">
        <v>105</v>
      </c>
      <c r="B25" s="447">
        <f t="shared" ca="1" si="2"/>
        <v>57.532956242116263</v>
      </c>
      <c r="C25" s="447">
        <f t="shared" ca="1" si="3"/>
        <v>0</v>
      </c>
      <c r="D25" s="447">
        <f t="shared" si="4"/>
        <v>12.516139372000001</v>
      </c>
      <c r="E25" s="447">
        <f t="shared" si="5"/>
        <v>0.64756880702658548</v>
      </c>
      <c r="F25" s="447">
        <f t="shared" si="6"/>
        <v>311.35337433703222</v>
      </c>
      <c r="G25" s="447">
        <f t="shared" si="7"/>
        <v>0</v>
      </c>
      <c r="H25" s="447">
        <f t="shared" si="8"/>
        <v>0</v>
      </c>
      <c r="I25" s="447">
        <f t="shared" si="9"/>
        <v>0</v>
      </c>
      <c r="J25" s="447">
        <f t="shared" si="10"/>
        <v>8.6123121316062949</v>
      </c>
      <c r="K25" s="447">
        <f t="shared" si="11"/>
        <v>0</v>
      </c>
      <c r="L25" s="447">
        <f t="shared" si="12"/>
        <v>0</v>
      </c>
      <c r="M25" s="447">
        <f t="shared" si="13"/>
        <v>0</v>
      </c>
      <c r="N25" s="447">
        <f t="shared" si="14"/>
        <v>0</v>
      </c>
      <c r="O25" s="447">
        <f t="shared" si="15"/>
        <v>0</v>
      </c>
      <c r="P25" s="448">
        <f t="shared" si="16"/>
        <v>0</v>
      </c>
      <c r="Q25" s="446">
        <f t="shared" ca="1" si="17"/>
        <v>390.66235088978141</v>
      </c>
    </row>
    <row r="26" spans="1:17">
      <c r="A26" s="446" t="s">
        <v>637</v>
      </c>
      <c r="B26" s="447">
        <f t="shared" ca="1" si="2"/>
        <v>56712.913139860881</v>
      </c>
      <c r="C26" s="447">
        <f t="shared" ca="1" si="3"/>
        <v>0</v>
      </c>
      <c r="D26" s="447">
        <f t="shared" si="4"/>
        <v>19582.210916400003</v>
      </c>
      <c r="E26" s="447">
        <f t="shared" si="5"/>
        <v>720.99676505335094</v>
      </c>
      <c r="F26" s="447">
        <f t="shared" si="6"/>
        <v>26063.412966953503</v>
      </c>
      <c r="G26" s="447">
        <f t="shared" si="7"/>
        <v>0</v>
      </c>
      <c r="H26" s="447">
        <f t="shared" si="8"/>
        <v>0</v>
      </c>
      <c r="I26" s="447">
        <f t="shared" si="9"/>
        <v>0</v>
      </c>
      <c r="J26" s="447">
        <f t="shared" si="10"/>
        <v>475.81834547010817</v>
      </c>
      <c r="K26" s="447">
        <f t="shared" si="11"/>
        <v>0</v>
      </c>
      <c r="L26" s="447">
        <f t="shared" si="12"/>
        <v>0</v>
      </c>
      <c r="M26" s="447">
        <f t="shared" si="13"/>
        <v>0</v>
      </c>
      <c r="N26" s="447">
        <f t="shared" si="14"/>
        <v>0</v>
      </c>
      <c r="O26" s="447">
        <f t="shared" si="15"/>
        <v>0</v>
      </c>
      <c r="P26" s="448">
        <f t="shared" si="16"/>
        <v>0</v>
      </c>
      <c r="Q26" s="446">
        <f t="shared" ca="1" si="17"/>
        <v>103555.35213373785</v>
      </c>
    </row>
    <row r="27" spans="1:17" s="452" customFormat="1">
      <c r="A27" s="450" t="s">
        <v>556</v>
      </c>
      <c r="B27" s="758">
        <f t="shared" ca="1" si="2"/>
        <v>1.0846311199876166</v>
      </c>
      <c r="C27" s="451">
        <f t="shared" ca="1" si="3"/>
        <v>0</v>
      </c>
      <c r="D27" s="451">
        <f t="shared" si="4"/>
        <v>3.3999112123221971</v>
      </c>
      <c r="E27" s="451">
        <f t="shared" si="5"/>
        <v>418.65675571804519</v>
      </c>
      <c r="F27" s="451">
        <f t="shared" si="6"/>
        <v>0</v>
      </c>
      <c r="G27" s="451">
        <f t="shared" si="7"/>
        <v>95694.101281123527</v>
      </c>
      <c r="H27" s="451">
        <f t="shared" si="8"/>
        <v>14041.722736726193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110158.96531590007</v>
      </c>
    </row>
    <row r="28" spans="1:17">
      <c r="A28" s="446" t="s">
        <v>546</v>
      </c>
      <c r="B28" s="447">
        <f t="shared" ca="1" si="2"/>
        <v>16.234770547029875</v>
      </c>
      <c r="C28" s="447">
        <f t="shared" ca="1" si="3"/>
        <v>0</v>
      </c>
      <c r="D28" s="447">
        <f t="shared" si="4"/>
        <v>0</v>
      </c>
      <c r="E28" s="447">
        <f t="shared" si="5"/>
        <v>0</v>
      </c>
      <c r="F28" s="447">
        <f t="shared" si="6"/>
        <v>0</v>
      </c>
      <c r="G28" s="447">
        <f t="shared" si="7"/>
        <v>4452.4775064209543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4468.7122769679845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1888.2615341014646</v>
      </c>
      <c r="C32" s="447">
        <f t="shared" ca="1" si="3"/>
        <v>0</v>
      </c>
      <c r="D32" s="447">
        <f t="shared" si="4"/>
        <v>2105.3613620000001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3993.6228961014649</v>
      </c>
    </row>
    <row r="33" spans="1:17" s="459" customFormat="1">
      <c r="A33" s="456" t="s">
        <v>550</v>
      </c>
      <c r="B33" s="457">
        <f ca="1">SUM(B22:B32)</f>
        <v>116687.80305045897</v>
      </c>
      <c r="C33" s="457">
        <f t="shared" ref="C33:Q33" ca="1" si="19">SUM(C22:C32)</f>
        <v>25.971428571428575</v>
      </c>
      <c r="D33" s="457">
        <f t="shared" ca="1" si="19"/>
        <v>70559.834939332897</v>
      </c>
      <c r="E33" s="457">
        <f t="shared" si="19"/>
        <v>3475.4922492082874</v>
      </c>
      <c r="F33" s="457">
        <f t="shared" ca="1" si="19"/>
        <v>101465.63800364854</v>
      </c>
      <c r="G33" s="457">
        <f t="shared" si="19"/>
        <v>100146.57878754448</v>
      </c>
      <c r="H33" s="457">
        <f t="shared" si="19"/>
        <v>14041.722736726193</v>
      </c>
      <c r="I33" s="457">
        <f t="shared" si="19"/>
        <v>0</v>
      </c>
      <c r="J33" s="457">
        <f t="shared" si="19"/>
        <v>2534.0618726933071</v>
      </c>
      <c r="K33" s="457">
        <f t="shared" si="19"/>
        <v>0</v>
      </c>
      <c r="L33" s="457">
        <f t="shared" ca="1" si="19"/>
        <v>0</v>
      </c>
      <c r="M33" s="457">
        <f t="shared" si="19"/>
        <v>0</v>
      </c>
      <c r="N33" s="457">
        <f t="shared" ca="1" si="19"/>
        <v>0</v>
      </c>
      <c r="O33" s="457">
        <f t="shared" si="19"/>
        <v>0</v>
      </c>
      <c r="P33" s="457">
        <f t="shared" si="19"/>
        <v>0</v>
      </c>
      <c r="Q33" s="457">
        <f t="shared" ca="1" si="19"/>
        <v>408937.10306818405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6607.4746365291803</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17019.061653660436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76.5</v>
      </c>
      <c r="D8" s="1006">
        <f>'SEAP template'!D76</f>
        <v>90.000000000000014</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18.180000000000003</v>
      </c>
    </row>
    <row r="9" spans="1:16">
      <c r="A9" s="1009" t="s">
        <v>902</v>
      </c>
      <c r="B9" s="1006">
        <f>'SEAP template'!B77</f>
        <v>877.5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2507.1428571428573</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24504.036290189615</v>
      </c>
      <c r="C10" s="1010">
        <f>SUM(C4:C9)</f>
        <v>76.5</v>
      </c>
      <c r="D10" s="1010">
        <f t="shared" ref="D10:H10" si="0">SUM(D8:D9)</f>
        <v>90.000000000000014</v>
      </c>
      <c r="E10" s="1010">
        <f t="shared" si="0"/>
        <v>0</v>
      </c>
      <c r="F10" s="1010">
        <f t="shared" si="0"/>
        <v>0</v>
      </c>
      <c r="G10" s="1010">
        <f t="shared" si="0"/>
        <v>0</v>
      </c>
      <c r="H10" s="1010">
        <f t="shared" si="0"/>
        <v>0</v>
      </c>
      <c r="I10" s="1010">
        <f>SUM(I8:I9)</f>
        <v>0</v>
      </c>
      <c r="J10" s="1010">
        <f>SUM(J8:J9)</f>
        <v>2507.1428571428573</v>
      </c>
      <c r="K10" s="1010">
        <f t="shared" ref="K10:L10" si="1">SUM(K8:K9)</f>
        <v>0</v>
      </c>
      <c r="L10" s="1010">
        <f t="shared" si="1"/>
        <v>0</v>
      </c>
      <c r="M10" s="1010">
        <f>SUM(M8:M9)</f>
        <v>0</v>
      </c>
      <c r="N10" s="1010">
        <f>SUM(N8:N9)</f>
        <v>0</v>
      </c>
      <c r="O10" s="1010">
        <f>SUM(O8:O9)</f>
        <v>0</v>
      </c>
      <c r="P10" s="1010">
        <f>SUM(P8:P9)</f>
        <v>18.180000000000003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0.21120064403935357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109.28571428571429</v>
      </c>
      <c r="D17" s="1007">
        <f>'SEAP template'!D87</f>
        <v>128.57142857142858</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25.971428571428575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109.28571428571429</v>
      </c>
      <c r="D20" s="1010">
        <f t="shared" ref="D20:H20" si="2">SUM(D17:D19)</f>
        <v>128.57142857142858</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25.971428571428575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0.21120064403935357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0.21120064403935357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0.21120064403935357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24758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292</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13</v>
      </c>
      <c r="C17" s="326"/>
      <c r="D17" s="326"/>
      <c r="E17" s="326"/>
      <c r="F17" s="326"/>
    </row>
    <row r="18" spans="1:6">
      <c r="A18" s="1280" t="s">
        <v>8</v>
      </c>
      <c r="B18" s="1281">
        <v>13</v>
      </c>
      <c r="C18" s="326"/>
      <c r="D18" s="326"/>
      <c r="E18" s="326"/>
      <c r="F18" s="326"/>
    </row>
    <row r="19" spans="1:6">
      <c r="A19" s="1280" t="s">
        <v>9</v>
      </c>
      <c r="B19" s="1281">
        <v>6</v>
      </c>
      <c r="C19" s="326"/>
      <c r="D19" s="326"/>
      <c r="E19" s="326"/>
      <c r="F19" s="326"/>
    </row>
    <row r="20" spans="1:6">
      <c r="A20" s="1280" t="s">
        <v>10</v>
      </c>
      <c r="B20" s="1281">
        <v>19</v>
      </c>
      <c r="C20" s="326"/>
      <c r="D20" s="326"/>
      <c r="E20" s="326"/>
      <c r="F20" s="326"/>
    </row>
    <row r="21" spans="1:6">
      <c r="A21" s="1280" t="s">
        <v>11</v>
      </c>
      <c r="B21" s="1281">
        <v>14</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3</v>
      </c>
      <c r="C25" s="326"/>
      <c r="D25" s="326"/>
      <c r="E25" s="326"/>
      <c r="F25" s="326"/>
    </row>
    <row r="26" spans="1:6">
      <c r="A26" s="1280" t="s">
        <v>16</v>
      </c>
      <c r="B26" s="1281">
        <v>113</v>
      </c>
      <c r="C26" s="326"/>
      <c r="D26" s="326"/>
      <c r="E26" s="326"/>
      <c r="F26" s="326"/>
    </row>
    <row r="27" spans="1:6">
      <c r="A27" s="1280" t="s">
        <v>17</v>
      </c>
      <c r="B27" s="1281">
        <v>2</v>
      </c>
      <c r="C27" s="326"/>
      <c r="D27" s="326"/>
      <c r="E27" s="326"/>
      <c r="F27" s="326"/>
    </row>
    <row r="28" spans="1:6">
      <c r="A28" s="1280" t="s">
        <v>18</v>
      </c>
      <c r="B28" s="1282">
        <v>0</v>
      </c>
      <c r="C28" s="326"/>
      <c r="D28" s="326"/>
      <c r="E28" s="326"/>
      <c r="F28" s="326"/>
    </row>
    <row r="29" spans="1:6">
      <c r="A29" s="1280" t="s">
        <v>972</v>
      </c>
      <c r="B29" s="1282">
        <v>69</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21</v>
      </c>
      <c r="F36" s="1281">
        <v>75821</v>
      </c>
    </row>
    <row r="37" spans="1:6">
      <c r="A37" s="1280" t="s">
        <v>24</v>
      </c>
      <c r="B37" s="1280" t="s">
        <v>27</v>
      </c>
      <c r="C37" s="1281">
        <v>0</v>
      </c>
      <c r="D37" s="1281">
        <v>0</v>
      </c>
      <c r="E37" s="1281">
        <v>0</v>
      </c>
      <c r="F37" s="1281">
        <v>0</v>
      </c>
    </row>
    <row r="38" spans="1:6">
      <c r="A38" s="1280" t="s">
        <v>24</v>
      </c>
      <c r="B38" s="1280" t="s">
        <v>28</v>
      </c>
      <c r="C38" s="1281">
        <v>1</v>
      </c>
      <c r="D38" s="1281">
        <v>1511985</v>
      </c>
      <c r="E38" s="1281">
        <v>1</v>
      </c>
      <c r="F38" s="1281">
        <v>134470</v>
      </c>
    </row>
    <row r="39" spans="1:6">
      <c r="A39" s="1280" t="s">
        <v>29</v>
      </c>
      <c r="B39" s="1280" t="s">
        <v>30</v>
      </c>
      <c r="C39" s="1281">
        <v>9585</v>
      </c>
      <c r="D39" s="1281">
        <v>163927533</v>
      </c>
      <c r="E39" s="1281">
        <v>25855</v>
      </c>
      <c r="F39" s="1281">
        <v>134388782</v>
      </c>
    </row>
    <row r="40" spans="1:6">
      <c r="A40" s="1280" t="s">
        <v>29</v>
      </c>
      <c r="B40" s="1280" t="s">
        <v>28</v>
      </c>
      <c r="C40" s="1281">
        <v>0</v>
      </c>
      <c r="D40" s="1281">
        <v>0</v>
      </c>
      <c r="E40" s="1281">
        <v>0</v>
      </c>
      <c r="F40" s="1281">
        <v>0</v>
      </c>
    </row>
    <row r="41" spans="1:6">
      <c r="A41" s="1280" t="s">
        <v>31</v>
      </c>
      <c r="B41" s="1280" t="s">
        <v>32</v>
      </c>
      <c r="C41" s="1281">
        <v>119</v>
      </c>
      <c r="D41" s="1281">
        <v>15088117</v>
      </c>
      <c r="E41" s="1281">
        <v>435</v>
      </c>
      <c r="F41" s="1281">
        <v>109151717</v>
      </c>
    </row>
    <row r="42" spans="1:6">
      <c r="A42" s="1280" t="s">
        <v>31</v>
      </c>
      <c r="B42" s="1280" t="s">
        <v>33</v>
      </c>
      <c r="C42" s="1281">
        <v>6</v>
      </c>
      <c r="D42" s="1281">
        <v>11827553</v>
      </c>
      <c r="E42" s="1281">
        <v>10</v>
      </c>
      <c r="F42" s="1281">
        <v>68027608</v>
      </c>
    </row>
    <row r="43" spans="1:6">
      <c r="A43" s="1280" t="s">
        <v>31</v>
      </c>
      <c r="B43" s="1280" t="s">
        <v>34</v>
      </c>
      <c r="C43" s="1281">
        <v>4</v>
      </c>
      <c r="D43" s="1281">
        <v>7111532</v>
      </c>
      <c r="E43" s="1281">
        <v>5</v>
      </c>
      <c r="F43" s="1281">
        <v>1978355</v>
      </c>
    </row>
    <row r="44" spans="1:6">
      <c r="A44" s="1280" t="s">
        <v>31</v>
      </c>
      <c r="B44" s="1280" t="s">
        <v>35</v>
      </c>
      <c r="C44" s="1281">
        <v>36</v>
      </c>
      <c r="D44" s="1281">
        <v>60421439</v>
      </c>
      <c r="E44" s="1281">
        <v>73</v>
      </c>
      <c r="F44" s="1281">
        <v>63230998</v>
      </c>
    </row>
    <row r="45" spans="1:6">
      <c r="A45" s="1280" t="s">
        <v>31</v>
      </c>
      <c r="B45" s="1280" t="s">
        <v>36</v>
      </c>
      <c r="C45" s="1281">
        <v>8</v>
      </c>
      <c r="D45" s="1281">
        <v>756895</v>
      </c>
      <c r="E45" s="1281">
        <v>16</v>
      </c>
      <c r="F45" s="1281">
        <v>959208</v>
      </c>
    </row>
    <row r="46" spans="1:6">
      <c r="A46" s="1280" t="s">
        <v>31</v>
      </c>
      <c r="B46" s="1280" t="s">
        <v>37</v>
      </c>
      <c r="C46" s="1281">
        <v>0</v>
      </c>
      <c r="D46" s="1281">
        <v>0</v>
      </c>
      <c r="E46" s="1281">
        <v>0</v>
      </c>
      <c r="F46" s="1281">
        <v>0</v>
      </c>
    </row>
    <row r="47" spans="1:6">
      <c r="A47" s="1280" t="s">
        <v>31</v>
      </c>
      <c r="B47" s="1280" t="s">
        <v>38</v>
      </c>
      <c r="C47" s="1281">
        <v>9</v>
      </c>
      <c r="D47" s="1281">
        <v>7240039</v>
      </c>
      <c r="E47" s="1281">
        <v>18</v>
      </c>
      <c r="F47" s="1281">
        <v>19181236</v>
      </c>
    </row>
    <row r="48" spans="1:6">
      <c r="A48" s="1280" t="s">
        <v>31</v>
      </c>
      <c r="B48" s="1280" t="s">
        <v>28</v>
      </c>
      <c r="C48" s="1281">
        <v>0</v>
      </c>
      <c r="D48" s="1281">
        <v>0</v>
      </c>
      <c r="E48" s="1281">
        <v>0</v>
      </c>
      <c r="F48" s="1281">
        <v>0</v>
      </c>
    </row>
    <row r="49" spans="1:6">
      <c r="A49" s="1280" t="s">
        <v>31</v>
      </c>
      <c r="B49" s="1280" t="s">
        <v>39</v>
      </c>
      <c r="C49" s="1281">
        <v>5</v>
      </c>
      <c r="D49" s="1281">
        <v>89401</v>
      </c>
      <c r="E49" s="1281">
        <v>9</v>
      </c>
      <c r="F49" s="1281">
        <v>113040</v>
      </c>
    </row>
    <row r="50" spans="1:6">
      <c r="A50" s="1280" t="s">
        <v>31</v>
      </c>
      <c r="B50" s="1280" t="s">
        <v>40</v>
      </c>
      <c r="C50" s="1281">
        <v>10</v>
      </c>
      <c r="D50" s="1281">
        <v>4939124</v>
      </c>
      <c r="E50" s="1281">
        <v>36</v>
      </c>
      <c r="F50" s="1281">
        <v>5884070</v>
      </c>
    </row>
    <row r="51" spans="1:6">
      <c r="A51" s="1280" t="s">
        <v>41</v>
      </c>
      <c r="B51" s="1280" t="s">
        <v>42</v>
      </c>
      <c r="C51" s="1281">
        <v>0</v>
      </c>
      <c r="D51" s="1281">
        <v>0</v>
      </c>
      <c r="E51" s="1281">
        <v>14</v>
      </c>
      <c r="F51" s="1281">
        <v>272409</v>
      </c>
    </row>
    <row r="52" spans="1:6">
      <c r="A52" s="1280" t="s">
        <v>41</v>
      </c>
      <c r="B52" s="1280" t="s">
        <v>28</v>
      </c>
      <c r="C52" s="1281">
        <v>2</v>
      </c>
      <c r="D52" s="1281">
        <v>68693</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355</v>
      </c>
      <c r="F54" s="1281">
        <v>3682966</v>
      </c>
    </row>
    <row r="55" spans="1:6">
      <c r="A55" s="1280" t="s">
        <v>45</v>
      </c>
      <c r="B55" s="1280" t="s">
        <v>28</v>
      </c>
      <c r="C55" s="1281">
        <v>0</v>
      </c>
      <c r="D55" s="1281">
        <v>0</v>
      </c>
      <c r="E55" s="1281">
        <v>0</v>
      </c>
      <c r="F55" s="1281">
        <v>0</v>
      </c>
    </row>
    <row r="56" spans="1:6">
      <c r="A56" s="1280" t="s">
        <v>47</v>
      </c>
      <c r="B56" s="1280" t="s">
        <v>28</v>
      </c>
      <c r="C56" s="1281">
        <v>145</v>
      </c>
      <c r="D56" s="1281">
        <v>10422581</v>
      </c>
      <c r="E56" s="1281">
        <v>660</v>
      </c>
      <c r="F56" s="1281">
        <v>8940605</v>
      </c>
    </row>
    <row r="57" spans="1:6">
      <c r="A57" s="1280" t="s">
        <v>48</v>
      </c>
      <c r="B57" s="1280" t="s">
        <v>49</v>
      </c>
      <c r="C57" s="1281">
        <v>133</v>
      </c>
      <c r="D57" s="1281">
        <v>10118923</v>
      </c>
      <c r="E57" s="1281">
        <v>292</v>
      </c>
      <c r="F57" s="1281">
        <v>11223104</v>
      </c>
    </row>
    <row r="58" spans="1:6">
      <c r="A58" s="1280" t="s">
        <v>48</v>
      </c>
      <c r="B58" s="1280" t="s">
        <v>50</v>
      </c>
      <c r="C58" s="1281">
        <v>49</v>
      </c>
      <c r="D58" s="1281">
        <v>6315475</v>
      </c>
      <c r="E58" s="1281">
        <v>125</v>
      </c>
      <c r="F58" s="1281">
        <v>3789320</v>
      </c>
    </row>
    <row r="59" spans="1:6">
      <c r="A59" s="1280" t="s">
        <v>48</v>
      </c>
      <c r="B59" s="1280" t="s">
        <v>51</v>
      </c>
      <c r="C59" s="1281">
        <v>275</v>
      </c>
      <c r="D59" s="1281">
        <v>25416368</v>
      </c>
      <c r="E59" s="1281">
        <v>815</v>
      </c>
      <c r="F59" s="1281">
        <v>48735048</v>
      </c>
    </row>
    <row r="60" spans="1:6">
      <c r="A60" s="1280" t="s">
        <v>48</v>
      </c>
      <c r="B60" s="1280" t="s">
        <v>52</v>
      </c>
      <c r="C60" s="1281">
        <v>125</v>
      </c>
      <c r="D60" s="1281">
        <v>6653297</v>
      </c>
      <c r="E60" s="1281">
        <v>280</v>
      </c>
      <c r="F60" s="1281">
        <v>10015797</v>
      </c>
    </row>
    <row r="61" spans="1:6">
      <c r="A61" s="1280" t="s">
        <v>48</v>
      </c>
      <c r="B61" s="1280" t="s">
        <v>53</v>
      </c>
      <c r="C61" s="1281">
        <v>280</v>
      </c>
      <c r="D61" s="1281">
        <v>51768614</v>
      </c>
      <c r="E61" s="1281">
        <v>1011</v>
      </c>
      <c r="F61" s="1281">
        <v>53310834</v>
      </c>
    </row>
    <row r="62" spans="1:6">
      <c r="A62" s="1280" t="s">
        <v>48</v>
      </c>
      <c r="B62" s="1280" t="s">
        <v>54</v>
      </c>
      <c r="C62" s="1281">
        <v>24</v>
      </c>
      <c r="D62" s="1281">
        <v>4183020</v>
      </c>
      <c r="E62" s="1281">
        <v>55</v>
      </c>
      <c r="F62" s="1281">
        <v>3949905</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21189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2381456</v>
      </c>
      <c r="E68" s="1283">
        <v>28</v>
      </c>
      <c r="F68" s="1283">
        <v>2086572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254422071</v>
      </c>
      <c r="E73" s="445"/>
      <c r="F73" s="326"/>
    </row>
    <row r="74" spans="1:6">
      <c r="A74" s="1280" t="s">
        <v>63</v>
      </c>
      <c r="B74" s="1280" t="s">
        <v>754</v>
      </c>
      <c r="C74" s="1293" t="s">
        <v>755</v>
      </c>
      <c r="D74" s="1281">
        <v>20054502.686017241</v>
      </c>
      <c r="E74" s="445"/>
      <c r="F74" s="326"/>
    </row>
    <row r="75" spans="1:6">
      <c r="A75" s="1280" t="s">
        <v>64</v>
      </c>
      <c r="B75" s="1280" t="s">
        <v>752</v>
      </c>
      <c r="C75" s="1293" t="s">
        <v>756</v>
      </c>
      <c r="D75" s="1281">
        <v>64058269</v>
      </c>
      <c r="E75" s="445"/>
      <c r="F75" s="326"/>
    </row>
    <row r="76" spans="1:6">
      <c r="A76" s="1280" t="s">
        <v>64</v>
      </c>
      <c r="B76" s="1280" t="s">
        <v>754</v>
      </c>
      <c r="C76" s="1293" t="s">
        <v>757</v>
      </c>
      <c r="D76" s="1281">
        <v>334221.68601724226</v>
      </c>
      <c r="E76" s="445"/>
      <c r="F76" s="326"/>
    </row>
    <row r="77" spans="1:6">
      <c r="A77" s="1280" t="s">
        <v>65</v>
      </c>
      <c r="B77" s="1280" t="s">
        <v>752</v>
      </c>
      <c r="C77" s="1293" t="s">
        <v>758</v>
      </c>
      <c r="D77" s="1281">
        <v>142336900</v>
      </c>
      <c r="E77" s="445"/>
      <c r="F77" s="326"/>
    </row>
    <row r="78" spans="1:6">
      <c r="A78" s="1275" t="s">
        <v>65</v>
      </c>
      <c r="B78" s="1275" t="s">
        <v>754</v>
      </c>
      <c r="C78" s="1275" t="s">
        <v>759</v>
      </c>
      <c r="D78" s="1283">
        <v>26555332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4573736.6279655155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6607.4746365291803</v>
      </c>
      <c r="C90" s="326"/>
      <c r="D90" s="326"/>
      <c r="E90" s="326"/>
      <c r="F90" s="326"/>
    </row>
    <row r="91" spans="1:6">
      <c r="A91" s="1280" t="s">
        <v>67</v>
      </c>
      <c r="B91" s="1281">
        <v>4626.3761796821946</v>
      </c>
      <c r="C91" s="326"/>
      <c r="D91" s="326"/>
      <c r="E91" s="326"/>
      <c r="F91" s="326"/>
    </row>
    <row r="92" spans="1:6">
      <c r="A92" s="1275" t="s">
        <v>68</v>
      </c>
      <c r="B92" s="1276">
        <v>12392.685473978239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3815</v>
      </c>
      <c r="C97" s="326"/>
      <c r="D97" s="326"/>
      <c r="E97" s="326"/>
      <c r="F97" s="326"/>
    </row>
    <row r="98" spans="1:6">
      <c r="A98" s="1280" t="s">
        <v>71</v>
      </c>
      <c r="B98" s="1281">
        <v>9</v>
      </c>
      <c r="C98" s="326"/>
      <c r="D98" s="326"/>
      <c r="E98" s="326"/>
      <c r="F98" s="326"/>
    </row>
    <row r="99" spans="1:6">
      <c r="A99" s="1280" t="s">
        <v>72</v>
      </c>
      <c r="B99" s="1281">
        <v>73</v>
      </c>
      <c r="C99" s="326"/>
      <c r="D99" s="326"/>
      <c r="E99" s="326"/>
      <c r="F99" s="326"/>
    </row>
    <row r="100" spans="1:6">
      <c r="A100" s="1280" t="s">
        <v>73</v>
      </c>
      <c r="B100" s="1281">
        <v>4328</v>
      </c>
      <c r="C100" s="326"/>
      <c r="D100" s="326"/>
      <c r="E100" s="326"/>
      <c r="F100" s="326"/>
    </row>
    <row r="101" spans="1:6">
      <c r="A101" s="1280" t="s">
        <v>74</v>
      </c>
      <c r="B101" s="1281">
        <v>91</v>
      </c>
      <c r="C101" s="326"/>
      <c r="D101" s="326"/>
      <c r="E101" s="326"/>
      <c r="F101" s="326"/>
    </row>
    <row r="102" spans="1:6">
      <c r="A102" s="1280" t="s">
        <v>75</v>
      </c>
      <c r="B102" s="1281">
        <v>353</v>
      </c>
      <c r="C102" s="326"/>
      <c r="D102" s="326"/>
      <c r="E102" s="326"/>
      <c r="F102" s="326"/>
    </row>
    <row r="103" spans="1:6">
      <c r="A103" s="1280" t="s">
        <v>76</v>
      </c>
      <c r="B103" s="1281">
        <v>446</v>
      </c>
      <c r="C103" s="326"/>
      <c r="D103" s="326"/>
      <c r="E103" s="326"/>
      <c r="F103" s="326"/>
    </row>
    <row r="104" spans="1:6">
      <c r="A104" s="1280" t="s">
        <v>77</v>
      </c>
      <c r="B104" s="1281">
        <v>12961</v>
      </c>
      <c r="C104" s="326"/>
      <c r="D104" s="326"/>
      <c r="E104" s="326"/>
      <c r="F104" s="326"/>
    </row>
    <row r="105" spans="1:6">
      <c r="A105" s="1275" t="s">
        <v>78</v>
      </c>
      <c r="B105" s="1283">
        <v>14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15</v>
      </c>
      <c r="C123" s="1281">
        <v>12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171</v>
      </c>
      <c r="C129" s="326"/>
      <c r="D129" s="326"/>
      <c r="E129" s="326"/>
      <c r="F129" s="326"/>
    </row>
    <row r="130" spans="1:6">
      <c r="A130" s="1280" t="s">
        <v>284</v>
      </c>
      <c r="B130" s="1281">
        <v>3</v>
      </c>
      <c r="C130" s="326"/>
      <c r="D130" s="326"/>
      <c r="E130" s="326"/>
      <c r="F130" s="326"/>
    </row>
    <row r="131" spans="1:6">
      <c r="A131" s="1280" t="s">
        <v>285</v>
      </c>
      <c r="B131" s="1281">
        <v>4</v>
      </c>
      <c r="C131" s="326"/>
      <c r="D131" s="326"/>
      <c r="E131" s="326"/>
      <c r="F131" s="326"/>
    </row>
    <row r="132" spans="1:6">
      <c r="A132" s="1275" t="s">
        <v>286</v>
      </c>
      <c r="B132" s="1276">
        <v>31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552497.38267235691</v>
      </c>
      <c r="C3" s="43" t="s">
        <v>163</v>
      </c>
      <c r="D3" s="43"/>
      <c r="E3" s="156"/>
      <c r="F3" s="43"/>
      <c r="G3" s="43"/>
      <c r="H3" s="43"/>
      <c r="I3" s="43"/>
      <c r="J3" s="43"/>
      <c r="K3" s="96"/>
    </row>
    <row r="4" spans="1:11">
      <c r="A4" s="352" t="s">
        <v>164</v>
      </c>
      <c r="B4" s="49">
        <f>IF(ISERROR('SEAP template'!B78+'SEAP template'!C78),0,'SEAP template'!B78+'SEAP template'!C78)</f>
        <v>24580.536290189615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18.180000000000003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0.21120064403935357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25.971428571428575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109.28571428571429</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3682.9659999999999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3682.9659999999999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0.21120064403935357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777.84479117504179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134388.78200000001</v>
      </c>
      <c r="C5" s="17">
        <f>IF(ISERROR('Eigen informatie GS &amp; warmtenet'!B57),0,'Eigen informatie GS &amp; warmtenet'!B57)</f>
        <v>0</v>
      </c>
      <c r="D5" s="30">
        <f>(SUM(HH_hh_gas_kWh,HH_rest_gas_kWh)/1000)*0.902</f>
        <v>147862.634766</v>
      </c>
      <c r="E5" s="17">
        <f>B32*B41</f>
        <v>7532.8749121136416</v>
      </c>
      <c r="F5" s="17">
        <f>B36*B45</f>
        <v>257130.13256788955</v>
      </c>
      <c r="G5" s="18"/>
      <c r="H5" s="17"/>
      <c r="I5" s="17"/>
      <c r="J5" s="17">
        <f>B35*B44+C35*C44</f>
        <v>5789.918686699415</v>
      </c>
      <c r="K5" s="17"/>
      <c r="L5" s="17"/>
      <c r="M5" s="17"/>
      <c r="N5" s="17">
        <f>B34*B43+C34*C43</f>
        <v>31742.524162640129</v>
      </c>
      <c r="O5" s="17">
        <f>B52*B53*B54</f>
        <v>286.09000000000003</v>
      </c>
      <c r="P5" s="17">
        <f>B60*B61*B62/1000-B60*B61*B62/1000/B63</f>
        <v>877.06666666666661</v>
      </c>
    </row>
    <row r="6" spans="1:16">
      <c r="A6" s="16" t="s">
        <v>615</v>
      </c>
      <c r="B6" s="766">
        <f>kWh_PV_kleiner_dan_10kW</f>
        <v>4626.3761796821946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139015.15817968221</v>
      </c>
      <c r="C8" s="21">
        <f>C5</f>
        <v>0</v>
      </c>
      <c r="D8" s="21">
        <f>D5</f>
        <v>147862.634766</v>
      </c>
      <c r="E8" s="21">
        <f>E5</f>
        <v>7532.8749121136416</v>
      </c>
      <c r="F8" s="21">
        <f>F5</f>
        <v>257130.13256788955</v>
      </c>
      <c r="G8" s="21"/>
      <c r="H8" s="21"/>
      <c r="I8" s="21"/>
      <c r="J8" s="21">
        <f>J5</f>
        <v>5789.918686699415</v>
      </c>
      <c r="K8" s="21"/>
      <c r="L8" s="21">
        <f>L5</f>
        <v>0</v>
      </c>
      <c r="M8" s="21">
        <f>M5</f>
        <v>0</v>
      </c>
      <c r="N8" s="21">
        <f>N5</f>
        <v>31742.524162640129</v>
      </c>
      <c r="O8" s="21">
        <f>O5</f>
        <v>286.09000000000003</v>
      </c>
      <c r="P8" s="21">
        <f>P5</f>
        <v>877.06666666666661</v>
      </c>
    </row>
    <row r="9" spans="1:16">
      <c r="B9" s="19"/>
      <c r="C9" s="19"/>
      <c r="D9" s="256"/>
      <c r="E9" s="19"/>
      <c r="F9" s="19"/>
      <c r="G9" s="19"/>
      <c r="H9" s="19"/>
      <c r="I9" s="19"/>
      <c r="J9" s="19"/>
      <c r="K9" s="19"/>
      <c r="L9" s="19"/>
      <c r="M9" s="19"/>
      <c r="N9" s="19"/>
      <c r="O9" s="19"/>
      <c r="P9" s="19"/>
    </row>
    <row r="10" spans="1:16">
      <c r="A10" s="24" t="s">
        <v>207</v>
      </c>
      <c r="B10" s="25">
        <f ca="1">'EF ele_warmte'!B12</f>
        <v>0.21120064403935357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29360.090938781494</v>
      </c>
      <c r="C12" s="23">
        <f ca="1">C10*C8</f>
        <v>0</v>
      </c>
      <c r="D12" s="23">
        <f>D8*D10</f>
        <v>29868.252222732004</v>
      </c>
      <c r="E12" s="23">
        <f>E10*E8</f>
        <v>1709.9626050497966</v>
      </c>
      <c r="F12" s="23">
        <f>F10*F8</f>
        <v>68653.745395626509</v>
      </c>
      <c r="G12" s="23"/>
      <c r="H12" s="23"/>
      <c r="I12" s="23"/>
      <c r="J12" s="23">
        <f>J10*J8</f>
        <v>2049.6312150915928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24758</v>
      </c>
      <c r="C26" s="36"/>
      <c r="D26" s="226"/>
    </row>
    <row r="27" spans="1:5" s="15" customFormat="1">
      <c r="A27" s="228" t="s">
        <v>695</v>
      </c>
      <c r="B27" s="37">
        <f>SUM(HH_hh_gas_aantal,HH_rest_gas_aantal)</f>
        <v>9585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9105.75</v>
      </c>
      <c r="C31" s="34" t="s">
        <v>104</v>
      </c>
      <c r="D31" s="172"/>
    </row>
    <row r="32" spans="1:5">
      <c r="A32" s="169" t="s">
        <v>72</v>
      </c>
      <c r="B32" s="33">
        <f>IF((B21*($B$26-($B$27-0.05*$B$27)-$B$60))&lt;0,0,B21*($B$26-($B$27-0.05*$B$27)-$B$60))</f>
        <v>110.64158076462942</v>
      </c>
      <c r="C32" s="34" t="s">
        <v>104</v>
      </c>
      <c r="D32" s="172"/>
    </row>
    <row r="33" spans="1:6">
      <c r="A33" s="169" t="s">
        <v>73</v>
      </c>
      <c r="B33" s="33">
        <f>IF((B22*($B$26-($B$27-0.05*$B$27)-$B$60))&lt;0,0,B22*($B$26-($B$27-0.05*$B$27)-$B$60))</f>
        <v>3170.9726514379854</v>
      </c>
      <c r="C33" s="34" t="s">
        <v>104</v>
      </c>
      <c r="D33" s="172"/>
    </row>
    <row r="34" spans="1:6">
      <c r="A34" s="169" t="s">
        <v>74</v>
      </c>
      <c r="B34" s="33">
        <f>IF((B24*($B$26-($B$27-0.05*$B$27)-$B$60))&lt;0,0,B24*($B$26-($B$27-0.05*$B$27)-$B$60))</f>
        <v>632.32545854758496</v>
      </c>
      <c r="C34" s="33">
        <f>B26*C24</f>
        <v>5062.4567854853212</v>
      </c>
      <c r="D34" s="231"/>
    </row>
    <row r="35" spans="1:6">
      <c r="A35" s="169" t="s">
        <v>76</v>
      </c>
      <c r="B35" s="33">
        <f>IF((B19*($B$26-($B$27-0.05*$B$27)-$B$60))&lt;0,0,B19*($B$26-($B$27-0.05*$B$27)-$B$60))</f>
        <v>329.2904189423495</v>
      </c>
      <c r="C35" s="33">
        <f>B35/2</f>
        <v>164.64520947117475</v>
      </c>
      <c r="D35" s="231"/>
    </row>
    <row r="36" spans="1:6">
      <c r="A36" s="169" t="s">
        <v>77</v>
      </c>
      <c r="B36" s="33">
        <f>IF((B18*($B$26-($B$27-0.05*$B$27)-$B$60))&lt;0,0,B18*($B$26-($B$27-0.05*$B$27)-$B$60))</f>
        <v>11363.019890307451</v>
      </c>
      <c r="C36" s="34" t="s">
        <v>104</v>
      </c>
      <c r="D36" s="172"/>
    </row>
    <row r="37" spans="1:6">
      <c r="A37" s="169" t="s">
        <v>78</v>
      </c>
      <c r="B37" s="33">
        <f>B60</f>
        <v>46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183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131024.008</v>
      </c>
      <c r="C5" s="17">
        <f>IF(ISERROR('Eigen informatie GS &amp; warmtenet'!B58),0,'Eigen informatie GS &amp; warmtenet'!B58)</f>
        <v>0</v>
      </c>
      <c r="D5" s="30">
        <f>SUM(D6:D12)</f>
        <v>94219.038694000003</v>
      </c>
      <c r="E5" s="17">
        <f>SUM(E6:E12)</f>
        <v>2754.3108131280528</v>
      </c>
      <c r="F5" s="17">
        <f>SUM(F6:F12)</f>
        <v>24109.087141316413</v>
      </c>
      <c r="G5" s="18"/>
      <c r="H5" s="17"/>
      <c r="I5" s="17"/>
      <c r="J5" s="17">
        <f>SUM(J6:J12)</f>
        <v>0</v>
      </c>
      <c r="K5" s="17"/>
      <c r="L5" s="17"/>
      <c r="M5" s="17"/>
      <c r="N5" s="17">
        <f>SUM(N6:N12)</f>
        <v>3065.9434142878845</v>
      </c>
      <c r="O5" s="17">
        <f>B38*B39*B40</f>
        <v>4.6900000000000004</v>
      </c>
      <c r="P5" s="17">
        <f>B46*B47*B48/1000-B46*B47*B48/1000/B49</f>
        <v>76.266666666666666</v>
      </c>
      <c r="R5" s="32"/>
    </row>
    <row r="6" spans="1:18">
      <c r="A6" s="32" t="s">
        <v>53</v>
      </c>
      <c r="B6" s="37">
        <f>B26</f>
        <v>53310.834000000003</v>
      </c>
      <c r="C6" s="33"/>
      <c r="D6" s="37">
        <f>IF(ISERROR(TER_kantoor_gas_kWh/1000),0,TER_kantoor_gas_kWh/1000)*0.902</f>
        <v>46695.289828000001</v>
      </c>
      <c r="E6" s="33">
        <f>$C$26*'E Balans VL '!I12/100/3.6*1000000</f>
        <v>1866.0889013138697</v>
      </c>
      <c r="F6" s="33">
        <f>$C$26*('E Balans VL '!L12+'E Balans VL '!N12)/100/3.6*1000000</f>
        <v>8083.0670067901983</v>
      </c>
      <c r="G6" s="34"/>
      <c r="H6" s="33"/>
      <c r="I6" s="33"/>
      <c r="J6" s="33">
        <f>$C$26*('E Balans VL '!D12+'E Balans VL '!E12)/100/3.6*1000000</f>
        <v>0</v>
      </c>
      <c r="K6" s="33"/>
      <c r="L6" s="33"/>
      <c r="M6" s="33"/>
      <c r="N6" s="33">
        <f>$C$26*'E Balans VL '!Y12/100/3.6*1000000</f>
        <v>412.07606098817274</v>
      </c>
      <c r="O6" s="33"/>
      <c r="P6" s="33"/>
      <c r="R6" s="32"/>
    </row>
    <row r="7" spans="1:18">
      <c r="A7" s="32" t="s">
        <v>52</v>
      </c>
      <c r="B7" s="37">
        <f t="shared" ref="B7:B12" si="0">B27</f>
        <v>10015.797</v>
      </c>
      <c r="C7" s="33"/>
      <c r="D7" s="37">
        <f>IF(ISERROR(TER_horeca_gas_kWh/1000),0,TER_horeca_gas_kWh/1000)*0.902</f>
        <v>6001.2738939999999</v>
      </c>
      <c r="E7" s="33">
        <f>$C$27*'E Balans VL '!I9/100/3.6*1000000</f>
        <v>565.02412846584264</v>
      </c>
      <c r="F7" s="33">
        <f>$C$27*('E Balans VL '!L9+'E Balans VL '!N9)/100/3.6*1000000</f>
        <v>1744.8072655322617</v>
      </c>
      <c r="G7" s="34"/>
      <c r="H7" s="33"/>
      <c r="I7" s="33"/>
      <c r="J7" s="33">
        <f>$C$27*('E Balans VL '!D9+'E Balans VL '!E9)/100/3.6*1000000</f>
        <v>0</v>
      </c>
      <c r="K7" s="33"/>
      <c r="L7" s="33"/>
      <c r="M7" s="33"/>
      <c r="N7" s="33">
        <f>$C$27*'E Balans VL '!Y9/100/3.6*1000000</f>
        <v>0</v>
      </c>
      <c r="O7" s="33"/>
      <c r="P7" s="33"/>
      <c r="R7" s="32"/>
    </row>
    <row r="8" spans="1:18">
      <c r="A8" s="6" t="s">
        <v>51</v>
      </c>
      <c r="B8" s="37">
        <f t="shared" si="0"/>
        <v>48735.048000000003</v>
      </c>
      <c r="C8" s="33"/>
      <c r="D8" s="37">
        <f>IF(ISERROR(TER_handel_gas_kWh/1000),0,TER_handel_gas_kWh/1000)*0.902</f>
        <v>22925.563935999999</v>
      </c>
      <c r="E8" s="33">
        <f>$C$28*'E Balans VL '!I13/100/3.6*1000000</f>
        <v>250.20078502293529</v>
      </c>
      <c r="F8" s="33">
        <f>$C$28*('E Balans VL '!L13+'E Balans VL '!N13)/100/3.6*1000000</f>
        <v>7514.1913678061064</v>
      </c>
      <c r="G8" s="34"/>
      <c r="H8" s="33"/>
      <c r="I8" s="33"/>
      <c r="J8" s="33">
        <f>$C$28*('E Balans VL '!D13+'E Balans VL '!E13)/100/3.6*1000000</f>
        <v>0</v>
      </c>
      <c r="K8" s="33"/>
      <c r="L8" s="33"/>
      <c r="M8" s="33"/>
      <c r="N8" s="33">
        <f>$C$28*'E Balans VL '!Y13/100/3.6*1000000</f>
        <v>22.793976840935446</v>
      </c>
      <c r="O8" s="33"/>
      <c r="P8" s="33"/>
      <c r="R8" s="32"/>
    </row>
    <row r="9" spans="1:18">
      <c r="A9" s="32" t="s">
        <v>50</v>
      </c>
      <c r="B9" s="37">
        <f t="shared" si="0"/>
        <v>3789.32</v>
      </c>
      <c r="C9" s="33"/>
      <c r="D9" s="37">
        <f>IF(ISERROR(TER_gezond_gas_kWh/1000),0,TER_gezond_gas_kWh/1000)*0.902</f>
        <v>5696.5584500000004</v>
      </c>
      <c r="E9" s="33">
        <f>$C$29*'E Balans VL '!I10/100/3.6*1000000</f>
        <v>1.570646153430153</v>
      </c>
      <c r="F9" s="33">
        <f>$C$29*('E Balans VL '!L10+'E Balans VL '!N10)/100/3.6*1000000</f>
        <v>933.25516990183667</v>
      </c>
      <c r="G9" s="34"/>
      <c r="H9" s="33"/>
      <c r="I9" s="33"/>
      <c r="J9" s="33">
        <f>$C$29*('E Balans VL '!D10+'E Balans VL '!E10)/100/3.6*1000000</f>
        <v>0</v>
      </c>
      <c r="K9" s="33"/>
      <c r="L9" s="33"/>
      <c r="M9" s="33"/>
      <c r="N9" s="33">
        <f>$C$29*'E Balans VL '!Y10/100/3.6*1000000</f>
        <v>32.749103841111555</v>
      </c>
      <c r="O9" s="33"/>
      <c r="P9" s="33"/>
      <c r="R9" s="32"/>
    </row>
    <row r="10" spans="1:18">
      <c r="A10" s="32" t="s">
        <v>49</v>
      </c>
      <c r="B10" s="37">
        <f t="shared" si="0"/>
        <v>11223.103999999999</v>
      </c>
      <c r="C10" s="33"/>
      <c r="D10" s="37">
        <f>IF(ISERROR(TER_ander_gas_kWh/1000),0,TER_ander_gas_kWh/1000)*0.902</f>
        <v>9127.2685460000012</v>
      </c>
      <c r="E10" s="33">
        <f>$C$30*'E Balans VL '!I14/100/3.6*1000000</f>
        <v>68.41631888824945</v>
      </c>
      <c r="F10" s="33">
        <f>$C$30*('E Balans VL '!L14+'E Balans VL '!N14)/100/3.6*1000000</f>
        <v>2975.3986094854185</v>
      </c>
      <c r="G10" s="34"/>
      <c r="H10" s="33"/>
      <c r="I10" s="33"/>
      <c r="J10" s="33">
        <f>$C$30*('E Balans VL '!D14+'E Balans VL '!E14)/100/3.6*1000000</f>
        <v>0</v>
      </c>
      <c r="K10" s="33"/>
      <c r="L10" s="33"/>
      <c r="M10" s="33"/>
      <c r="N10" s="33">
        <f>$C$30*'E Balans VL '!Y14/100/3.6*1000000</f>
        <v>2586.6829585725714</v>
      </c>
      <c r="O10" s="33"/>
      <c r="P10" s="33"/>
      <c r="R10" s="32"/>
    </row>
    <row r="11" spans="1:18">
      <c r="A11" s="32" t="s">
        <v>54</v>
      </c>
      <c r="B11" s="37">
        <f t="shared" si="0"/>
        <v>3949.9050000000002</v>
      </c>
      <c r="C11" s="33"/>
      <c r="D11" s="37">
        <f>IF(ISERROR(TER_onderwijs_gas_kWh/1000),0,TER_onderwijs_gas_kWh/1000)*0.902</f>
        <v>3773.0840400000006</v>
      </c>
      <c r="E11" s="33">
        <f>$C$31*'E Balans VL '!I11/100/3.6*1000000</f>
        <v>3.0100332837261563</v>
      </c>
      <c r="F11" s="33">
        <f>$C$31*('E Balans VL '!L11+'E Balans VL '!N11)/100/3.6*1000000</f>
        <v>2858.3677218005892</v>
      </c>
      <c r="G11" s="34"/>
      <c r="H11" s="33"/>
      <c r="I11" s="33"/>
      <c r="J11" s="33">
        <f>$C$31*('E Balans VL '!D11+'E Balans VL '!E11)/100/3.6*1000000</f>
        <v>0</v>
      </c>
      <c r="K11" s="33"/>
      <c r="L11" s="33"/>
      <c r="M11" s="33"/>
      <c r="N11" s="33">
        <f>$C$31*'E Balans VL '!Y11/100/3.6*1000000</f>
        <v>11.641314045093281</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954</v>
      </c>
      <c r="C13" s="244">
        <f ca="1">'lokale energieproductie'!O38+'lokale energieproductie'!O31</f>
        <v>109.28571428571429</v>
      </c>
      <c r="D13" s="304">
        <f ca="1">('lokale energieproductie'!P31+'lokale energieproductie'!P38)*(-1)</f>
        <v>-218.57142857142858</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-2507.1428571428573</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131978.008</v>
      </c>
      <c r="C16" s="21">
        <f ca="1">C5+C13+C14</f>
        <v>109.28571428571429</v>
      </c>
      <c r="D16" s="21">
        <f t="shared" ref="D16:N16" ca="1" si="1">MAX((D5+D13+D14),0)</f>
        <v>94000.467265428568</v>
      </c>
      <c r="E16" s="21">
        <f t="shared" si="1"/>
        <v>2754.3108131280528</v>
      </c>
      <c r="F16" s="21">
        <f t="shared" ca="1" si="1"/>
        <v>24109.087141316413</v>
      </c>
      <c r="G16" s="21">
        <f t="shared" si="1"/>
        <v>0</v>
      </c>
      <c r="H16" s="21">
        <f t="shared" si="1"/>
        <v>0</v>
      </c>
      <c r="I16" s="21">
        <f t="shared" si="1"/>
        <v>0</v>
      </c>
      <c r="J16" s="21">
        <f t="shared" si="1"/>
        <v>0</v>
      </c>
      <c r="K16" s="21">
        <f t="shared" si="1"/>
        <v>0</v>
      </c>
      <c r="L16" s="21">
        <f t="shared" ca="1" si="1"/>
        <v>0</v>
      </c>
      <c r="M16" s="21">
        <f t="shared" si="1"/>
        <v>0</v>
      </c>
      <c r="N16" s="21">
        <f t="shared" ca="1" si="1"/>
        <v>558.80055714502714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0.21120064403935357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27873.84028863096</v>
      </c>
      <c r="C20" s="23">
        <f t="shared" ref="C20:P20" ca="1" si="2">C16*C18</f>
        <v>25.971428571428575</v>
      </c>
      <c r="D20" s="23">
        <f t="shared" ca="1" si="2"/>
        <v>18988.094387616573</v>
      </c>
      <c r="E20" s="23">
        <f t="shared" si="2"/>
        <v>625.22855458006802</v>
      </c>
      <c r="F20" s="23">
        <f t="shared" ca="1" si="2"/>
        <v>6437.1262667314822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53310.834000000003</v>
      </c>
      <c r="C26" s="39">
        <f>IF(ISERROR(B26*3.6/1000000/'E Balans VL '!Z12*100),0,B26*3.6/1000000/'E Balans VL '!Z12*100)</f>
        <v>1.1218380921665974</v>
      </c>
      <c r="D26" s="234" t="s">
        <v>700</v>
      </c>
      <c r="F26" s="6"/>
    </row>
    <row r="27" spans="1:18">
      <c r="A27" s="229" t="s">
        <v>52</v>
      </c>
      <c r="B27" s="33">
        <f>IF(ISERROR(TER_horeca_ele_kWh/1000),0,TER_horeca_ele_kWh/1000)</f>
        <v>10015.797</v>
      </c>
      <c r="C27" s="39">
        <f>IF(ISERROR(B27*3.6/1000000/'E Balans VL '!Z9*100),0,B27*3.6/1000000/'E Balans VL '!Z9*100)</f>
        <v>0.84800938786106228</v>
      </c>
      <c r="D27" s="234" t="s">
        <v>700</v>
      </c>
      <c r="F27" s="6"/>
    </row>
    <row r="28" spans="1:18">
      <c r="A28" s="169" t="s">
        <v>51</v>
      </c>
      <c r="B28" s="33">
        <f>IF(ISERROR(TER_handel_ele_kWh/1000),0,TER_handel_ele_kWh/1000)</f>
        <v>48735.048000000003</v>
      </c>
      <c r="C28" s="39">
        <f>IF(ISERROR(B28*3.6/1000000/'E Balans VL '!Z13*100),0,B28*3.6/1000000/'E Balans VL '!Z13*100)</f>
        <v>1.34922306484407</v>
      </c>
      <c r="D28" s="234" t="s">
        <v>700</v>
      </c>
      <c r="F28" s="6"/>
    </row>
    <row r="29" spans="1:18">
      <c r="A29" s="229" t="s">
        <v>50</v>
      </c>
      <c r="B29" s="33">
        <f>IF(ISERROR(TER_gezond_ele_kWh/1000),0,TER_gezond_ele_kWh/1000)</f>
        <v>3789.32</v>
      </c>
      <c r="C29" s="39">
        <f>IF(ISERROR(B29*3.6/1000000/'E Balans VL '!Z10*100),0,B29*3.6/1000000/'E Balans VL '!Z10*100)</f>
        <v>0.49256959048992299</v>
      </c>
      <c r="D29" s="234" t="s">
        <v>700</v>
      </c>
      <c r="F29" s="6"/>
    </row>
    <row r="30" spans="1:18">
      <c r="A30" s="229" t="s">
        <v>49</v>
      </c>
      <c r="B30" s="33">
        <f>IF(ISERROR(TER_ander_ele_kWh/1000),0,TER_ander_ele_kWh/1000)</f>
        <v>11223.103999999999</v>
      </c>
      <c r="C30" s="39">
        <f>IF(ISERROR(B30*3.6/1000000/'E Balans VL '!Z14*100),0,B30*3.6/1000000/'E Balans VL '!Z14*100)</f>
        <v>0.86989348372612829</v>
      </c>
      <c r="D30" s="234" t="s">
        <v>700</v>
      </c>
      <c r="F30" s="6"/>
    </row>
    <row r="31" spans="1:18">
      <c r="A31" s="229" t="s">
        <v>54</v>
      </c>
      <c r="B31" s="33">
        <f>IF(ISERROR(TER_onderwijs_ele_kWh/1000),0,TER_onderwijs_ele_kWh/1000)</f>
        <v>3949.9050000000002</v>
      </c>
      <c r="C31" s="39">
        <f>IF(ISERROR(B31*3.6/1000000/'E Balans VL '!Z11*100),0,B31*3.6/1000000/'E Balans VL '!Z11*100)</f>
        <v>0.75568413145688296</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268526.23200000002</v>
      </c>
      <c r="C5" s="17">
        <f>IF(ISERROR('Eigen informatie GS &amp; warmtenet'!B59),0,'Eigen informatie GS &amp; warmtenet'!B59)</f>
        <v>0</v>
      </c>
      <c r="D5" s="30">
        <f>SUM(D6:D15)</f>
        <v>96941.638200000001</v>
      </c>
      <c r="E5" s="17">
        <f>SUM(E6:E15)</f>
        <v>3176.1972028781979</v>
      </c>
      <c r="F5" s="17">
        <f>SUM(F6:F15)</f>
        <v>97615.778902447579</v>
      </c>
      <c r="G5" s="18"/>
      <c r="H5" s="17"/>
      <c r="I5" s="17"/>
      <c r="J5" s="17">
        <f>SUM(J6:J15)</f>
        <v>1344.1196199720571</v>
      </c>
      <c r="K5" s="17"/>
      <c r="L5" s="17"/>
      <c r="M5" s="17"/>
      <c r="N5" s="17">
        <f>SUM(N6:N15)</f>
        <v>8731.847603313925</v>
      </c>
      <c r="O5" s="17">
        <f>B43*B44*B45</f>
        <v>0</v>
      </c>
      <c r="P5" s="17">
        <f>B51*B52*B53/1000-B51*B52*B53/1000/B54</f>
        <v>0</v>
      </c>
      <c r="R5" s="32"/>
    </row>
    <row r="6" spans="1:18">
      <c r="A6" s="6" t="s">
        <v>34</v>
      </c>
      <c r="B6" s="37">
        <f>IF( ISERROR(IND_ijzer_ele_kWh/1000),0,IND_ijzer_ele_kWh/1000)</f>
        <v>1978.355</v>
      </c>
      <c r="C6" s="33"/>
      <c r="D6" s="37">
        <f>IF( ISERROR(IND_ijzer_gas_kWh/1000),0,IND_ijzer_gas_kWh/1000)*0.902</f>
        <v>6414.6018640000002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63230.998</v>
      </c>
      <c r="C8" s="33"/>
      <c r="D8" s="37">
        <f>IF( ISERROR(IND_metaal_Gas_kWH/1000),0,IND_metaal_Gas_kWH/1000)*0.902</f>
        <v>54500.137977999999</v>
      </c>
      <c r="E8" s="33">
        <f>C30*'E Balans VL '!I18/100/3.6*1000000</f>
        <v>444.31027165912525</v>
      </c>
      <c r="F8" s="33">
        <f>C30*'E Balans VL '!L18/100/3.6*1000000+C30*'E Balans VL '!N18/100/3.6*1000000</f>
        <v>6942.3936426492683</v>
      </c>
      <c r="G8" s="34"/>
      <c r="H8" s="33"/>
      <c r="I8" s="33"/>
      <c r="J8" s="40">
        <f>C30*'E Balans VL '!D18/100/3.6*1000000+C30*'E Balans VL '!E18/100/3.6*1000000</f>
        <v>1304.5917763128502</v>
      </c>
      <c r="K8" s="33"/>
      <c r="L8" s="33"/>
      <c r="M8" s="33"/>
      <c r="N8" s="33">
        <f>C30*'E Balans VL '!Y18/100/3.6*1000000</f>
        <v>236.99433439559138</v>
      </c>
      <c r="O8" s="33"/>
      <c r="P8" s="33"/>
      <c r="R8" s="32"/>
    </row>
    <row r="9" spans="1:18">
      <c r="A9" s="6" t="s">
        <v>32</v>
      </c>
      <c r="B9" s="37">
        <f t="shared" si="0"/>
        <v>109151.717</v>
      </c>
      <c r="C9" s="33"/>
      <c r="D9" s="37">
        <f>IF( ISERROR(IND_andere_gas_kWh/1000),0,IND_andere_gas_kWh/1000)*0.902</f>
        <v>13609.481534</v>
      </c>
      <c r="E9" s="33">
        <f>C31*'E Balans VL '!I19/100/3.6*1000000</f>
        <v>1833.3368021376118</v>
      </c>
      <c r="F9" s="33">
        <f>C31*'E Balans VL '!L19/100/3.6*1000000+C31*'E Balans VL '!N19/100/3.6*1000000</f>
        <v>85328.595532994397</v>
      </c>
      <c r="G9" s="34"/>
      <c r="H9" s="33"/>
      <c r="I9" s="33"/>
      <c r="J9" s="40">
        <f>C31*'E Balans VL '!D19/100/3.6*1000000+C31*'E Balans VL '!E19/100/3.6*1000000</f>
        <v>9.8445213491800523</v>
      </c>
      <c r="K9" s="33"/>
      <c r="L9" s="33"/>
      <c r="M9" s="33"/>
      <c r="N9" s="33">
        <f>C31*'E Balans VL '!Y19/100/3.6*1000000</f>
        <v>8089.893414829713</v>
      </c>
      <c r="O9" s="33"/>
      <c r="P9" s="33"/>
      <c r="R9" s="32"/>
    </row>
    <row r="10" spans="1:18">
      <c r="A10" s="6" t="s">
        <v>40</v>
      </c>
      <c r="B10" s="37">
        <f t="shared" si="0"/>
        <v>5884.07</v>
      </c>
      <c r="C10" s="33"/>
      <c r="D10" s="37">
        <f>IF( ISERROR(IND_voed_gas_kWh/1000),0,IND_voed_gas_kWh/1000)*0.902</f>
        <v>4455.0898479999996</v>
      </c>
      <c r="E10" s="33">
        <f>C32*'E Balans VL '!I20/100/3.6*1000000</f>
        <v>53.683809554829061</v>
      </c>
      <c r="F10" s="33">
        <f>C32*'E Balans VL '!L20/100/3.6*1000000+C32*'E Balans VL '!N20/100/3.6*1000000</f>
        <v>949.28453393903237</v>
      </c>
      <c r="G10" s="34"/>
      <c r="H10" s="33"/>
      <c r="I10" s="33"/>
      <c r="J10" s="40">
        <f>C32*'E Balans VL '!D20/100/3.6*1000000+C32*'E Balans VL '!E20/100/3.6*1000000</f>
        <v>24.234458043028301</v>
      </c>
      <c r="K10" s="33"/>
      <c r="L10" s="33"/>
      <c r="M10" s="33"/>
      <c r="N10" s="33">
        <f>C32*'E Balans VL '!Y20/100/3.6*1000000</f>
        <v>86.079304380586308</v>
      </c>
      <c r="O10" s="33"/>
      <c r="P10" s="33"/>
      <c r="R10" s="32"/>
    </row>
    <row r="11" spans="1:18">
      <c r="A11" s="6" t="s">
        <v>39</v>
      </c>
      <c r="B11" s="37">
        <f t="shared" si="0"/>
        <v>113.04</v>
      </c>
      <c r="C11" s="33"/>
      <c r="D11" s="37">
        <f>IF( ISERROR(IND_textiel_gas_kWh/1000),0,IND_textiel_gas_kWh/1000)*0.902</f>
        <v>80.639702</v>
      </c>
      <c r="E11" s="33">
        <f>C33*'E Balans VL '!I21/100/3.6*1000000</f>
        <v>0.2578232719764928</v>
      </c>
      <c r="F11" s="33">
        <f>C33*'E Balans VL '!L21/100/3.6*1000000+C33*'E Balans VL '!N21/100/3.6*1000000</f>
        <v>2.4163348441276629</v>
      </c>
      <c r="G11" s="34"/>
      <c r="H11" s="33"/>
      <c r="I11" s="33"/>
      <c r="J11" s="40">
        <f>C33*'E Balans VL '!D21/100/3.6*1000000+C33*'E Balans VL '!E21/100/3.6*1000000</f>
        <v>0</v>
      </c>
      <c r="K11" s="33"/>
      <c r="L11" s="33"/>
      <c r="M11" s="33"/>
      <c r="N11" s="33">
        <f>C33*'E Balans VL '!Y21/100/3.6*1000000</f>
        <v>0.80189050982493937</v>
      </c>
      <c r="O11" s="33"/>
      <c r="P11" s="33"/>
      <c r="R11" s="32"/>
    </row>
    <row r="12" spans="1:18">
      <c r="A12" s="6" t="s">
        <v>36</v>
      </c>
      <c r="B12" s="37">
        <f t="shared" si="0"/>
        <v>959.20799999999997</v>
      </c>
      <c r="C12" s="33"/>
      <c r="D12" s="37">
        <f>IF( ISERROR(IND_min_gas_kWh/1000),0,IND_min_gas_kWh/1000)*0.902</f>
        <v>682.71929</v>
      </c>
      <c r="E12" s="33">
        <f>C34*'E Balans VL '!I22/100/3.6*1000000</f>
        <v>23.791476831553062</v>
      </c>
      <c r="F12" s="33">
        <f>C34*'E Balans VL '!L22/100/3.6*1000000+C34*'E Balans VL '!N22/100/3.6*1000000</f>
        <v>101.92503441301287</v>
      </c>
      <c r="G12" s="34"/>
      <c r="H12" s="33"/>
      <c r="I12" s="33"/>
      <c r="J12" s="40">
        <f>C34*'E Balans VL '!D22/100/3.6*1000000+C34*'E Balans VL '!E22/100/3.6*1000000</f>
        <v>5.4488642669983953</v>
      </c>
      <c r="K12" s="33"/>
      <c r="L12" s="33"/>
      <c r="M12" s="33"/>
      <c r="N12" s="33">
        <f>C34*'E Balans VL '!Y22/100/3.6*1000000</f>
        <v>0</v>
      </c>
      <c r="O12" s="33"/>
      <c r="P12" s="33"/>
      <c r="R12" s="32"/>
    </row>
    <row r="13" spans="1:18">
      <c r="A13" s="6" t="s">
        <v>38</v>
      </c>
      <c r="B13" s="37">
        <f t="shared" si="0"/>
        <v>19181.236000000001</v>
      </c>
      <c r="C13" s="33"/>
      <c r="D13" s="37">
        <f>IF( ISERROR(IND_papier_gas_kWh/1000),0,IND_papier_gas_kWh/1000)*0.902</f>
        <v>6530.5151779999997</v>
      </c>
      <c r="E13" s="33">
        <f>C35*'E Balans VL '!I23/100/3.6*1000000</f>
        <v>590.15657315238138</v>
      </c>
      <c r="F13" s="33">
        <f>C35*'E Balans VL '!L23/100/3.6*1000000+C35*'E Balans VL '!N23/100/3.6*1000000</f>
        <v>4072.8467473926416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68027.607999999993</v>
      </c>
      <c r="C14" s="33"/>
      <c r="D14" s="37">
        <f>IF( ISERROR(IND_chemie_gas_kWh/1000),0,IND_chemie_gas_kWh/1000)*0.902</f>
        <v>10668.452805999999</v>
      </c>
      <c r="E14" s="33">
        <f>C36*'E Balans VL '!I24/100/3.6*1000000</f>
        <v>230.66044627072046</v>
      </c>
      <c r="F14" s="33">
        <f>C36*'E Balans VL '!L24/100/3.6*1000000+C36*'E Balans VL '!N24/100/3.6*1000000</f>
        <v>218.31707621509537</v>
      </c>
      <c r="G14" s="34"/>
      <c r="H14" s="33"/>
      <c r="I14" s="33"/>
      <c r="J14" s="40">
        <f>C36*'E Balans VL '!D24/100/3.6*1000000+C36*'E Balans VL '!E24/100/3.6*1000000</f>
        <v>0</v>
      </c>
      <c r="K14" s="33"/>
      <c r="L14" s="33"/>
      <c r="M14" s="33"/>
      <c r="N14" s="33">
        <f>C36*'E Balans VL '!Y24/100/3.6*1000000</f>
        <v>318.0786591982091</v>
      </c>
      <c r="O14" s="33"/>
      <c r="P14" s="33"/>
      <c r="R14" s="32"/>
    </row>
    <row r="15" spans="1:18">
      <c r="A15" s="6" t="s">
        <v>259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268526.23200000002</v>
      </c>
      <c r="C18" s="21">
        <f>C5+C16</f>
        <v>0</v>
      </c>
      <c r="D18" s="21">
        <f>MAX((D5+D16),0)</f>
        <v>96941.638200000001</v>
      </c>
      <c r="E18" s="21">
        <f>MAX((E5+E16),0)</f>
        <v>3176.1972028781979</v>
      </c>
      <c r="F18" s="21">
        <f>MAX((F5+F16),0)</f>
        <v>97615.778902447579</v>
      </c>
      <c r="G18" s="21"/>
      <c r="H18" s="21"/>
      <c r="I18" s="21"/>
      <c r="J18" s="21">
        <f>MAX((J5+J16),0)</f>
        <v>1344.1196199720571</v>
      </c>
      <c r="K18" s="21"/>
      <c r="L18" s="21">
        <f>MAX((L5+L16),0)</f>
        <v>0</v>
      </c>
      <c r="M18" s="21"/>
      <c r="N18" s="21">
        <f>MAX((N5+N16),0)</f>
        <v>8731.847603313925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0.21120064403935357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56712.913139860881</v>
      </c>
      <c r="C22" s="23">
        <f ca="1">C18*C20</f>
        <v>0</v>
      </c>
      <c r="D22" s="23">
        <f>D18*D20</f>
        <v>19582.210916400003</v>
      </c>
      <c r="E22" s="23">
        <f>E18*E20</f>
        <v>720.99676505335094</v>
      </c>
      <c r="F22" s="23">
        <f>F18*F20</f>
        <v>26063.412966953503</v>
      </c>
      <c r="G22" s="23"/>
      <c r="H22" s="23"/>
      <c r="I22" s="23"/>
      <c r="J22" s="23">
        <f>J18*J20</f>
        <v>475.81834547010817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63230.998</v>
      </c>
      <c r="C30" s="39">
        <f>IF(ISERROR(B30*3.6/1000000/'E Balans VL '!Z18*100),0,B30*3.6/1000000/'E Balans VL '!Z18*100)</f>
        <v>4.2093261489430027</v>
      </c>
      <c r="D30" s="234" t="s">
        <v>700</v>
      </c>
    </row>
    <row r="31" spans="1:18">
      <c r="A31" s="6" t="s">
        <v>32</v>
      </c>
      <c r="B31" s="37">
        <f>IF( ISERROR(IND_ander_ele_kWh/1000),0,IND_ander_ele_kWh/1000)</f>
        <v>109151.717</v>
      </c>
      <c r="C31" s="39">
        <f>IF(ISERROR(B31*3.6/1000000/'E Balans VL '!Z19*100),0,B31*3.6/1000000/'E Balans VL '!Z19*100)</f>
        <v>4.8382630521567487</v>
      </c>
      <c r="D31" s="234" t="s">
        <v>700</v>
      </c>
    </row>
    <row r="32" spans="1:18">
      <c r="A32" s="169" t="s">
        <v>40</v>
      </c>
      <c r="B32" s="37">
        <f>IF( ISERROR(IND_voed_ele_kWh/1000),0,IND_voed_ele_kWh/1000)</f>
        <v>5884.07</v>
      </c>
      <c r="C32" s="39">
        <f>IF(ISERROR(B32*3.6/1000000/'E Balans VL '!Z20*100),0,B32*3.6/1000000/'E Balans VL '!Z20*100)</f>
        <v>0.19654481721223302</v>
      </c>
      <c r="D32" s="234" t="s">
        <v>700</v>
      </c>
    </row>
    <row r="33" spans="1:5">
      <c r="A33" s="169" t="s">
        <v>39</v>
      </c>
      <c r="B33" s="37">
        <f>IF( ISERROR(IND_textiel_ele_kWh/1000),0,IND_textiel_ele_kWh/1000)</f>
        <v>113.04</v>
      </c>
      <c r="C33" s="39">
        <f>IF(ISERROR(B33*3.6/1000000/'E Balans VL '!Z21*100),0,B33*3.6/1000000/'E Balans VL '!Z21*100)</f>
        <v>1.488197667475916E-2</v>
      </c>
      <c r="D33" s="234" t="s">
        <v>700</v>
      </c>
    </row>
    <row r="34" spans="1:5">
      <c r="A34" s="169" t="s">
        <v>36</v>
      </c>
      <c r="B34" s="37">
        <f>IF( ISERROR(IND_min_ele_kWh/1000),0,IND_min_ele_kWh/1000)</f>
        <v>959.20799999999997</v>
      </c>
      <c r="C34" s="39">
        <f>IF(ISERROR(B34*3.6/1000000/'E Balans VL '!Z22*100),0,B34*3.6/1000000/'E Balans VL '!Z22*100)</f>
        <v>0.18655541969903955</v>
      </c>
      <c r="D34" s="234" t="s">
        <v>700</v>
      </c>
    </row>
    <row r="35" spans="1:5">
      <c r="A35" s="169" t="s">
        <v>38</v>
      </c>
      <c r="B35" s="37">
        <f>IF( ISERROR(IND_papier_ele_kWh/1000),0,IND_papier_ele_kWh/1000)</f>
        <v>19181.236000000001</v>
      </c>
      <c r="C35" s="39">
        <f>IF(ISERROR(B35*3.6/1000000/'E Balans VL '!Z22*100),0,B35*3.6/1000000/'E Balans VL '!Z22*100)</f>
        <v>3.7305397080991058</v>
      </c>
      <c r="D35" s="234" t="s">
        <v>700</v>
      </c>
    </row>
    <row r="36" spans="1:5">
      <c r="A36" s="169" t="s">
        <v>33</v>
      </c>
      <c r="B36" s="37">
        <f>IF( ISERROR(IND_chemie_ele_kWh/1000),0,IND_chemie_ele_kWh/1000)</f>
        <v>68027.607999999993</v>
      </c>
      <c r="C36" s="39">
        <f>IF(ISERROR(B36*3.6/1000000/'E Balans VL '!Z24*100),0,B36*3.6/1000000/'E Balans VL '!Z24*100)</f>
        <v>1.5974714612901446</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272.40899999999999</v>
      </c>
      <c r="C5" s="17">
        <f>'Eigen informatie GS &amp; warmtenet'!B60</f>
        <v>0</v>
      </c>
      <c r="D5" s="30">
        <f>IF(ISERROR(SUM(LB_lb_gas_kWh,LB_rest_gas_kWh)/1000),0,SUM(LB_lb_gas_kWh,LB_rest_gas_kWh)/1000)*0.902</f>
        <v>61.961086000000002</v>
      </c>
      <c r="E5" s="17">
        <f>B17*'E Balans VL '!I25/3.6*1000000/100</f>
        <v>2.8527260221435484</v>
      </c>
      <c r="F5" s="17">
        <f>B17*('E Balans VL '!L25/3.6*1000000+'E Balans VL '!N25/3.6*1000000)/100</f>
        <v>1166.1175068802704</v>
      </c>
      <c r="G5" s="18"/>
      <c r="H5" s="17"/>
      <c r="I5" s="17"/>
      <c r="J5" s="17">
        <f>('E Balans VL '!D25+'E Balans VL '!E25)/3.6*1000000*landbouw!B17/100</f>
        <v>24.328565343520609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272.40899999999999</v>
      </c>
      <c r="C8" s="21">
        <f>C5+C6</f>
        <v>0</v>
      </c>
      <c r="D8" s="21">
        <f>MAX((D5+D6),0)</f>
        <v>61.961086000000002</v>
      </c>
      <c r="E8" s="21">
        <f>MAX((E5+E6),0)</f>
        <v>2.8527260221435484</v>
      </c>
      <c r="F8" s="21">
        <f>MAX((F5+F6),0)</f>
        <v>1166.1175068802704</v>
      </c>
      <c r="G8" s="21"/>
      <c r="H8" s="21"/>
      <c r="I8" s="21"/>
      <c r="J8" s="21">
        <f>MAX((J5+J6),0)</f>
        <v>24.328565343520609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0.21120064403935357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57.532956242116263</v>
      </c>
      <c r="C12" s="23">
        <f ca="1">C8*C10</f>
        <v>0</v>
      </c>
      <c r="D12" s="23">
        <f>D8*D10</f>
        <v>12.516139372000001</v>
      </c>
      <c r="E12" s="23">
        <f>E8*E10</f>
        <v>0.64756880702658548</v>
      </c>
      <c r="F12" s="23">
        <f>F8*F10</f>
        <v>311.35337433703222</v>
      </c>
      <c r="G12" s="23"/>
      <c r="H12" s="23"/>
      <c r="I12" s="23"/>
      <c r="J12" s="23">
        <f>J8*J10</f>
        <v>8.6123121316062949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4.1929003565456202E-2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4.6646341980125339</v>
      </c>
      <c r="C26" s="244">
        <f>B26*'GWP N2O_CH4'!B5</f>
        <v>97.957318158263206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0.3287783204487757</v>
      </c>
      <c r="C27" s="244">
        <f>B27*'GWP N2O_CH4'!B5</f>
        <v>6.9043447294242899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5.6180486581454199E-2</v>
      </c>
      <c r="C28" s="244">
        <f>B28*'GWP N2O_CH4'!B4</f>
        <v>17.415950840250801</v>
      </c>
      <c r="D28" s="50"/>
    </row>
    <row r="29" spans="1:4">
      <c r="A29" s="41" t="s">
        <v>266</v>
      </c>
      <c r="B29" s="244">
        <f>B34*'ha_N2O bodem landbouw'!B4</f>
        <v>2.6271422108161793</v>
      </c>
      <c r="C29" s="244">
        <f>B29*'GWP N2O_CH4'!B4</f>
        <v>814.41408535301559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4.3416975442644984E-4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1.8487974076574559E-5</v>
      </c>
      <c r="C5" s="433" t="s">
        <v>204</v>
      </c>
      <c r="D5" s="418">
        <f>SUM(D6:D11)</f>
        <v>6.0592477051286676E-5</v>
      </c>
      <c r="E5" s="418">
        <f>SUM(E6:E11)</f>
        <v>6.6394903990526985E-3</v>
      </c>
      <c r="F5" s="431" t="s">
        <v>204</v>
      </c>
      <c r="G5" s="418">
        <f>SUM(G6:G11)</f>
        <v>1.2902575453634635</v>
      </c>
      <c r="H5" s="418">
        <f>SUM(H6:H11)</f>
        <v>0.20301285884423412</v>
      </c>
      <c r="I5" s="433" t="s">
        <v>204</v>
      </c>
      <c r="J5" s="433" t="s">
        <v>204</v>
      </c>
      <c r="K5" s="433" t="s">
        <v>204</v>
      </c>
      <c r="L5" s="433" t="s">
        <v>204</v>
      </c>
      <c r="M5" s="418">
        <f>SUM(M6:M11)</f>
        <v>6.4926911828966344E-2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9.6684201700564299E-6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3.0612354722030481E-5</v>
      </c>
      <c r="E6" s="421">
        <f>vkm_GW_PW*SUMIFS(TableVerdeelsleutelVkm[LPG],TableVerdeelsleutelVkm[Voertuigtype],"Lichte voertuigen")*SUMIFS(TableECFTransport[EnergieConsumptieFactor (PJ per km)],TableECFTransport[Index],CONCATENATE($A6,"_LPG_LPG"))</f>
        <v>3.1900735557135432E-3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0.42491859288232992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0.10193705292383573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2.2996803698970444E-2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4.1704464868782877E-7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0.18799420368271774</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5.0899395531192283E-6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8.0988684697528759E-3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2.4343102688543895E-6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1.3098908043898841E-5</v>
      </c>
      <c r="E8" s="421">
        <f>vkm_NGW_PW*SUMIFS(TableVerdeelsleutelVkm[LPG],TableVerdeelsleutelVkm[Voertuigtype],"Lichte voertuigen")*SUMIFS(TableECFTransport[EnergieConsumptieFactor (PJ per km)],TableECFTransport[Index],CONCATENATE($A8,"_LPG_LPG"))</f>
        <v>1.2881942002738976E-3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0.16246181456226161</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4.1244851441058501E-2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8.8970186826463783E-3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6.9503277050145629E-9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4.3397649142751186E-3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1.0238864602725993E-7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1.8695818168728236E-4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5.4090156152502396E-6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1.6881214285357348E-5</v>
      </c>
      <c r="E10" s="421">
        <f>vkm_SW_PW*SUMIFS(TableVerdeelsleutelVkm[LPG],TableVerdeelsleutelVkm[Voertuigtype],"Lichte voertuigen")*SUMIFS(TableECFTransport[EnergieConsumptieFactor (PJ per km)],TableECFTransport[Index],CONCATENATE($A10,"_LPG_LPG"))</f>
        <v>2.1612226430652586E-3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0.27034256866678769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5.9818824972107741E-2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1.4399301071698897E-2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5.5223304602065246E-7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0.24020060065509147</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6.9371790329814516E-6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1.0347961724210477E-2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5.1355483546040439</v>
      </c>
      <c r="C14" s="21"/>
      <c r="D14" s="21">
        <f t="shared" ref="D14:M14" si="0">((D5)*10^9/3600)+D12</f>
        <v>16.831243625357409</v>
      </c>
      <c r="E14" s="21">
        <f t="shared" si="0"/>
        <v>1844.3028886257496</v>
      </c>
      <c r="F14" s="21"/>
      <c r="G14" s="21">
        <f t="shared" si="0"/>
        <v>358404.87371207314</v>
      </c>
      <c r="H14" s="21">
        <f t="shared" si="0"/>
        <v>56392.46079006503</v>
      </c>
      <c r="I14" s="21"/>
      <c r="J14" s="21"/>
      <c r="K14" s="21"/>
      <c r="L14" s="21"/>
      <c r="M14" s="21">
        <f t="shared" si="0"/>
        <v>18035.253285823983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0.21120064403935357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1.0846311199876166</v>
      </c>
      <c r="C18" s="23"/>
      <c r="D18" s="23">
        <f t="shared" ref="D18:M18" si="1">D14*D16</f>
        <v>3.3999112123221971</v>
      </c>
      <c r="E18" s="23">
        <f t="shared" si="1"/>
        <v>418.65675571804519</v>
      </c>
      <c r="F18" s="23"/>
      <c r="G18" s="23">
        <f t="shared" si="1"/>
        <v>95694.101281123527</v>
      </c>
      <c r="H18" s="23">
        <f t="shared" si="1"/>
        <v>14041.722736726193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2.7672819955235225E-4</v>
      </c>
      <c r="C50" s="315">
        <f t="shared" ref="C50:P50" si="2">SUM(C51:C52)</f>
        <v>0</v>
      </c>
      <c r="D50" s="315">
        <f t="shared" si="2"/>
        <v>0</v>
      </c>
      <c r="E50" s="315">
        <f t="shared" si="2"/>
        <v>0</v>
      </c>
      <c r="F50" s="315">
        <f t="shared" si="2"/>
        <v>0</v>
      </c>
      <c r="G50" s="315">
        <f t="shared" si="2"/>
        <v>6.0033404580956691E-2</v>
      </c>
      <c r="H50" s="315">
        <f t="shared" si="2"/>
        <v>0</v>
      </c>
      <c r="I50" s="315">
        <f t="shared" si="2"/>
        <v>0</v>
      </c>
      <c r="J50" s="315">
        <f t="shared" si="2"/>
        <v>0</v>
      </c>
      <c r="K50" s="315">
        <f t="shared" si="2"/>
        <v>0</v>
      </c>
      <c r="L50" s="315">
        <f t="shared" si="2"/>
        <v>0</v>
      </c>
      <c r="M50" s="315">
        <f t="shared" si="2"/>
        <v>2.5703997808995873E-3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2.7672819955235225E-4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6.0033404580956691E-2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2.5703997808995873E-3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76.868944320097853</v>
      </c>
      <c r="C54" s="21">
        <f t="shared" ref="C54:P54" si="3">(C50)*10^9/3600</f>
        <v>0</v>
      </c>
      <c r="D54" s="21">
        <f t="shared" si="3"/>
        <v>0</v>
      </c>
      <c r="E54" s="21">
        <f t="shared" si="3"/>
        <v>0</v>
      </c>
      <c r="F54" s="21">
        <f t="shared" si="3"/>
        <v>0</v>
      </c>
      <c r="G54" s="21">
        <f t="shared" si="3"/>
        <v>16675.945716932412</v>
      </c>
      <c r="H54" s="21">
        <f t="shared" si="3"/>
        <v>0</v>
      </c>
      <c r="I54" s="21">
        <f t="shared" si="3"/>
        <v>0</v>
      </c>
      <c r="J54" s="21">
        <f t="shared" si="3"/>
        <v>0</v>
      </c>
      <c r="K54" s="21">
        <f t="shared" si="3"/>
        <v>0</v>
      </c>
      <c r="L54" s="21">
        <f t="shared" si="3"/>
        <v>0</v>
      </c>
      <c r="M54" s="21">
        <f t="shared" si="3"/>
        <v>713.99993913877415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0.21120064403935357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16.234770547029875</v>
      </c>
      <c r="C58" s="23">
        <f t="shared" ref="C58:P58" ca="1" si="4">C54*C56</f>
        <v>0</v>
      </c>
      <c r="D58" s="23">
        <f t="shared" si="4"/>
        <v>0</v>
      </c>
      <c r="E58" s="23">
        <f t="shared" si="4"/>
        <v>0</v>
      </c>
      <c r="F58" s="23">
        <f t="shared" si="4"/>
        <v>0</v>
      </c>
      <c r="G58" s="23">
        <f t="shared" si="4"/>
        <v>4452.4775064209543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6607.4746365291803</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17019.061653660436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76.5</v>
      </c>
      <c r="C8" s="544">
        <f>B48</f>
        <v>90.000000000000014</v>
      </c>
      <c r="D8" s="963"/>
      <c r="E8" s="963">
        <f>E48</f>
        <v>0</v>
      </c>
      <c r="F8" s="964"/>
      <c r="G8" s="545"/>
      <c r="H8" s="963">
        <f>I48</f>
        <v>0</v>
      </c>
      <c r="I8" s="963">
        <f>G48+F48</f>
        <v>0</v>
      </c>
      <c r="J8" s="963">
        <f>H48+D48+C48</f>
        <v>0</v>
      </c>
      <c r="K8" s="963"/>
      <c r="L8" s="963"/>
      <c r="M8" s="963"/>
      <c r="N8" s="546"/>
      <c r="O8" s="547">
        <f>C8*$C$12+D8*$D$12+E8*$E$12+F8*$F$12+G8*$G$12+H8*$H$12+I8*$I$12+J8*$J$12</f>
        <v>18.180000000000003</v>
      </c>
      <c r="P8" s="1253"/>
      <c r="Q8" s="1254"/>
      <c r="S8" s="996"/>
      <c r="T8" s="1250"/>
      <c r="U8" s="1250"/>
    </row>
    <row r="9" spans="1:21" s="532" customFormat="1" ht="17.45" customHeight="1" thickBot="1">
      <c r="A9" s="548" t="s">
        <v>237</v>
      </c>
      <c r="B9" s="1000">
        <f>N36+'Eigen informatie GS &amp; warmtenet'!B12</f>
        <v>877.5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24580.536290189615</v>
      </c>
      <c r="C10" s="556">
        <f t="shared" ref="C10:L10" si="0">SUM(C8:C9)</f>
        <v>90.000000000000014</v>
      </c>
      <c r="D10" s="556">
        <f t="shared" si="0"/>
        <v>0</v>
      </c>
      <c r="E10" s="556">
        <f t="shared" si="0"/>
        <v>0</v>
      </c>
      <c r="F10" s="556">
        <f t="shared" si="0"/>
        <v>0</v>
      </c>
      <c r="G10" s="556">
        <f t="shared" si="0"/>
        <v>0</v>
      </c>
      <c r="H10" s="556">
        <f t="shared" si="0"/>
        <v>0</v>
      </c>
      <c r="I10" s="556">
        <f t="shared" si="0"/>
        <v>0</v>
      </c>
      <c r="J10" s="556">
        <f t="shared" si="0"/>
        <v>2507.1428571428573</v>
      </c>
      <c r="K10" s="556">
        <f t="shared" si="0"/>
        <v>0</v>
      </c>
      <c r="L10" s="556">
        <f t="shared" si="0"/>
        <v>0</v>
      </c>
      <c r="M10" s="958"/>
      <c r="N10" s="958"/>
      <c r="O10" s="557">
        <f>SUM(O4:O9)</f>
        <v>18.180000000000003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109.28571428571429</v>
      </c>
      <c r="C17" s="568">
        <f>B49</f>
        <v>128.57142857142858</v>
      </c>
      <c r="D17" s="569"/>
      <c r="E17" s="569">
        <f>E49</f>
        <v>0</v>
      </c>
      <c r="F17" s="570"/>
      <c r="G17" s="571"/>
      <c r="H17" s="568">
        <f>I49</f>
        <v>0</v>
      </c>
      <c r="I17" s="569">
        <f>G49+F49</f>
        <v>0</v>
      </c>
      <c r="J17" s="569">
        <f>H49+D49+C49</f>
        <v>0</v>
      </c>
      <c r="K17" s="569"/>
      <c r="L17" s="569"/>
      <c r="M17" s="569"/>
      <c r="N17" s="959"/>
      <c r="O17" s="572">
        <f>C17*$C$22+E17*$E$22+H17*$H$22+I17*$I$22+J17*$J$22+D17*$D$22+F17*$F$22+G17*$G$22+K17*$K$22+L17*$L$22</f>
        <v>25.971428571428575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109.28571428571429</v>
      </c>
      <c r="C20" s="555">
        <f>SUM(C17:C19)</f>
        <v>128.57142857142858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25.971428571428575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71016</v>
      </c>
      <c r="C28" s="775">
        <v>3600</v>
      </c>
      <c r="D28" s="628"/>
      <c r="E28" s="627"/>
      <c r="F28" s="627"/>
      <c r="G28" s="627" t="s">
        <v>977</v>
      </c>
      <c r="H28" s="627" t="s">
        <v>978</v>
      </c>
      <c r="I28" s="627"/>
      <c r="J28" s="774"/>
      <c r="K28" s="774"/>
      <c r="L28" s="627" t="s">
        <v>979</v>
      </c>
      <c r="M28" s="627">
        <v>17</v>
      </c>
      <c r="N28" s="627">
        <v>76.5</v>
      </c>
      <c r="O28" s="627">
        <v>109.28571428571429</v>
      </c>
      <c r="P28" s="627">
        <v>218.57142857142858</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17</v>
      </c>
      <c r="N29" s="585">
        <f>SUM(N28:N28)</f>
        <v>76.5</v>
      </c>
      <c r="O29" s="585">
        <f>SUM(O28:O28)</f>
        <v>109.28571428571429</v>
      </c>
      <c r="P29" s="585">
        <f>SUM(P28:P28)</f>
        <v>218.57142857142858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17</v>
      </c>
      <c r="N31" s="585">
        <f ca="1">SUMIF($Z$28:AD28,"tertiair",N28:N28)</f>
        <v>76.5</v>
      </c>
      <c r="O31" s="585">
        <f ca="1">SUMIF($Z$28:AE28,"tertiair",O28:O28)</f>
        <v>109.28571428571429</v>
      </c>
      <c r="P31" s="585">
        <f ca="1">SUMIF($Z$28:AF28,"tertiair",P28:P28)</f>
        <v>218.57142857142858</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71016</v>
      </c>
      <c r="C35" s="775">
        <v>3600</v>
      </c>
      <c r="D35" s="630"/>
      <c r="E35" s="630"/>
      <c r="F35" s="630"/>
      <c r="G35" s="630" t="s">
        <v>980</v>
      </c>
      <c r="H35" s="630" t="s">
        <v>981</v>
      </c>
      <c r="I35" s="630"/>
      <c r="J35" s="774"/>
      <c r="K35" s="774"/>
      <c r="L35" s="630" t="s">
        <v>979</v>
      </c>
      <c r="M35" s="630">
        <v>195</v>
      </c>
      <c r="N35" s="630">
        <v>877.5</v>
      </c>
      <c r="O35" s="630">
        <v>0</v>
      </c>
      <c r="P35" s="630">
        <v>0</v>
      </c>
      <c r="Q35" s="630">
        <v>2507.1428571428573</v>
      </c>
      <c r="R35" s="630">
        <v>0</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195</v>
      </c>
      <c r="N36" s="585">
        <f>SUM(N35:N35)</f>
        <v>877.5</v>
      </c>
      <c r="O36" s="585">
        <f>SUM(O35:O35)</f>
        <v>0</v>
      </c>
      <c r="P36" s="585">
        <f>SUM(P35:P35)</f>
        <v>0</v>
      </c>
      <c r="Q36" s="585">
        <f>SUM(Q35:Q35)</f>
        <v>2507.1428571428573</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195</v>
      </c>
      <c r="N38" s="585">
        <f>SUMIF($Z$35:$Z$36,"tertiair",N35:N36)</f>
        <v>877.5</v>
      </c>
      <c r="O38" s="585">
        <f>SUMIF($Z$35:$Z$36,"tertiair",O35:O36)</f>
        <v>0</v>
      </c>
      <c r="P38" s="585">
        <f>SUMIF($Z$35:$Z$36,"tertiair",P35:P36)</f>
        <v>0</v>
      </c>
      <c r="Q38" s="585">
        <f>SUMIF($Z$35:$Z$36,"tertiair",Q35:Q36)</f>
        <v>2507.1428571428573</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90.000000000000014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128.57142857142858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2021-11-11T13:49:49Z</dcterms:modified>
</cp:coreProperties>
</file>