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AA500F7-F5A6-4DC8-8FFE-EA5ADB2BD88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Q26" i="14" s="1"/>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4" i="13"/>
  <c r="B35" i="13"/>
  <c r="C35" i="13" s="1"/>
  <c r="B33" i="13"/>
  <c r="C34" i="13"/>
  <c r="P5" i="13"/>
  <c r="P8" i="13" s="1"/>
  <c r="P4" i="48" s="1"/>
  <c r="P22" i="48"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<sst xmlns="http://schemas.openxmlformats.org/spreadsheetml/2006/main" count="2569" uniqueCount="977">
  <si>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</si>
  <si>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</si>
  <si>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</si>
  <si>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</si>
  <si>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</si>
  <si>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</si>
  <si>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</si>
  <si>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</si>
  <si>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</si>
  <si>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</si>
  <si>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</si>
  <si>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</si>
  <si>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</si>
  <si>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</si>
  <si>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</si>
  <si>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</si>
  <si>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</si>
  <si>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</si>
  <si>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</si>
  <si>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</si>
  <si>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</si>
  <si>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</si>
  <si>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</si>
  <si>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</si>
  <si>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</si>
  <si>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</si>
  <si>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</si>
  <si>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</si>
  <si>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</si>
  <si>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</si>
  <si>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</si>
  <si>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</si>
  <si>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</si>
  <si>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</si>
  <si>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</si>
  <si>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</si>
  <si>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</si>
  <si>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</si>
  <si>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</si>
  <si>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</si>
  <si>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</si>
  <si>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</si>
  <si>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</si>
  <si>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</si>
  <si>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</si>
  <si>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</si>
  <si>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</si>
  <si>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</si>
  <si>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</si>
  <si>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</si>
  <si>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</si>
  <si>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</si>
  <si>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</si>
  <si>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</si>
  <si>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</si>
  <si>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</si>
  <si>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</si>
  <si>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</si>
  <si>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</si>
  <si>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</si>
  <si>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</si>
  <si>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</si>
  <si>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</si>
  <si>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</si>
  <si>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</si>
  <si>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</si>
  <si>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</si>
  <si>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</si>
  <si>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</si>
  <si>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</si>
  <si>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</si>
  <si>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</si>
  <si>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</si>
  <si>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</si>
  <si>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</si>
  <si>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</si>
  <si>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</si>
  <si>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</si>
  <si>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</si>
  <si>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</si>
  <si>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</si>
  <si>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</si>
  <si>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</si>
  <si>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</si>
  <si>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</si>
  <si>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</si>
  <si>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</si>
  <si>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</si>
  <si>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</si>
  <si>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</si>
  <si>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</si>
  <si>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</si>
  <si>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</si>
  <si>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</si>
  <si>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</si>
  <si>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</si>
  <si>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</si>
  <si>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</si>
  <si>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</si>
  <si>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</si>
  <si>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</si>
  <si>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</si>
  <si>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</si>
  <si>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</si>
  <si>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</si>
  <si>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</si>
  <si>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</si>
  <si>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</si>
  <si>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</si>
  <si>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</si>
  <si>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</si>
  <si>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</si>
  <si>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</si>
  <si>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</si>
  <si>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</si>
  <si>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</si>
  <si>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</si>
  <si>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</si>
  <si>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</si>
  <si>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</si>
  <si>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</si>
  <si>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</si>
  <si>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</si>
  <si>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</si>
  <si>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</si>
  <si>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</si>
  <si>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</si>
  <si>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</si>
  <si>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</si>
  <si>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</si>
  <si>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</si>
  <si>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</si>
  <si>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</si>
  <si>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</si>
  <si>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</si>
  <si>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</si>
  <si>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</si>
  <si>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</si>
  <si>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</si>
  <si>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</si>
  <si>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</si>
  <si>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</si>
  <si>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</si>
  <si>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</si>
  <si>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</si>
  <si>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</si>
  <si>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</si>
  <si>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</si>
  <si>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</si>
  <si>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</si>
  <si>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</si>
  <si>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</si>
  <si>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</si>
  <si>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</si>
  <si>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</si>
  <si>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</si>
  <si>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</si>
  <si>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</si>
  <si>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</si>
  <si>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</si>
  <si>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</si>
  <si>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</si>
  <si>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</si>
  <si>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</si>
  <si>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</si>
  <si>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</si>
  <si>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</si>
  <si>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</si>
  <si>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</si>
  <si>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</si>
  <si>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</si>
  <si>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</si>
  <si>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</si>
  <si>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</si>
  <si>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</si>
  <si>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</si>
  <si>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</si>
  <si>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</si>
  <si>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</si>
  <si>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</si>
  <si>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</si>
  <si>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</si>
  <si>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</si>
  <si>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</si>
  <si>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</si>
  <si>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</si>
  <si>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</si>
  <si>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</si>
  <si>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</si>
  <si>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</si>
  <si>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</si>
  <si>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</si>
  <si>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</si>
  <si>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</si>
  <si>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</si>
  <si>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</si>
  <si>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</si>
  <si>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</si>
  <si>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</si>
  <si>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</si>
  <si>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</si>
  <si>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</si>
  <si>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</si>
  <si>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</si>
  <si>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</si>
  <si>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</si>
  <si>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</si>
  <si>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</si>
  <si>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</si>
  <si>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</si>
  <si>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</si>
  <si>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</si>
  <si>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</si>
  <si>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</si>
  <si>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</si>
  <si>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</si>
  <si>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</si>
  <si>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</si>
  <si>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</si>
  <si>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</si>
  <si>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</si>
  <si>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</si>
  <si>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</si>
  <si>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</si>
  <si>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</si>
  <si>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</si>
  <si>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</si>
  <si>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</si>
  <si>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</si>
  <si>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</si>
  <si>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</si>
  <si>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</si>
  <si>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</si>
  <si>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</si>
  <si>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</si>
  <si>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</si>
  <si>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</si>
  <si>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</si>
  <si>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</si>
  <si>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</si>
  <si>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</si>
  <si>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</si>
  <si>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</si>
  <si>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</si>
  <si>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</si>
  <si>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</si>
  <si>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</si>
  <si>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</si>
  <si>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</si>
  <si>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</si>
  <si>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</si>
  <si>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</si>
  <si>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</si>
  <si>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</si>
  <si>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</si>
  <si>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</si>
  <si>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</si>
  <si>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</si>
  <si>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</si>
  <si>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</si>
  <si>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</si>
  <si>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</si>
  <si>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</si>
  <si>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</si>
  <si>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</si>
  <si>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</si>
  <si>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</si>
  <si>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</si>
  <si>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</si>
  <si>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</si>
  <si>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</si>
  <si>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</si>
  <si>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</si>
  <si>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</si>
  <si>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</si>
  <si>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</si>
  <si>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</si>
  <si>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</si>
  <si>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</si>
  <si>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</si>
  <si>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</si>
  <si>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</si>
  <si>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</si>
  <si>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</si>
  <si>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</si>
  <si>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</si>
  <si>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</si>
  <si>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</si>
  <si>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</si>
  <si>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</si>
  <si>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</si>
  <si>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</si>
  <si>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</si>
  <si>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</si>
  <si>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</si>
  <si>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</si>
  <si>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</si>
  <si>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</si>
  <si>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</si>
  <si>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</si>
  <si>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</si>
  <si>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</si>
  <si>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</si>
  <si>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</si>
  <si>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</si>
  <si>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</si>
  <si>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</si>
  <si>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</si>
  <si>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</si>
  <si>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</si>
  <si>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</si>
  <si>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</si>
  <si>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</si>
  <si>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</si>
  <si>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</si>
  <si>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</si>
  <si>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</si>
  <si>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</si>
  <si>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</si>
  <si>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</si>
  <si>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</si>
  <si>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</si>
  <si>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</si>
  <si>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</si>
  <si>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</si>
  <si>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</si>
  <si>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</si>
  <si>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</si>
  <si>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</si>
  <si>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</si>
  <si>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</si>
  <si>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</si>
  <si>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</si>
  <si>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</si>
  <si>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</si>
  <si>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</si>
  <si>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</si>
  <si>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</si>
  <si>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</si>
  <si>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</si>
  <si>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</si>
  <si>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</si>
  <si>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</si>
  <si>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</si>
  <si>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</si>
  <si>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</si>
  <si>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</si>
  <si>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</si>
  <si>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</si>
  <si>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</si>
  <si>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</si>
  <si>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</si>
  <si>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</si>
  <si>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</si>
  <si>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</si>
  <si>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</si>
  <si>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</si>
  <si>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</si>
  <si>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</si>
  <si>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</si>
  <si>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</si>
  <si>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</si>
  <si>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</si>
  <si>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</si>
  <si>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</si>
  <si>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</si>
  <si>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</si>
  <si>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</si>
  <si>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</si>
  <si>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</si>
  <si>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</si>
  <si>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</si>
  <si>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</si>
  <si>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</si>
  <si>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</si>
  <si>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</si>
  <si>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</si>
  <si>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</si>
  <si>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</si>
  <si>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</si>
  <si>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</si>
  <si>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</si>
  <si>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</si>
  <si>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</si>
  <si>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</si>
  <si>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</si>
  <si>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</si>
  <si>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</si>
  <si>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</si>
  <si>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</si>
  <si>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</si>
  <si>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</si>
  <si>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</si>
  <si>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</si>
  <si>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</si>
  <si>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</si>
  <si>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</si>
  <si>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</si>
  <si>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</si>
  <si>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</si>
  <si>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</si>
  <si>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</si>
  <si>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</si>
  <si>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</si>
  <si>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</si>
  <si>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</si>
  <si>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</si>
  <si>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</si>
  <si>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</si>
  <si>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</si>
  <si>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</si>
  <si>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</si>
  <si>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</si>
  <si>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</si>
  <si>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</si>
  <si>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</si>
  <si>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</si>
  <si>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</si>
  <si>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</si>
  <si>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</si>
  <si>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</si>
  <si>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</si>
  <si>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</si>
  <si>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</si>
  <si>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</si>
  <si>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</si>
  <si>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</si>
  <si>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</si>
  <si>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</si>
  <si>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</si>
  <si>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</si>
  <si>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</si>
  <si>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</si>
  <si>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</si>
  <si>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</si>
  <si>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</si>
  <si>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</si>
  <si>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</si>
  <si>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</si>
  <si>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</si>
  <si>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</si>
  <si>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</si>
  <si>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</si>
  <si>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</si>
  <si>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</si>
  <si>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</si>
  <si>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</si>
  <si>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</si>
  <si>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</si>
  <si>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</si>
  <si>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</si>
  <si>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</si>
  <si>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</si>
  <si>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</si>
  <si>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</si>
  <si>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</si>
  <si>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</si>
  <si>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</si>
  <si>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</si>
  <si>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</si>
  <si>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</si>
  <si>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</si>
  <si>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</si>
  <si>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</si>
  <si>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</si>
  <si>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</si>
  <si>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</si>
  <si>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</si>
  <si>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</si>
  <si>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</si>
  <si>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</si>
  <si>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</si>
  <si>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</si>
  <si>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</si>
  <si>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</si>
  <si>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</si>
  <si>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</si>
  <si>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</si>
  <si>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</si>
  <si>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</si>
  <si>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</si>
  <si>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</si>
  <si>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</si>
  <si>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</si>
  <si>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</si>
  <si>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</si>
  <si>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</si>
  <si>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</si>
  <si>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</si>
  <si>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</si>
  <si>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</si>
  <si>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</si>
  <si>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</si>
  <si>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</si>
  <si>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</si>
  <si>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</si>
  <si>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</si>
  <si>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</si>
  <si>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</si>
  <si>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</si>
  <si>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</si>
  <si>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</si>
  <si>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</si>
  <si>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</si>
  <si>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</si>
  <si>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</si>
  <si>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</si>
  <si>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</si>
  <si>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</si>
  <si>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</si>
  <si>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</si>
  <si>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</si>
  <si>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</si>
  <si>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</si>
  <si>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</si>
  <si>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</si>
  <si>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</si>
  <si>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</si>
  <si>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</si>
  <si>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</si>
  <si>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</si>
  <si>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</si>
  <si>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</si>
  <si>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</si>
  <si>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</si>
  <si>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</si>
  <si>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</si>
  <si>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</si>
  <si>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</si>
  <si>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</si>
  <si>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</si>
  <si>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</si>
  <si>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</si>
  <si>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</si>
  <si>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</si>
  <si>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</si>
  <si>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</si>
  <si>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</si>
  <si>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</si>
  <si>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</si>
  <si>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</si>
  <si>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</si>
  <si>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</si>
  <si>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</si>
  <si>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</si>
  <si>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</si>
  <si>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</si>
  <si>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</si>
  <si>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</si>
  <si>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</si>
  <si>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</si>
  <si>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</si>
  <si>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</si>
  <si>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</si>
  <si>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</si>
  <si>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</si>
  <si>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</si>
  <si>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</si>
  <si>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</si>
  <si>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</si>
  <si>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</si>
  <si>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</si>
  <si>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</si>
  <si>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</si>
  <si>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</si>
  <si>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</si>
  <si>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</si>
  <si>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</si>
  <si>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</si>
  <si>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</si>
  <si>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</si>
  <si>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</si>
  <si>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</si>
  <si>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</si>
  <si>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</si>
  <si>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</si>
  <si>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</si>
  <si>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</si>
  <si>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</si>
  <si>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</si>
  <si>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</si>
  <si>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</si>
  <si>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</si>
  <si>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</si>
  <si>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</si>
  <si>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</si>
  <si>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</si>
  <si>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</si>
  <si>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</si>
  <si>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</si>
  <si>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</si>
  <si>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</si>
  <si>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</si>
  <si>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</si>
  <si>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</si>
  <si>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</si>
  <si>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</si>
  <si>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</si>
  <si>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</si>
  <si>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</si>
  <si>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</si>
  <si>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</si>
  <si>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</si>
  <si>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</si>
  <si>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</si>
  <si>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</si>
  <si>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</si>
  <si>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</si>
  <si>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</si>
  <si>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</si>
  <si>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</si>
  <si>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</si>
  <si>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</si>
  <si>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</si>
  <si>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</si>
  <si>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</si>
  <si>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</si>
  <si>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</si>
  <si>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</si>
  <si>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</si>
  <si>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</si>
  <si>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</si>
  <si>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</si>
  <si>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</si>
  <si>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</si>
  <si>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</si>
  <si>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</si>
  <si>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</si>
  <si>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</si>
  <si>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</si>
  <si>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</si>
  <si>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</si>
  <si>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</si>
  <si>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</si>
  <si>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</si>
  <si>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</si>
  <si>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</si>
  <si>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</si>
  <si>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</si>
  <si>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</si>
  <si>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</si>
  <si>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</si>
  <si>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</si>
  <si>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</si>
  <si>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</si>
  <si>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</si>
  <si>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</si>
  <si>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</si>
  <si>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</si>
  <si>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</si>
  <si>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</si>
  <si>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</si>
  <si>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</si>
  <si>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</si>
  <si>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</si>
  <si>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</si>
  <si>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</si>
  <si>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</si>
  <si>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</si>
  <si>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</si>
  <si>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</si>
  <si>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</si>
  <si>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</si>
  <si>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</si>
  <si>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</si>
  <si>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</si>
  <si>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</si>
  <si>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</si>
  <si>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</si>
  <si>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</si>
  <si>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</si>
  <si>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</si>
  <si>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</si>
  <si>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</si>
  <si>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</si>
  <si>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</si>
  <si>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</si>
  <si>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</si>
  <si>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</si>
  <si>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</si>
  <si>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</si>
  <si>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</si>
  <si>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</si>
  <si>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</si>
  <si>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</si>
  <si>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</si>
  <si>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</si>
  <si>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</si>
  <si>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</si>
  <si>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</si>
  <si>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</si>
  <si>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</si>
  <si>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</si>
  <si>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</si>
  <si>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</si>
  <si>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</si>
  <si>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</si>
  <si>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</si>
  <si>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</si>
  <si>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</si>
  <si>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</si>
  <si>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</si>
  <si>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</si>
  <si>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</si>
  <si>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</si>
  <si>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</si>
  <si>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</si>
  <si>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</si>
  <si>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</si>
  <si>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</si>
  <si>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</si>
  <si>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</si>
  <si>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</si>
  <si>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</si>
  <si>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</si>
  <si>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</si>
  <si>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</si>
  <si>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</si>
  <si>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</si>
  <si>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</si>
  <si>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</si>
  <si>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</si>
  <si>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</si>
  <si>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</si>
  <si>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</si>
  <si>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</si>
  <si>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</si>
  <si>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</si>
  <si>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</si>
  <si>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</si>
  <si>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</si>
  <si>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</si>
  <si>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</si>
  <si>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</si>
  <si>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</si>
  <si>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</si>
  <si>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</si>
  <si>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</si>
  <si>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</si>
  <si>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</si>
  <si>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</si>
  <si>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</si>
  <si>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</si>
  <si>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</si>
  <si>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</si>
  <si>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</si>
  <si>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</si>
  <si>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</si>
  <si>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</si>
  <si>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</si>
  <si>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</si>
  <si>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</si>
  <si>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</si>
  <si>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</si>
  <si>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</si>
  <si>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</si>
  <si>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</si>
  <si>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</si>
  <si>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</si>
  <si>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</si>
  <si>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</si>
  <si>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</si>
  <si>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</si>
  <si>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</si>
  <si>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</si>
  <si>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</si>
  <si>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</si>
  <si>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</si>
  <si>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</si>
  <si>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</si>
  <si>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</si>
  <si>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</si>
  <si>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</si>
  <si>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</si>
  <si>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</si>
  <si>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</si>
  <si>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</si>
  <si>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</si>
  <si>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</si>
  <si>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</si>
  <si>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</si>
  <si>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</si>
  <si>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</si>
  <si>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</si>
  <si>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</si>
  <si>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</si>
  <si>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</si>
  <si>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</si>
  <si>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</si>
  <si>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</si>
  <si>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</si>
  <si>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</si>
  <si>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</si>
  <si>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</si>
  <si>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</si>
  <si>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</si>
  <si>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</si>
  <si>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</si>
  <si>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</si>
  <si>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</si>
  <si>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</si>
  <si>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</si>
  <si>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</si>
  <si>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</si>
  <si>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</si>
  <si>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</si>
  <si>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</si>
  <si>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</si>
  <si>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</si>
  <si>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</si>
  <si>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</si>
  <si>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</si>
  <si>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</si>
  <si>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</si>
  <si>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</si>
  <si>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</si>
  <si>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</si>
  <si>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</si>
  <si>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</si>
  <si>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</si>
  <si>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</si>
  <si>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</si>
  <si>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</si>
  <si>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</si>
  <si>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</si>
  <si>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</si>
  <si>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</si>
  <si>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</si>
  <si>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</si>
  <si>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</si>
  <si>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</si>
  <si>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</si>
  <si>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</si>
  <si>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</si>
  <si>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</si>
  <si>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</si>
  <si>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</si>
  <si>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</si>
  <si>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</si>
  <si>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</si>
  <si>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</si>
  <si>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</si>
  <si>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</si>
  <si>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</si>
  <si>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</si>
  <si>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</si>
  <si>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</si>
  <si>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</si>
  <si>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</si>
  <si>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</si>
  <si>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</si>
  <si>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</si>
  <si>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</si>
  <si>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</si>
  <si>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</si>
  <si>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</si>
  <si>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</si>
  <si>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</si>
  <si>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</si>
  <si>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</si>
  <si>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</si>
  <si>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</si>
  <si>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</si>
  <si>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</si>
  <si>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</si>
  <si>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</si>
  <si>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</si>
  <si>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</si>
  <si>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</si>
  <si>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</si>
  <si>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</si>
  <si>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</si>
  <si>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</si>
  <si>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</si>
  <si>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</si>
  <si>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</si>
  <si>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</si>
  <si>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</si>
  <si>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</si>
  <si>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</si>
  <si>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</si>
  <si>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</si>
  <si>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</si>
  <si>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</si>
  <si>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</si>
  <si>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</si>
  <si>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</si>
  <si>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</si>
  <si>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</si>
  <si>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</si>
  <si>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</si>
  <si>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</si>
  <si>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</si>
  <si>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</si>
  <si>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</si>
  <si>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</si>
  <si>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</si>
  <si>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</si>
  <si>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</si>
  <si>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</si>
  <si>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</si>
  <si>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</si>
  <si>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</si>
  <si>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</si>
  <si>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</si>
  <si>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</si>
  <si>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</si>
  <si>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</si>
  <si>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</si>
  <si>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</si>
  <si>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</si>
  <si>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</si>
  <si>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</si>
  <si>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</si>
  <si>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</si>
  <si>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</si>
  <si>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</si>
  <si>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</si>
  <si>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</si>
  <si>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</si>
  <si>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</si>
  <si>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</si>
  <si>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</si>
  <si>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</si>
  <si>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</si>
  <si>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</si>
  <si>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</si>
  <si>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</si>
  <si>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</si>
  <si>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</si>
  <si>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</si>
  <si>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</si>
  <si>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</si>
  <si>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</si>
  <si>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</si>
  <si>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</si>
  <si>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</si>
  <si>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</si>
  <si>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</si>
  <si>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</si>
  <si>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</si>
  <si>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</si>
  <si>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</si>
  <si>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</si>
  <si>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</si>
  <si>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</si>
  <si>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</si>
  <si>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</si>
  <si>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</si>
  <si>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</si>
  <si>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</si>
  <si>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</si>
  <si>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</si>
  <si>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</si>
  <si>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</si>
  <si>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</si>
  <si>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</si>
  <si>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</si>
  <si>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</si>
  <si>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</si>
  <si>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</si>
  <si>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</si>
  <si>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</si>
  <si>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</si>
  <si>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</si>
  <si>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</si>
  <si>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</si>
  <si>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</si>
  <si>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</si>
  <si>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</si>
  <si>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44064</t>
  </si>
  <si>
    <t>SINT-MARTENS-LATEM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</si>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</sst>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B589442-503A-4C63-B930-2AD07041441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44064</v>
      </c>
      <c r="B6" s="384"/>
      <c r="C6" s="385"/>
    </row>
    <row r="7" spans="1:7" s="382" customFormat="1" ht="15.75" customHeight="1">
      <c r="A7" s="386" t="str">
        <f>txtMunicipality</f>
        <v>SINT-MARTENS-LATEM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17222.116445950727</v>
      </c>
      <c r="D10" s="674">
        <f ca="1">tertiair!C16</f>
        <v>0</v>
      </c>
      <c r="E10" s="674">
        <f ca="1">tertiair!D16</f>
        <v>13416.39732225089</v>
      </c>
      <c r="F10" s="674">
        <f>tertiair!E16</f>
        <v>436.451648919842</v>
      </c>
      <c r="G10" s="674">
        <f ca="1">tertiair!F16</f>
        <v>2880.4144822151811</v>
      </c>
      <c r="H10" s="674">
        <f>tertiair!G16</f>
        <v>0</v>
      </c>
      <c r="I10" s="674">
        <f>tertiair!H16</f>
        <v>0</v>
      </c>
      <c r="J10" s="674">
        <f>tertiair!I16</f>
        <v>0</v>
      </c>
      <c r="K10" s="674">
        <f>tertiair!J16</f>
        <v>0</v>
      </c>
      <c r="L10" s="674">
        <f>tertiair!K16</f>
        <v>0</v>
      </c>
      <c r="M10" s="674">
        <f ca="1">tertiair!L16</f>
        <v>0</v>
      </c>
      <c r="N10" s="674">
        <f>tertiair!M16</f>
        <v>0</v>
      </c>
      <c r="O10" s="674">
        <f ca="1">tertiair!N16</f>
        <v>307.3280195945668</v>
      </c>
      <c r="P10" s="674">
        <f>tertiair!O16</f>
        <v>1.5633333333333335</v>
      </c>
      <c r="Q10" s="675">
        <f>tertiair!P16</f>
        <v>19.066666666666666</v>
      </c>
      <c r="R10" s="677">
        <f ca="1">SUM(C10:Q10)</f>
        <v>34283.337918931211</v>
      </c>
      <c r="S10" s="67"/>
    </row>
    <row r="11" spans="1:19" s="443" customFormat="1">
      <c r="A11" s="789" t="s">
        <v>214</v>
      </c>
      <c r="B11" s="794"/>
      <c r="C11" s="674">
        <f>huishoudens!B8</f>
        <v>21391.737358662409</v>
      </c>
      <c r="D11" s="674">
        <f>huishoudens!C8</f>
        <v>0</v>
      </c>
      <c r="E11" s="674">
        <f>huishoudens!D8</f>
        <v>19845.816357025851</v>
      </c>
      <c r="F11" s="674">
        <f>huishoudens!E8</f>
        <v>1186.7732188330835</v>
      </c>
      <c r="G11" s="674">
        <f>huishoudens!F8</f>
        <v>40509.786588364921</v>
      </c>
      <c r="H11" s="674">
        <f>huishoudens!G8</f>
        <v>0</v>
      </c>
      <c r="I11" s="674">
        <f>huishoudens!H8</f>
        <v>0</v>
      </c>
      <c r="J11" s="674">
        <f>huishoudens!I8</f>
        <v>0</v>
      </c>
      <c r="K11" s="674">
        <f>huishoudens!J8</f>
        <v>912.17769002725515</v>
      </c>
      <c r="L11" s="674">
        <f>huishoudens!K8</f>
        <v>0</v>
      </c>
      <c r="M11" s="674">
        <f>huishoudens!L8</f>
        <v>0</v>
      </c>
      <c r="N11" s="674">
        <f>huishoudens!M8</f>
        <v>0</v>
      </c>
      <c r="O11" s="674">
        <f>huishoudens!N8</f>
        <v>4471.7848089193412</v>
      </c>
      <c r="P11" s="674">
        <f>huishoudens!O8</f>
        <v>32.830000000000005</v>
      </c>
      <c r="Q11" s="675">
        <f>huishoudens!P8</f>
        <v>324.13333333333333</v>
      </c>
      <c r="R11" s="677">
        <f>SUM(C11:Q11)</f>
        <v>88675.039355166198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1772.7205323231201</v>
      </c>
      <c r="D13" s="674">
        <f>industrie!C18</f>
        <v>0</v>
      </c>
      <c r="E13" s="674">
        <f>industrie!D18</f>
        <v>1022.1655989898086</v>
      </c>
      <c r="F13" s="674">
        <f>industrie!E18</f>
        <v>21.189109025282967</v>
      </c>
      <c r="G13" s="674">
        <f>industrie!F18</f>
        <v>724.18760319507464</v>
      </c>
      <c r="H13" s="674">
        <f>industrie!G18</f>
        <v>0</v>
      </c>
      <c r="I13" s="674">
        <f>industrie!H18</f>
        <v>0</v>
      </c>
      <c r="J13" s="674">
        <f>industrie!I18</f>
        <v>0</v>
      </c>
      <c r="K13" s="674">
        <f>industrie!J18</f>
        <v>6.4638512605800109</v>
      </c>
      <c r="L13" s="674">
        <f>industrie!K18</f>
        <v>0</v>
      </c>
      <c r="M13" s="674">
        <f>industrie!L18</f>
        <v>0</v>
      </c>
      <c r="N13" s="674">
        <f>industrie!M18</f>
        <v>0</v>
      </c>
      <c r="O13" s="674">
        <f>industrie!N18</f>
        <v>67.715816736111961</v>
      </c>
      <c r="P13" s="674">
        <f>industrie!O18</f>
        <v>0</v>
      </c>
      <c r="Q13" s="675">
        <f>industrie!P18</f>
        <v>0</v>
      </c>
      <c r="R13" s="677">
        <f>SUM(C13:Q13)</f>
        <v>3614.4425115299787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40386.574336936254</v>
      </c>
      <c r="D16" s="707">
        <f t="shared" ref="D16:R16" ca="1" si="0">SUM(D9:D15)</f>
        <v>0</v>
      </c>
      <c r="E16" s="707">
        <f t="shared" ca="1" si="0"/>
        <v>34284.379278266548</v>
      </c>
      <c r="F16" s="707">
        <f t="shared" si="0"/>
        <v>1644.4139767782085</v>
      </c>
      <c r="G16" s="707">
        <f t="shared" ca="1" si="0"/>
        <v>44114.388673775175</v>
      </c>
      <c r="H16" s="707">
        <f t="shared" si="0"/>
        <v>0</v>
      </c>
      <c r="I16" s="707">
        <f t="shared" si="0"/>
        <v>0</v>
      </c>
      <c r="J16" s="707">
        <f t="shared" si="0"/>
        <v>0</v>
      </c>
      <c r="K16" s="707">
        <f t="shared" si="0"/>
        <v>918.64154128783514</v>
      </c>
      <c r="L16" s="707">
        <f t="shared" si="0"/>
        <v>0</v>
      </c>
      <c r="M16" s="707">
        <f t="shared" ca="1" si="0"/>
        <v>0</v>
      </c>
      <c r="N16" s="707">
        <f t="shared" si="0"/>
        <v>0</v>
      </c>
      <c r="O16" s="707">
        <f t="shared" ca="1" si="0"/>
        <v>4846.8286452500206</v>
      </c>
      <c r="P16" s="707">
        <f t="shared" si="0"/>
        <v>34.393333333333338</v>
      </c>
      <c r="Q16" s="707">
        <f t="shared" si="0"/>
        <v>343.2</v>
      </c>
      <c r="R16" s="707">
        <f t="shared" ca="1" si="0"/>
        <v>126572.81978562739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3.2882186921801981</v>
      </c>
      <c r="D19" s="674">
        <f>transport!C54</f>
        <v>0</v>
      </c>
      <c r="E19" s="674">
        <f>transport!D54</f>
        <v>0</v>
      </c>
      <c r="F19" s="674">
        <f>transport!E54</f>
        <v>0</v>
      </c>
      <c r="G19" s="674">
        <f>transport!F54</f>
        <v>0</v>
      </c>
      <c r="H19" s="674">
        <f>transport!G54</f>
        <v>713.34603201858658</v>
      </c>
      <c r="I19" s="674">
        <f>transport!H54</f>
        <v>0</v>
      </c>
      <c r="J19" s="674">
        <f>transport!I54</f>
        <v>0</v>
      </c>
      <c r="K19" s="674">
        <f>transport!J54</f>
        <v>0</v>
      </c>
      <c r="L19" s="674">
        <f>transport!K54</f>
        <v>0</v>
      </c>
      <c r="M19" s="674">
        <f>transport!L54</f>
        <v>0</v>
      </c>
      <c r="N19" s="674">
        <f>transport!M54</f>
        <v>30.542736951283949</v>
      </c>
      <c r="O19" s="674">
        <f>transport!N54</f>
        <v>0</v>
      </c>
      <c r="P19" s="674">
        <f>transport!O54</f>
        <v>0</v>
      </c>
      <c r="Q19" s="675">
        <f>transport!P54</f>
        <v>0</v>
      </c>
      <c r="R19" s="677">
        <f>SUM(C19:Q19)</f>
        <v>747.17698766205069</v>
      </c>
      <c r="S19" s="67"/>
    </row>
    <row r="20" spans="1:19" s="443" customFormat="1">
      <c r="A20" s="789" t="s">
        <v>296</v>
      </c>
      <c r="B20" s="794"/>
      <c r="C20" s="674">
        <f>transport!B14</f>
        <v>0.52245313684898642</v>
      </c>
      <c r="D20" s="674">
        <f>transport!C14</f>
        <v>0</v>
      </c>
      <c r="E20" s="674">
        <f>transport!D14</f>
        <v>1.773338549182341</v>
      </c>
      <c r="F20" s="674">
        <f>transport!E14</f>
        <v>181.91415242528817</v>
      </c>
      <c r="G20" s="674">
        <f>transport!F14</f>
        <v>0</v>
      </c>
      <c r="H20" s="674">
        <f>transport!G14</f>
        <v>36228.712936413562</v>
      </c>
      <c r="I20" s="674">
        <f>transport!H14</f>
        <v>5816.3464630257386</v>
      </c>
      <c r="J20" s="674">
        <f>transport!I14</f>
        <v>0</v>
      </c>
      <c r="K20" s="674">
        <f>transport!J14</f>
        <v>0</v>
      </c>
      <c r="L20" s="674">
        <f>transport!K14</f>
        <v>0</v>
      </c>
      <c r="M20" s="674">
        <f>transport!L14</f>
        <v>0</v>
      </c>
      <c r="N20" s="674">
        <f>transport!M14</f>
        <v>1828.4008272909134</v>
      </c>
      <c r="O20" s="674">
        <f>transport!N14</f>
        <v>0</v>
      </c>
      <c r="P20" s="674">
        <f>transport!O14</f>
        <v>0</v>
      </c>
      <c r="Q20" s="675">
        <f>transport!P14</f>
        <v>0</v>
      </c>
      <c r="R20" s="677">
        <f>SUM(C20:Q20)</f>
        <v>44057.670170841528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3.8106718290291846</v>
      </c>
      <c r="D22" s="792">
        <f t="shared" ref="D22:R22" si="1">SUM(D18:D21)</f>
        <v>0</v>
      </c>
      <c r="E22" s="792">
        <f t="shared" si="1"/>
        <v>1.773338549182341</v>
      </c>
      <c r="F22" s="792">
        <f t="shared" si="1"/>
        <v>181.91415242528817</v>
      </c>
      <c r="G22" s="792">
        <f t="shared" si="1"/>
        <v>0</v>
      </c>
      <c r="H22" s="792">
        <f t="shared" si="1"/>
        <v>36942.058968432146</v>
      </c>
      <c r="I22" s="792">
        <f t="shared" si="1"/>
        <v>5816.3464630257386</v>
      </c>
      <c r="J22" s="792">
        <f t="shared" si="1"/>
        <v>0</v>
      </c>
      <c r="K22" s="792">
        <f t="shared" si="1"/>
        <v>0</v>
      </c>
      <c r="L22" s="792">
        <f t="shared" si="1"/>
        <v>0</v>
      </c>
      <c r="M22" s="792">
        <f t="shared" si="1"/>
        <v>0</v>
      </c>
      <c r="N22" s="792">
        <f t="shared" si="1"/>
        <v>1858.9435642421975</v>
      </c>
      <c r="O22" s="792">
        <f t="shared" si="1"/>
        <v>0</v>
      </c>
      <c r="P22" s="792">
        <f t="shared" si="1"/>
        <v>0</v>
      </c>
      <c r="Q22" s="792">
        <f t="shared" si="1"/>
        <v>0</v>
      </c>
      <c r="R22" s="792">
        <f t="shared" si="1"/>
        <v>44804.84715850358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302.18702625662519</v>
      </c>
      <c r="D24" s="674">
        <f>+landbouw!C8</f>
        <v>0</v>
      </c>
      <c r="E24" s="674">
        <f>+landbouw!D8</f>
        <v>73.644567904288436</v>
      </c>
      <c r="F24" s="674">
        <f>+landbouw!E8</f>
        <v>3.1645679597827181</v>
      </c>
      <c r="G24" s="674">
        <f>+landbouw!F8</f>
        <v>1293.5900857531822</v>
      </c>
      <c r="H24" s="674">
        <f>+landbouw!G8</f>
        <v>0</v>
      </c>
      <c r="I24" s="674">
        <f>+landbouw!H8</f>
        <v>0</v>
      </c>
      <c r="J24" s="674">
        <f>+landbouw!I8</f>
        <v>0</v>
      </c>
      <c r="K24" s="674">
        <f>+landbouw!J8</f>
        <v>26.988009993239888</v>
      </c>
      <c r="L24" s="674">
        <f>+landbouw!K8</f>
        <v>0</v>
      </c>
      <c r="M24" s="674">
        <f>+landbouw!L8</f>
        <v>0</v>
      </c>
      <c r="N24" s="674">
        <f>+landbouw!M8</f>
        <v>0</v>
      </c>
      <c r="O24" s="674">
        <f>+landbouw!N8</f>
        <v>0</v>
      </c>
      <c r="P24" s="674">
        <f>+landbouw!O8</f>
        <v>0</v>
      </c>
      <c r="Q24" s="675">
        <f>+landbouw!P8</f>
        <v>0</v>
      </c>
      <c r="R24" s="677">
        <f>SUM(C24:Q24)</f>
        <v>1699.5742578671186</v>
      </c>
      <c r="S24" s="67"/>
    </row>
    <row r="25" spans="1:19" s="443" customFormat="1" ht="15" thickBot="1">
      <c r="A25" s="811" t="s">
        <v>889</v>
      </c>
      <c r="B25" s="966"/>
      <c r="C25" s="967">
        <f>IF(Onbekend_ele_kWh="---",0,Onbekend_ele_kWh)/1000+IF(REST_rest_ele_kWh="---",0,REST_rest_ele_kWh)/1000</f>
        <v>1506.7599352289101</v>
      </c>
      <c r="D25" s="967"/>
      <c r="E25" s="967">
        <f>IF(onbekend_gas_kWh="---",0,onbekend_gas_kWh)/1000+IF(REST_rest_gas_kWh="---",0,REST_rest_gas_kWh)/1000</f>
        <v>1680.32488899185</v>
      </c>
      <c r="F25" s="967"/>
      <c r="G25" s="967"/>
      <c r="H25" s="967"/>
      <c r="I25" s="967"/>
      <c r="J25" s="967"/>
      <c r="K25" s="967"/>
      <c r="L25" s="967"/>
      <c r="M25" s="967"/>
      <c r="N25" s="967"/>
      <c r="O25" s="967"/>
      <c r="P25" s="967"/>
      <c r="Q25" s="968"/>
      <c r="R25" s="677">
        <f>SUM(C25:Q25)</f>
        <v>3187.0848242207603</v>
      </c>
      <c r="S25" s="67"/>
    </row>
    <row r="26" spans="1:19" s="443" customFormat="1" ht="15.75" thickBot="1">
      <c r="A26" s="680" t="s">
        <v>890</v>
      </c>
      <c r="B26" s="797"/>
      <c r="C26" s="792">
        <f>SUM(C24:C25)</f>
        <v>1808.9469614855352</v>
      </c>
      <c r="D26" s="792">
        <f t="shared" ref="D26:R26" si="2">SUM(D24:D25)</f>
        <v>0</v>
      </c>
      <c r="E26" s="792">
        <f t="shared" si="2"/>
        <v>1753.9694568961384</v>
      </c>
      <c r="F26" s="792">
        <f t="shared" si="2"/>
        <v>3.1645679597827181</v>
      </c>
      <c r="G26" s="792">
        <f t="shared" si="2"/>
        <v>1293.5900857531822</v>
      </c>
      <c r="H26" s="792">
        <f t="shared" si="2"/>
        <v>0</v>
      </c>
      <c r="I26" s="792">
        <f t="shared" si="2"/>
        <v>0</v>
      </c>
      <c r="J26" s="792">
        <f t="shared" si="2"/>
        <v>0</v>
      </c>
      <c r="K26" s="792">
        <f t="shared" si="2"/>
        <v>26.988009993239888</v>
      </c>
      <c r="L26" s="792">
        <f t="shared" si="2"/>
        <v>0</v>
      </c>
      <c r="M26" s="792">
        <f t="shared" si="2"/>
        <v>0</v>
      </c>
      <c r="N26" s="792">
        <f t="shared" si="2"/>
        <v>0</v>
      </c>
      <c r="O26" s="792">
        <f t="shared" si="2"/>
        <v>0</v>
      </c>
      <c r="P26" s="792">
        <f t="shared" si="2"/>
        <v>0</v>
      </c>
      <c r="Q26" s="792">
        <f t="shared" si="2"/>
        <v>0</v>
      </c>
      <c r="R26" s="792">
        <f t="shared" si="2"/>
        <v>4886.6590820878791</v>
      </c>
      <c r="S26" s="67"/>
    </row>
    <row r="27" spans="1:19" s="443" customFormat="1" ht="17.25" thickTop="1" thickBot="1">
      <c r="A27" s="681" t="s">
        <v>109</v>
      </c>
      <c r="B27" s="784"/>
      <c r="C27" s="682">
        <f ca="1">C22+C16+C26</f>
        <v>42199.331970250816</v>
      </c>
      <c r="D27" s="682">
        <f t="shared" ref="D27:R27" ca="1" si="3">D22+D16+D26</f>
        <v>0</v>
      </c>
      <c r="E27" s="682">
        <f t="shared" ca="1" si="3"/>
        <v>36040.122073711864</v>
      </c>
      <c r="F27" s="682">
        <f t="shared" si="3"/>
        <v>1829.4926971632794</v>
      </c>
      <c r="G27" s="682">
        <f t="shared" ca="1" si="3"/>
        <v>45407.978759528356</v>
      </c>
      <c r="H27" s="682">
        <f t="shared" si="3"/>
        <v>36942.058968432146</v>
      </c>
      <c r="I27" s="682">
        <f t="shared" si="3"/>
        <v>5816.3464630257386</v>
      </c>
      <c r="J27" s="682">
        <f t="shared" si="3"/>
        <v>0</v>
      </c>
      <c r="K27" s="682">
        <f t="shared" si="3"/>
        <v>945.62955128107501</v>
      </c>
      <c r="L27" s="682">
        <f t="shared" si="3"/>
        <v>0</v>
      </c>
      <c r="M27" s="682">
        <f t="shared" ca="1" si="3"/>
        <v>0</v>
      </c>
      <c r="N27" s="682">
        <f t="shared" si="3"/>
        <v>1858.9435642421975</v>
      </c>
      <c r="O27" s="682">
        <f t="shared" ca="1" si="3"/>
        <v>4846.8286452500206</v>
      </c>
      <c r="P27" s="682">
        <f t="shared" si="3"/>
        <v>34.393333333333338</v>
      </c>
      <c r="Q27" s="682">
        <f t="shared" si="3"/>
        <v>343.2</v>
      </c>
      <c r="R27" s="682">
        <f t="shared" ca="1" si="3"/>
        <v>176264.32602621886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3765.0320660613756</v>
      </c>
      <c r="D40" s="674">
        <f ca="1">tertiair!C20</f>
        <v>0</v>
      </c>
      <c r="E40" s="674">
        <f ca="1">tertiair!D20</f>
        <v>2710.1122590946802</v>
      </c>
      <c r="F40" s="674">
        <f>tertiair!E20</f>
        <v>99.074524304804143</v>
      </c>
      <c r="G40" s="674">
        <f ca="1">tertiair!F20</f>
        <v>769.07066675145336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7343.2895162123132</v>
      </c>
    </row>
    <row r="41" spans="1:18">
      <c r="A41" s="802" t="s">
        <v>214</v>
      </c>
      <c r="B41" s="809"/>
      <c r="C41" s="674">
        <f ca="1">huishoudens!B12</f>
        <v>4676.5783611377092</v>
      </c>
      <c r="D41" s="674">
        <f ca="1">huishoudens!C12</f>
        <v>0</v>
      </c>
      <c r="E41" s="674">
        <f>huishoudens!D12</f>
        <v>4008.8549041192223</v>
      </c>
      <c r="F41" s="674">
        <f>huishoudens!E12</f>
        <v>269.39752067511</v>
      </c>
      <c r="G41" s="674">
        <f>huishoudens!F12</f>
        <v>10816.113019093435</v>
      </c>
      <c r="H41" s="674">
        <f>huishoudens!G12</f>
        <v>0</v>
      </c>
      <c r="I41" s="674">
        <f>huishoudens!H12</f>
        <v>0</v>
      </c>
      <c r="J41" s="674">
        <f>huishoudens!I12</f>
        <v>0</v>
      </c>
      <c r="K41" s="674">
        <f>huishoudens!J12</f>
        <v>322.91090226964832</v>
      </c>
      <c r="L41" s="674">
        <f>huishoudens!K12</f>
        <v>0</v>
      </c>
      <c r="M41" s="674">
        <f>huishoudens!L12</f>
        <v>0</v>
      </c>
      <c r="N41" s="674">
        <f>huishoudens!M12</f>
        <v>0</v>
      </c>
      <c r="O41" s="674">
        <f>huishoudens!N12</f>
        <v>0</v>
      </c>
      <c r="P41" s="674">
        <f>huishoudens!O12</f>
        <v>0</v>
      </c>
      <c r="Q41" s="749">
        <f>huishoudens!P12</f>
        <v>0</v>
      </c>
      <c r="R41" s="830">
        <f t="shared" ca="1" si="4"/>
        <v>20093.854707295122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387.54526305221992</v>
      </c>
      <c r="D43" s="674">
        <f ca="1">industrie!C22</f>
        <v>0</v>
      </c>
      <c r="E43" s="674">
        <f>industrie!D22</f>
        <v>206.47745099594135</v>
      </c>
      <c r="F43" s="674">
        <f>industrie!E22</f>
        <v>4.8099277487392333</v>
      </c>
      <c r="G43" s="674">
        <f>industrie!F22</f>
        <v>193.35809005308494</v>
      </c>
      <c r="H43" s="674">
        <f>industrie!G22</f>
        <v>0</v>
      </c>
      <c r="I43" s="674">
        <f>industrie!H22</f>
        <v>0</v>
      </c>
      <c r="J43" s="674">
        <f>industrie!I22</f>
        <v>0</v>
      </c>
      <c r="K43" s="674">
        <f>industrie!J22</f>
        <v>2.2882033462453237</v>
      </c>
      <c r="L43" s="674">
        <f>industrie!K22</f>
        <v>0</v>
      </c>
      <c r="M43" s="674">
        <f>industrie!L22</f>
        <v>0</v>
      </c>
      <c r="N43" s="674">
        <f>industrie!M22</f>
        <v>0</v>
      </c>
      <c r="O43" s="674">
        <f>industrie!N22</f>
        <v>0</v>
      </c>
      <c r="P43" s="674">
        <f>industrie!O22</f>
        <v>0</v>
      </c>
      <c r="Q43" s="749">
        <f>industrie!P22</f>
        <v>0</v>
      </c>
      <c r="R43" s="829">
        <f t="shared" ca="1" si="4"/>
        <v>794.47893519623074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8829.1556902513039</v>
      </c>
      <c r="D46" s="707">
        <f t="shared" ref="D46:Q46" ca="1" si="5">SUM(D39:D45)</f>
        <v>0</v>
      </c>
      <c r="E46" s="707">
        <f t="shared" ca="1" si="5"/>
        <v>6925.4446142098441</v>
      </c>
      <c r="F46" s="707">
        <f t="shared" si="5"/>
        <v>373.28197272865339</v>
      </c>
      <c r="G46" s="707">
        <f t="shared" ca="1" si="5"/>
        <v>11778.541775897973</v>
      </c>
      <c r="H46" s="707">
        <f t="shared" si="5"/>
        <v>0</v>
      </c>
      <c r="I46" s="707">
        <f t="shared" si="5"/>
        <v>0</v>
      </c>
      <c r="J46" s="707">
        <f t="shared" si="5"/>
        <v>0</v>
      </c>
      <c r="K46" s="707">
        <f t="shared" si="5"/>
        <v>325.19910561589364</v>
      </c>
      <c r="L46" s="707">
        <f t="shared" si="5"/>
        <v>0</v>
      </c>
      <c r="M46" s="707">
        <f t="shared" ca="1" si="5"/>
        <v>0</v>
      </c>
      <c r="N46" s="707">
        <f t="shared" si="5"/>
        <v>0</v>
      </c>
      <c r="O46" s="707">
        <f t="shared" ca="1" si="5"/>
        <v>0</v>
      </c>
      <c r="P46" s="707">
        <f t="shared" si="5"/>
        <v>0</v>
      </c>
      <c r="Q46" s="707">
        <f t="shared" si="5"/>
        <v>0</v>
      </c>
      <c r="R46" s="707">
        <f ca="1">SUM(R39:R45)</f>
        <v>28231.623158703667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0.71885757218832969</v>
      </c>
      <c r="D49" s="674">
        <f ca="1">transport!C58</f>
        <v>0</v>
      </c>
      <c r="E49" s="674">
        <f>transport!D58</f>
        <v>0</v>
      </c>
      <c r="F49" s="674">
        <f>transport!E58</f>
        <v>0</v>
      </c>
      <c r="G49" s="674">
        <f>transport!F58</f>
        <v>0</v>
      </c>
      <c r="H49" s="674">
        <f>transport!G58</f>
        <v>190.46339054896262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191.18224812115096</v>
      </c>
    </row>
    <row r="50" spans="1:18">
      <c r="A50" s="805" t="s">
        <v>296</v>
      </c>
      <c r="B50" s="815"/>
      <c r="C50" s="973">
        <f ca="1">transport!B18</f>
        <v>0.11421667130309529</v>
      </c>
      <c r="D50" s="973">
        <f>transport!C18</f>
        <v>0</v>
      </c>
      <c r="E50" s="973">
        <f>transport!D18</f>
        <v>0.35821438693483293</v>
      </c>
      <c r="F50" s="973">
        <f>transport!E18</f>
        <v>41.294512600540415</v>
      </c>
      <c r="G50" s="973">
        <f>transport!F18</f>
        <v>0</v>
      </c>
      <c r="H50" s="973">
        <f>transport!G18</f>
        <v>9673.0663540224214</v>
      </c>
      <c r="I50" s="973">
        <f>transport!H18</f>
        <v>1448.270269293409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11163.103566974609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0.833074243491425</v>
      </c>
      <c r="D52" s="707">
        <f t="shared" ref="D52:Q52" ca="1" si="6">SUM(D48:D51)</f>
        <v>0</v>
      </c>
      <c r="E52" s="707">
        <f t="shared" si="6"/>
        <v>0.35821438693483293</v>
      </c>
      <c r="F52" s="707">
        <f t="shared" si="6"/>
        <v>41.294512600540415</v>
      </c>
      <c r="G52" s="707">
        <f t="shared" si="6"/>
        <v>0</v>
      </c>
      <c r="H52" s="707">
        <f t="shared" si="6"/>
        <v>9863.5297445713841</v>
      </c>
      <c r="I52" s="707">
        <f t="shared" si="6"/>
        <v>1448.270269293409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11354.28581509576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66.062951517868271</v>
      </c>
      <c r="D54" s="973">
        <f ca="1">+landbouw!C12</f>
        <v>0</v>
      </c>
      <c r="E54" s="973">
        <f>+landbouw!D12</f>
        <v>14.876202716666265</v>
      </c>
      <c r="F54" s="973">
        <f>+landbouw!E12</f>
        <v>0.71835692687067698</v>
      </c>
      <c r="G54" s="973">
        <f>+landbouw!F12</f>
        <v>345.38855289609967</v>
      </c>
      <c r="H54" s="973">
        <f>+landbouw!G12</f>
        <v>0</v>
      </c>
      <c r="I54" s="973">
        <f>+landbouw!H12</f>
        <v>0</v>
      </c>
      <c r="J54" s="973">
        <f>+landbouw!I12</f>
        <v>0</v>
      </c>
      <c r="K54" s="973">
        <f>+landbouw!J12</f>
        <v>9.5537555376069196</v>
      </c>
      <c r="L54" s="973">
        <f>+landbouw!K12</f>
        <v>0</v>
      </c>
      <c r="M54" s="973">
        <f>+landbouw!L12</f>
        <v>0</v>
      </c>
      <c r="N54" s="973">
        <f>+landbouw!M12</f>
        <v>0</v>
      </c>
      <c r="O54" s="973">
        <f>+landbouw!N12</f>
        <v>0</v>
      </c>
      <c r="P54" s="973">
        <f>+landbouw!O12</f>
        <v>0</v>
      </c>
      <c r="Q54" s="974">
        <f>+landbouw!P12</f>
        <v>0</v>
      </c>
      <c r="R54" s="706">
        <f ca="1">SUM(C54:Q54)</f>
        <v>436.59981959511185</v>
      </c>
    </row>
    <row r="55" spans="1:18" ht="15" thickBot="1">
      <c r="A55" s="805" t="s">
        <v>889</v>
      </c>
      <c r="B55" s="815"/>
      <c r="C55" s="973">
        <f ca="1">C25*'EF ele_warmte'!B12</f>
        <v>329.40199247852871</v>
      </c>
      <c r="D55" s="973"/>
      <c r="E55" s="973">
        <f>E25*EF_CO2_aardgas</f>
        <v>339.42562757635375</v>
      </c>
      <c r="F55" s="973"/>
      <c r="G55" s="973"/>
      <c r="H55" s="973"/>
      <c r="I55" s="973"/>
      <c r="J55" s="973"/>
      <c r="K55" s="973"/>
      <c r="L55" s="973"/>
      <c r="M55" s="973"/>
      <c r="N55" s="973"/>
      <c r="O55" s="973"/>
      <c r="P55" s="973"/>
      <c r="Q55" s="974"/>
      <c r="R55" s="706">
        <f ca="1">SUM(C55:Q55)</f>
        <v>668.82762005488246</v>
      </c>
    </row>
    <row r="56" spans="1:18" ht="15.75" thickBot="1">
      <c r="A56" s="803" t="s">
        <v>890</v>
      </c>
      <c r="B56" s="816"/>
      <c r="C56" s="707">
        <f ca="1">SUM(C54:C55)</f>
        <v>395.46494399639698</v>
      </c>
      <c r="D56" s="707">
        <f t="shared" ref="D56:Q56" ca="1" si="7">SUM(D54:D55)</f>
        <v>0</v>
      </c>
      <c r="E56" s="707">
        <f t="shared" si="7"/>
        <v>354.30183029302003</v>
      </c>
      <c r="F56" s="707">
        <f t="shared" si="7"/>
        <v>0.71835692687067698</v>
      </c>
      <c r="G56" s="707">
        <f t="shared" si="7"/>
        <v>345.38855289609967</v>
      </c>
      <c r="H56" s="707">
        <f t="shared" si="7"/>
        <v>0</v>
      </c>
      <c r="I56" s="707">
        <f t="shared" si="7"/>
        <v>0</v>
      </c>
      <c r="J56" s="707">
        <f t="shared" si="7"/>
        <v>0</v>
      </c>
      <c r="K56" s="707">
        <f t="shared" si="7"/>
        <v>9.5537555376069196</v>
      </c>
      <c r="L56" s="707">
        <f t="shared" si="7"/>
        <v>0</v>
      </c>
      <c r="M56" s="707">
        <f t="shared" si="7"/>
        <v>0</v>
      </c>
      <c r="N56" s="707">
        <f t="shared" si="7"/>
        <v>0</v>
      </c>
      <c r="O56" s="707">
        <f t="shared" si="7"/>
        <v>0</v>
      </c>
      <c r="P56" s="707">
        <f t="shared" si="7"/>
        <v>0</v>
      </c>
      <c r="Q56" s="708">
        <f t="shared" si="7"/>
        <v>0</v>
      </c>
      <c r="R56" s="709">
        <f ca="1">SUM(R54:R55)</f>
        <v>1105.4274396499943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9225.4537084911935</v>
      </c>
      <c r="D61" s="715">
        <f t="shared" ref="D61:Q61" ca="1" si="8">D46+D52+D56</f>
        <v>0</v>
      </c>
      <c r="E61" s="715">
        <f t="shared" ca="1" si="8"/>
        <v>7280.1046588897998</v>
      </c>
      <c r="F61" s="715">
        <f t="shared" si="8"/>
        <v>415.2948422560645</v>
      </c>
      <c r="G61" s="715">
        <f t="shared" ca="1" si="8"/>
        <v>12123.930328794073</v>
      </c>
      <c r="H61" s="715">
        <f t="shared" si="8"/>
        <v>9863.5297445713841</v>
      </c>
      <c r="I61" s="715">
        <f t="shared" si="8"/>
        <v>1448.270269293409</v>
      </c>
      <c r="J61" s="715">
        <f t="shared" si="8"/>
        <v>0</v>
      </c>
      <c r="K61" s="715">
        <f t="shared" si="8"/>
        <v>334.75286115350059</v>
      </c>
      <c r="L61" s="715">
        <f t="shared" si="8"/>
        <v>0</v>
      </c>
      <c r="M61" s="715">
        <f t="shared" ca="1" si="8"/>
        <v>0</v>
      </c>
      <c r="N61" s="715">
        <f t="shared" si="8"/>
        <v>0</v>
      </c>
      <c r="O61" s="715">
        <f t="shared" ca="1" si="8"/>
        <v>0</v>
      </c>
      <c r="P61" s="715">
        <f t="shared" si="8"/>
        <v>0</v>
      </c>
      <c r="Q61" s="715">
        <f t="shared" si="8"/>
        <v>0</v>
      </c>
      <c r="R61" s="715">
        <f ca="1">R46+R52+R56</f>
        <v>40691.336413449426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0.21861610783305396</v>
      </c>
      <c r="D63" s="759">
        <f t="shared" ca="1" si="9"/>
        <v>0</v>
      </c>
      <c r="E63" s="975">
        <f t="shared" ca="1" si="9"/>
        <v>0.2020000000000001</v>
      </c>
      <c r="F63" s="759">
        <f t="shared" si="9"/>
        <v>0.22700000000000004</v>
      </c>
      <c r="G63" s="759">
        <f t="shared" ca="1" si="9"/>
        <v>0.26700000000000002</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455.19754268885765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455.19754268885765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21391.737358662409</v>
      </c>
      <c r="C4" s="447">
        <f>huishoudens!C8</f>
        <v>0</v>
      </c>
      <c r="D4" s="447">
        <f>huishoudens!D8</f>
        <v>19845.816357025851</v>
      </c>
      <c r="E4" s="447">
        <f>huishoudens!E8</f>
        <v>1186.7732188330835</v>
      </c>
      <c r="F4" s="447">
        <f>huishoudens!F8</f>
        <v>40509.786588364921</v>
      </c>
      <c r="G4" s="447">
        <f>huishoudens!G8</f>
        <v>0</v>
      </c>
      <c r="H4" s="447">
        <f>huishoudens!H8</f>
        <v>0</v>
      </c>
      <c r="I4" s="447">
        <f>huishoudens!I8</f>
        <v>0</v>
      </c>
      <c r="J4" s="447">
        <f>huishoudens!J8</f>
        <v>912.17769002725515</v>
      </c>
      <c r="K4" s="447">
        <f>huishoudens!K8</f>
        <v>0</v>
      </c>
      <c r="L4" s="447">
        <f>huishoudens!L8</f>
        <v>0</v>
      </c>
      <c r="M4" s="447">
        <f>huishoudens!M8</f>
        <v>0</v>
      </c>
      <c r="N4" s="447">
        <f>huishoudens!N8</f>
        <v>4471.7848089193412</v>
      </c>
      <c r="O4" s="447">
        <f>huishoudens!O8</f>
        <v>32.830000000000005</v>
      </c>
      <c r="P4" s="448">
        <f>huishoudens!P8</f>
        <v>324.13333333333333</v>
      </c>
      <c r="Q4" s="449">
        <f>SUM(B4:P4)</f>
        <v>88675.039355166198</v>
      </c>
    </row>
    <row r="5" spans="1:17">
      <c r="A5" s="446" t="s">
        <v>149</v>
      </c>
      <c r="B5" s="447">
        <f ca="1">tertiair!B16</f>
        <v>16657.375445950729</v>
      </c>
      <c r="C5" s="447">
        <f ca="1">tertiair!C16</f>
        <v>0</v>
      </c>
      <c r="D5" s="447">
        <f ca="1">tertiair!D16</f>
        <v>13416.39732225089</v>
      </c>
      <c r="E5" s="447">
        <f>tertiair!E16</f>
        <v>436.451648919842</v>
      </c>
      <c r="F5" s="447">
        <f ca="1">tertiair!F16</f>
        <v>2880.4144822151811</v>
      </c>
      <c r="G5" s="447">
        <f>tertiair!G16</f>
        <v>0</v>
      </c>
      <c r="H5" s="447">
        <f>tertiair!H16</f>
        <v>0</v>
      </c>
      <c r="I5" s="447">
        <f>tertiair!I16</f>
        <v>0</v>
      </c>
      <c r="J5" s="447">
        <f>tertiair!J16</f>
        <v>0</v>
      </c>
      <c r="K5" s="447">
        <f>tertiair!K16</f>
        <v>0</v>
      </c>
      <c r="L5" s="447">
        <f ca="1">tertiair!L16</f>
        <v>0</v>
      </c>
      <c r="M5" s="447">
        <f>tertiair!M16</f>
        <v>0</v>
      </c>
      <c r="N5" s="447">
        <f ca="1">tertiair!N16</f>
        <v>307.3280195945668</v>
      </c>
      <c r="O5" s="447">
        <f>tertiair!O16</f>
        <v>1.5633333333333335</v>
      </c>
      <c r="P5" s="448">
        <f>tertiair!P16</f>
        <v>19.066666666666666</v>
      </c>
      <c r="Q5" s="446">
        <f t="shared" ref="Q5:Q14" ca="1" si="0">SUM(B5:P5)</f>
        <v>33718.596918931209</v>
      </c>
    </row>
    <row r="6" spans="1:17">
      <c r="A6" s="446" t="s">
        <v>187</v>
      </c>
      <c r="B6" s="447">
        <f>'openbare verlichting'!B8</f>
        <v>564.74099999999999</v>
      </c>
      <c r="C6" s="447"/>
      <c r="D6" s="447"/>
      <c r="E6" s="447"/>
      <c r="F6" s="447"/>
      <c r="G6" s="447"/>
      <c r="H6" s="447"/>
      <c r="I6" s="447"/>
      <c r="J6" s="447"/>
      <c r="K6" s="447"/>
      <c r="L6" s="447"/>
      <c r="M6" s="447"/>
      <c r="N6" s="447"/>
      <c r="O6" s="447"/>
      <c r="P6" s="448"/>
      <c r="Q6" s="446">
        <f t="shared" si="0"/>
        <v>564.74099999999999</v>
      </c>
    </row>
    <row r="7" spans="1:17">
      <c r="A7" s="446" t="s">
        <v>105</v>
      </c>
      <c r="B7" s="447">
        <f>landbouw!B8</f>
        <v>302.18702625662519</v>
      </c>
      <c r="C7" s="447">
        <f>landbouw!C8</f>
        <v>0</v>
      </c>
      <c r="D7" s="447">
        <f>landbouw!D8</f>
        <v>73.644567904288436</v>
      </c>
      <c r="E7" s="447">
        <f>landbouw!E8</f>
        <v>3.1645679597827181</v>
      </c>
      <c r="F7" s="447">
        <f>landbouw!F8</f>
        <v>1293.5900857531822</v>
      </c>
      <c r="G7" s="447">
        <f>landbouw!G8</f>
        <v>0</v>
      </c>
      <c r="H7" s="447">
        <f>landbouw!H8</f>
        <v>0</v>
      </c>
      <c r="I7" s="447">
        <f>landbouw!I8</f>
        <v>0</v>
      </c>
      <c r="J7" s="447">
        <f>landbouw!J8</f>
        <v>26.988009993239888</v>
      </c>
      <c r="K7" s="447">
        <f>landbouw!K8</f>
        <v>0</v>
      </c>
      <c r="L7" s="447">
        <f>landbouw!L8</f>
        <v>0</v>
      </c>
      <c r="M7" s="447">
        <f>landbouw!M8</f>
        <v>0</v>
      </c>
      <c r="N7" s="447">
        <f>landbouw!N8</f>
        <v>0</v>
      </c>
      <c r="O7" s="447">
        <f>landbouw!O8</f>
        <v>0</v>
      </c>
      <c r="P7" s="448">
        <f>landbouw!P8</f>
        <v>0</v>
      </c>
      <c r="Q7" s="446">
        <f t="shared" si="0"/>
        <v>1699.5742578671186</v>
      </c>
    </row>
    <row r="8" spans="1:17">
      <c r="A8" s="446" t="s">
        <v>637</v>
      </c>
      <c r="B8" s="447">
        <f>industrie!B18</f>
        <v>1772.7205323231201</v>
      </c>
      <c r="C8" s="447">
        <f>industrie!C18</f>
        <v>0</v>
      </c>
      <c r="D8" s="447">
        <f>industrie!D18</f>
        <v>1022.1655989898086</v>
      </c>
      <c r="E8" s="447">
        <f>industrie!E18</f>
        <v>21.189109025282967</v>
      </c>
      <c r="F8" s="447">
        <f>industrie!F18</f>
        <v>724.18760319507464</v>
      </c>
      <c r="G8" s="447">
        <f>industrie!G18</f>
        <v>0</v>
      </c>
      <c r="H8" s="447">
        <f>industrie!H18</f>
        <v>0</v>
      </c>
      <c r="I8" s="447">
        <f>industrie!I18</f>
        <v>0</v>
      </c>
      <c r="J8" s="447">
        <f>industrie!J18</f>
        <v>6.4638512605800109</v>
      </c>
      <c r="K8" s="447">
        <f>industrie!K18</f>
        <v>0</v>
      </c>
      <c r="L8" s="447">
        <f>industrie!L18</f>
        <v>0</v>
      </c>
      <c r="M8" s="447">
        <f>industrie!M18</f>
        <v>0</v>
      </c>
      <c r="N8" s="447">
        <f>industrie!N18</f>
        <v>67.715816736111961</v>
      </c>
      <c r="O8" s="447">
        <f>industrie!O18</f>
        <v>0</v>
      </c>
      <c r="P8" s="448">
        <f>industrie!P18</f>
        <v>0</v>
      </c>
      <c r="Q8" s="446">
        <f t="shared" si="0"/>
        <v>3614.4425115299787</v>
      </c>
    </row>
    <row r="9" spans="1:17" s="452" customFormat="1">
      <c r="A9" s="450" t="s">
        <v>556</v>
      </c>
      <c r="B9" s="451">
        <f>transport!B14</f>
        <v>0.52245313684898642</v>
      </c>
      <c r="C9" s="451">
        <f>transport!C14</f>
        <v>0</v>
      </c>
      <c r="D9" s="451">
        <f>transport!D14</f>
        <v>1.773338549182341</v>
      </c>
      <c r="E9" s="451">
        <f>transport!E14</f>
        <v>181.91415242528817</v>
      </c>
      <c r="F9" s="451">
        <f>transport!F14</f>
        <v>0</v>
      </c>
      <c r="G9" s="451">
        <f>transport!G14</f>
        <v>36228.712936413562</v>
      </c>
      <c r="H9" s="451">
        <f>transport!H14</f>
        <v>5816.3464630257386</v>
      </c>
      <c r="I9" s="451">
        <f>transport!I14</f>
        <v>0</v>
      </c>
      <c r="J9" s="451">
        <f>transport!J14</f>
        <v>0</v>
      </c>
      <c r="K9" s="451">
        <f>transport!K14</f>
        <v>0</v>
      </c>
      <c r="L9" s="451">
        <f>transport!L14</f>
        <v>0</v>
      </c>
      <c r="M9" s="451">
        <f>transport!M14</f>
        <v>1828.4008272909134</v>
      </c>
      <c r="N9" s="451">
        <f>transport!N14</f>
        <v>0</v>
      </c>
      <c r="O9" s="451">
        <f>transport!O14</f>
        <v>0</v>
      </c>
      <c r="P9" s="451">
        <f>transport!P14</f>
        <v>0</v>
      </c>
      <c r="Q9" s="450">
        <f>SUM(B9:P9)</f>
        <v>44057.670170841528</v>
      </c>
    </row>
    <row r="10" spans="1:17">
      <c r="A10" s="446" t="s">
        <v>546</v>
      </c>
      <c r="B10" s="447">
        <f>transport!B54</f>
        <v>3.2882186921801981</v>
      </c>
      <c r="C10" s="447">
        <f>transport!C54</f>
        <v>0</v>
      </c>
      <c r="D10" s="447">
        <f>transport!D54</f>
        <v>0</v>
      </c>
      <c r="E10" s="447">
        <f>transport!E54</f>
        <v>0</v>
      </c>
      <c r="F10" s="447">
        <f>transport!F54</f>
        <v>0</v>
      </c>
      <c r="G10" s="447">
        <f>transport!G54</f>
        <v>713.34603201858658</v>
      </c>
      <c r="H10" s="447">
        <f>transport!H54</f>
        <v>0</v>
      </c>
      <c r="I10" s="447">
        <f>transport!I54</f>
        <v>0</v>
      </c>
      <c r="J10" s="447">
        <f>transport!J54</f>
        <v>0</v>
      </c>
      <c r="K10" s="447">
        <f>transport!K54</f>
        <v>0</v>
      </c>
      <c r="L10" s="447">
        <f>transport!L54</f>
        <v>0</v>
      </c>
      <c r="M10" s="447">
        <f>transport!M54</f>
        <v>30.542736951283949</v>
      </c>
      <c r="N10" s="447">
        <f>transport!N54</f>
        <v>0</v>
      </c>
      <c r="O10" s="447">
        <f>transport!O54</f>
        <v>0</v>
      </c>
      <c r="P10" s="448">
        <f>transport!P54</f>
        <v>0</v>
      </c>
      <c r="Q10" s="446">
        <f t="shared" si="0"/>
        <v>747.17698766205069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1506.7599352289101</v>
      </c>
      <c r="C14" s="454"/>
      <c r="D14" s="454">
        <f>'SEAP template'!E25</f>
        <v>1680.32488899185</v>
      </c>
      <c r="E14" s="454"/>
      <c r="F14" s="454"/>
      <c r="G14" s="454"/>
      <c r="H14" s="454"/>
      <c r="I14" s="454"/>
      <c r="J14" s="454"/>
      <c r="K14" s="454"/>
      <c r="L14" s="454"/>
      <c r="M14" s="454"/>
      <c r="N14" s="454"/>
      <c r="O14" s="454"/>
      <c r="P14" s="455"/>
      <c r="Q14" s="446">
        <f t="shared" si="0"/>
        <v>3187.0848242207603</v>
      </c>
    </row>
    <row r="15" spans="1:17" s="459" customFormat="1">
      <c r="A15" s="456" t="s">
        <v>550</v>
      </c>
      <c r="B15" s="457">
        <f ca="1">SUM(B4:B14)</f>
        <v>42199.331970250816</v>
      </c>
      <c r="C15" s="457">
        <f t="shared" ref="C15:Q15" ca="1" si="1">SUM(C4:C14)</f>
        <v>0</v>
      </c>
      <c r="D15" s="457">
        <f t="shared" ca="1" si="1"/>
        <v>36040.122073711864</v>
      </c>
      <c r="E15" s="457">
        <f t="shared" si="1"/>
        <v>1829.4926971632794</v>
      </c>
      <c r="F15" s="457">
        <f t="shared" ca="1" si="1"/>
        <v>45407.978759528356</v>
      </c>
      <c r="G15" s="457">
        <f t="shared" si="1"/>
        <v>36942.058968432146</v>
      </c>
      <c r="H15" s="457">
        <f t="shared" si="1"/>
        <v>5816.3464630257386</v>
      </c>
      <c r="I15" s="457">
        <f t="shared" si="1"/>
        <v>0</v>
      </c>
      <c r="J15" s="457">
        <f t="shared" si="1"/>
        <v>945.62955128107501</v>
      </c>
      <c r="K15" s="457">
        <f t="shared" si="1"/>
        <v>0</v>
      </c>
      <c r="L15" s="457">
        <f t="shared" ca="1" si="1"/>
        <v>0</v>
      </c>
      <c r="M15" s="457">
        <f t="shared" si="1"/>
        <v>1858.9435642421975</v>
      </c>
      <c r="N15" s="457">
        <f t="shared" ca="1" si="1"/>
        <v>4846.8286452500206</v>
      </c>
      <c r="O15" s="457">
        <f t="shared" si="1"/>
        <v>34.393333333333338</v>
      </c>
      <c r="P15" s="457">
        <f t="shared" si="1"/>
        <v>343.2</v>
      </c>
      <c r="Q15" s="457">
        <f t="shared" ca="1" si="1"/>
        <v>176264.32602621883</v>
      </c>
    </row>
    <row r="17" spans="1:17">
      <c r="A17" s="460" t="s">
        <v>551</v>
      </c>
      <c r="B17" s="764">
        <f ca="1">huishoudens!B10</f>
        <v>0.21861610783305391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4676.5783611377092</v>
      </c>
      <c r="C22" s="447">
        <f t="shared" ref="C22:C32" ca="1" si="3">C4*$C$17</f>
        <v>0</v>
      </c>
      <c r="D22" s="447">
        <f t="shared" ref="D22:D32" si="4">D4*$D$17</f>
        <v>4008.8549041192223</v>
      </c>
      <c r="E22" s="447">
        <f t="shared" ref="E22:E32" si="5">E4*$E$17</f>
        <v>269.39752067511</v>
      </c>
      <c r="F22" s="447">
        <f t="shared" ref="F22:F32" si="6">F4*$F$17</f>
        <v>10816.113019093435</v>
      </c>
      <c r="G22" s="447">
        <f t="shared" ref="G22:G32" si="7">G4*$G$17</f>
        <v>0</v>
      </c>
      <c r="H22" s="447">
        <f t="shared" ref="H22:H32" si="8">H4*$H$17</f>
        <v>0</v>
      </c>
      <c r="I22" s="447">
        <f t="shared" ref="I22:I32" si="9">I4*$I$17</f>
        <v>0</v>
      </c>
      <c r="J22" s="447">
        <f t="shared" ref="J22:J32" si="10">J4*$J$17</f>
        <v>322.91090226964832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20093.854707295122</v>
      </c>
    </row>
    <row r="23" spans="1:17">
      <c r="A23" s="446" t="s">
        <v>149</v>
      </c>
      <c r="B23" s="447">
        <f t="shared" ca="1" si="2"/>
        <v>3641.570586707629</v>
      </c>
      <c r="C23" s="447">
        <f t="shared" ca="1" si="3"/>
        <v>0</v>
      </c>
      <c r="D23" s="447">
        <f t="shared" ca="1" si="4"/>
        <v>2710.1122590946802</v>
      </c>
      <c r="E23" s="447">
        <f t="shared" si="5"/>
        <v>99.074524304804143</v>
      </c>
      <c r="F23" s="447">
        <f t="shared" ca="1" si="6"/>
        <v>769.07066675145336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7219.8280368585665</v>
      </c>
    </row>
    <row r="24" spans="1:17">
      <c r="A24" s="446" t="s">
        <v>187</v>
      </c>
      <c r="B24" s="447">
        <f t="shared" ca="1" si="2"/>
        <v>123.4614793537467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123.4614793537467</v>
      </c>
    </row>
    <row r="25" spans="1:17">
      <c r="A25" s="446" t="s">
        <v>105</v>
      </c>
      <c r="B25" s="447">
        <f t="shared" ca="1" si="2"/>
        <v>66.062951517868271</v>
      </c>
      <c r="C25" s="447">
        <f t="shared" ca="1" si="3"/>
        <v>0</v>
      </c>
      <c r="D25" s="447">
        <f t="shared" si="4"/>
        <v>14.876202716666265</v>
      </c>
      <c r="E25" s="447">
        <f t="shared" si="5"/>
        <v>0.71835692687067698</v>
      </c>
      <c r="F25" s="447">
        <f t="shared" si="6"/>
        <v>345.38855289609967</v>
      </c>
      <c r="G25" s="447">
        <f t="shared" si="7"/>
        <v>0</v>
      </c>
      <c r="H25" s="447">
        <f t="shared" si="8"/>
        <v>0</v>
      </c>
      <c r="I25" s="447">
        <f t="shared" si="9"/>
        <v>0</v>
      </c>
      <c r="J25" s="447">
        <f t="shared" si="10"/>
        <v>9.5537555376069196</v>
      </c>
      <c r="K25" s="447">
        <f t="shared" si="11"/>
        <v>0</v>
      </c>
      <c r="L25" s="447">
        <f t="shared" si="12"/>
        <v>0</v>
      </c>
      <c r="M25" s="447">
        <f t="shared" si="13"/>
        <v>0</v>
      </c>
      <c r="N25" s="447">
        <f t="shared" si="14"/>
        <v>0</v>
      </c>
      <c r="O25" s="447">
        <f t="shared" si="15"/>
        <v>0</v>
      </c>
      <c r="P25" s="448">
        <f t="shared" si="16"/>
        <v>0</v>
      </c>
      <c r="Q25" s="446">
        <f t="shared" ca="1" si="17"/>
        <v>436.59981959511185</v>
      </c>
    </row>
    <row r="26" spans="1:17">
      <c r="A26" s="446" t="s">
        <v>637</v>
      </c>
      <c r="B26" s="447">
        <f t="shared" ca="1" si="2"/>
        <v>387.54526305221992</v>
      </c>
      <c r="C26" s="447">
        <f t="shared" ca="1" si="3"/>
        <v>0</v>
      </c>
      <c r="D26" s="447">
        <f t="shared" si="4"/>
        <v>206.47745099594135</v>
      </c>
      <c r="E26" s="447">
        <f t="shared" si="5"/>
        <v>4.8099277487392333</v>
      </c>
      <c r="F26" s="447">
        <f t="shared" si="6"/>
        <v>193.35809005308494</v>
      </c>
      <c r="G26" s="447">
        <f t="shared" si="7"/>
        <v>0</v>
      </c>
      <c r="H26" s="447">
        <f t="shared" si="8"/>
        <v>0</v>
      </c>
      <c r="I26" s="447">
        <f t="shared" si="9"/>
        <v>0</v>
      </c>
      <c r="J26" s="447">
        <f t="shared" si="10"/>
        <v>2.2882033462453237</v>
      </c>
      <c r="K26" s="447">
        <f t="shared" si="11"/>
        <v>0</v>
      </c>
      <c r="L26" s="447">
        <f t="shared" si="12"/>
        <v>0</v>
      </c>
      <c r="M26" s="447">
        <f t="shared" si="13"/>
        <v>0</v>
      </c>
      <c r="N26" s="447">
        <f t="shared" si="14"/>
        <v>0</v>
      </c>
      <c r="O26" s="447">
        <f t="shared" si="15"/>
        <v>0</v>
      </c>
      <c r="P26" s="448">
        <f t="shared" si="16"/>
        <v>0</v>
      </c>
      <c r="Q26" s="446">
        <f t="shared" ca="1" si="17"/>
        <v>794.47893519623074</v>
      </c>
    </row>
    <row r="27" spans="1:17" s="452" customFormat="1">
      <c r="A27" s="450" t="s">
        <v>556</v>
      </c>
      <c r="B27" s="758">
        <f t="shared" ca="1" si="2"/>
        <v>0.11421667130309529</v>
      </c>
      <c r="C27" s="451">
        <f t="shared" ca="1" si="3"/>
        <v>0</v>
      </c>
      <c r="D27" s="451">
        <f t="shared" si="4"/>
        <v>0.35821438693483293</v>
      </c>
      <c r="E27" s="451">
        <f t="shared" si="5"/>
        <v>41.294512600540415</v>
      </c>
      <c r="F27" s="451">
        <f t="shared" si="6"/>
        <v>0</v>
      </c>
      <c r="G27" s="451">
        <f t="shared" si="7"/>
        <v>9673.0663540224214</v>
      </c>
      <c r="H27" s="451">
        <f t="shared" si="8"/>
        <v>1448.270269293409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11163.103566974609</v>
      </c>
    </row>
    <row r="28" spans="1:17">
      <c r="A28" s="446" t="s">
        <v>546</v>
      </c>
      <c r="B28" s="447">
        <f t="shared" ca="1" si="2"/>
        <v>0.71885757218832969</v>
      </c>
      <c r="C28" s="447">
        <f t="shared" ca="1" si="3"/>
        <v>0</v>
      </c>
      <c r="D28" s="447">
        <f t="shared" si="4"/>
        <v>0</v>
      </c>
      <c r="E28" s="447">
        <f t="shared" si="5"/>
        <v>0</v>
      </c>
      <c r="F28" s="447">
        <f t="shared" si="6"/>
        <v>0</v>
      </c>
      <c r="G28" s="447">
        <f t="shared" si="7"/>
        <v>190.46339054896262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191.18224812115096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329.40199247852871</v>
      </c>
      <c r="C32" s="447">
        <f t="shared" ca="1" si="3"/>
        <v>0</v>
      </c>
      <c r="D32" s="447">
        <f t="shared" si="4"/>
        <v>339.42562757635375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668.82762005488246</v>
      </c>
    </row>
    <row r="33" spans="1:17" s="459" customFormat="1">
      <c r="A33" s="456" t="s">
        <v>550</v>
      </c>
      <c r="B33" s="457">
        <f ca="1">SUM(B22:B32)</f>
        <v>9225.4537084911935</v>
      </c>
      <c r="C33" s="457">
        <f t="shared" ref="C33:Q33" ca="1" si="19">SUM(C22:C32)</f>
        <v>0</v>
      </c>
      <c r="D33" s="457">
        <f t="shared" ca="1" si="19"/>
        <v>7280.104658889798</v>
      </c>
      <c r="E33" s="457">
        <f t="shared" si="19"/>
        <v>415.2948422560645</v>
      </c>
      <c r="F33" s="457">
        <f t="shared" ca="1" si="19"/>
        <v>12123.930328794073</v>
      </c>
      <c r="G33" s="457">
        <f t="shared" si="19"/>
        <v>9863.5297445713841</v>
      </c>
      <c r="H33" s="457">
        <f t="shared" si="19"/>
        <v>1448.270269293409</v>
      </c>
      <c r="I33" s="457">
        <f t="shared" si="19"/>
        <v>0</v>
      </c>
      <c r="J33" s="457">
        <f t="shared" si="19"/>
        <v>334.75286115350059</v>
      </c>
      <c r="K33" s="457">
        <f t="shared" si="19"/>
        <v>0</v>
      </c>
      <c r="L33" s="457">
        <f t="shared" ca="1" si="19"/>
        <v>0</v>
      </c>
      <c r="M33" s="457">
        <f t="shared" si="19"/>
        <v>0</v>
      </c>
      <c r="N33" s="457">
        <f t="shared" ca="1" si="19"/>
        <v>0</v>
      </c>
      <c r="O33" s="457">
        <f t="shared" si="19"/>
        <v>0</v>
      </c>
      <c r="P33" s="457">
        <f t="shared" si="19"/>
        <v>0</v>
      </c>
      <c r="Q33" s="457">
        <f t="shared" ca="1" si="19"/>
        <v>40691.336413449419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455.19754268885765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455.19754268885765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0.21861610783305391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0.21861610783305391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0.21861610783305391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0.21861610783305391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3401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378</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26</v>
      </c>
      <c r="C17" s="326"/>
      <c r="D17" s="326"/>
      <c r="E17" s="326"/>
      <c r="F17" s="326"/>
    </row>
    <row r="18" spans="1:6">
      <c r="A18" s="1280" t="s">
        <v>8</v>
      </c>
      <c r="B18" s="1281">
        <v>12</v>
      </c>
      <c r="C18" s="326"/>
      <c r="D18" s="326"/>
      <c r="E18" s="326"/>
      <c r="F18" s="326"/>
    </row>
    <row r="19" spans="1:6">
      <c r="A19" s="1280" t="s">
        <v>9</v>
      </c>
      <c r="B19" s="1281">
        <v>22</v>
      </c>
      <c r="C19" s="326"/>
      <c r="D19" s="326"/>
      <c r="E19" s="326"/>
      <c r="F19" s="326"/>
    </row>
    <row r="20" spans="1:6">
      <c r="A20" s="1280" t="s">
        <v>10</v>
      </c>
      <c r="B20" s="1281">
        <v>28</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15</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44</v>
      </c>
      <c r="C29" s="326"/>
      <c r="D29" s="326"/>
      <c r="E29" s="326"/>
      <c r="F29" s="326"/>
    </row>
    <row r="30" spans="1:6">
      <c r="A30" s="1275" t="s">
        <v>973</v>
      </c>
      <c r="B30" s="1283">
        <v>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14244.768592629</v>
      </c>
    </row>
    <row r="39" spans="1:6">
      <c r="A39" s="1280" t="s">
        <v>29</v>
      </c>
      <c r="B39" s="1280" t="s">
        <v>30</v>
      </c>
      <c r="C39" s="1281">
        <v>974</v>
      </c>
      <c r="D39" s="1281">
        <v>22002013.699585199</v>
      </c>
      <c r="E39" s="1281">
        <v>3022</v>
      </c>
      <c r="F39" s="1281">
        <v>20969874.7349074</v>
      </c>
    </row>
    <row r="40" spans="1:6">
      <c r="A40" s="1280" t="s">
        <v>29</v>
      </c>
      <c r="B40" s="1280" t="s">
        <v>28</v>
      </c>
      <c r="C40" s="1281">
        <v>0</v>
      </c>
      <c r="D40" s="1281">
        <v>0</v>
      </c>
      <c r="E40" s="1281">
        <v>1</v>
      </c>
      <c r="F40" s="1281">
        <v>693.78128301219999</v>
      </c>
    </row>
    <row r="41" spans="1:6">
      <c r="A41" s="1280" t="s">
        <v>31</v>
      </c>
      <c r="B41" s="1280" t="s">
        <v>32</v>
      </c>
      <c r="C41" s="1281">
        <v>7</v>
      </c>
      <c r="D41" s="1281">
        <v>143230.12219509101</v>
      </c>
      <c r="E41" s="1281">
        <v>58</v>
      </c>
      <c r="F41" s="1281">
        <v>662717.94299653603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989991.162716005</v>
      </c>
      <c r="E48" s="1281">
        <v>54</v>
      </c>
      <c r="F48" s="1281">
        <v>700793.17906770401</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409209.41025888</v>
      </c>
    </row>
    <row r="51" spans="1:6">
      <c r="A51" s="1280" t="s">
        <v>41</v>
      </c>
      <c r="B51" s="1280" t="s">
        <v>42</v>
      </c>
      <c r="C51" s="1281">
        <v>4</v>
      </c>
      <c r="D51" s="1281">
        <v>29993.0850371263</v>
      </c>
      <c r="E51" s="1281">
        <v>20</v>
      </c>
      <c r="F51" s="1281">
        <v>79423.617425013203</v>
      </c>
    </row>
    <row r="52" spans="1:6">
      <c r="A52" s="1280" t="s">
        <v>41</v>
      </c>
      <c r="B52" s="1280" t="s">
        <v>28</v>
      </c>
      <c r="C52" s="1281">
        <v>2</v>
      </c>
      <c r="D52" s="1281">
        <v>51652.777384479501</v>
      </c>
      <c r="E52" s="1281">
        <v>12</v>
      </c>
      <c r="F52" s="1281">
        <v>222763.408831612</v>
      </c>
    </row>
    <row r="53" spans="1:6">
      <c r="A53" s="1280" t="s">
        <v>43</v>
      </c>
      <c r="B53" s="1280" t="s">
        <v>44</v>
      </c>
      <c r="C53" s="1281">
        <v>74</v>
      </c>
      <c r="D53" s="1281">
        <v>1680324.88899185</v>
      </c>
      <c r="E53" s="1281">
        <v>179</v>
      </c>
      <c r="F53" s="1281">
        <v>1506759.9352289101</v>
      </c>
    </row>
    <row r="54" spans="1:6">
      <c r="A54" s="1280" t="s">
        <v>45</v>
      </c>
      <c r="B54" s="1280" t="s">
        <v>46</v>
      </c>
      <c r="C54" s="1281">
        <v>0</v>
      </c>
      <c r="D54" s="1281">
        <v>0</v>
      </c>
      <c r="E54" s="1281">
        <v>2</v>
      </c>
      <c r="F54" s="1281">
        <v>564741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7</v>
      </c>
      <c r="D57" s="1281">
        <v>183121.19038920299</v>
      </c>
      <c r="E57" s="1281">
        <v>22</v>
      </c>
      <c r="F57" s="1281">
        <v>618953.70171974797</v>
      </c>
    </row>
    <row r="58" spans="1:6">
      <c r="A58" s="1280" t="s">
        <v>48</v>
      </c>
      <c r="B58" s="1280" t="s">
        <v>50</v>
      </c>
      <c r="C58" s="1281">
        <v>6</v>
      </c>
      <c r="D58" s="1281">
        <v>211767.56956451299</v>
      </c>
      <c r="E58" s="1281">
        <v>31</v>
      </c>
      <c r="F58" s="1281">
        <v>616941.18962597102</v>
      </c>
    </row>
    <row r="59" spans="1:6">
      <c r="A59" s="1280" t="s">
        <v>48</v>
      </c>
      <c r="B59" s="1280" t="s">
        <v>51</v>
      </c>
      <c r="C59" s="1281">
        <v>46</v>
      </c>
      <c r="D59" s="1281">
        <v>2031477.4304849999</v>
      </c>
      <c r="E59" s="1281">
        <v>130</v>
      </c>
      <c r="F59" s="1281">
        <v>3249123.0514022298</v>
      </c>
    </row>
    <row r="60" spans="1:6">
      <c r="A60" s="1280" t="s">
        <v>48</v>
      </c>
      <c r="B60" s="1280" t="s">
        <v>52</v>
      </c>
      <c r="C60" s="1281">
        <v>32</v>
      </c>
      <c r="D60" s="1281">
        <v>1856026.1802634301</v>
      </c>
      <c r="E60" s="1281">
        <v>68</v>
      </c>
      <c r="F60" s="1281">
        <v>1931158.9849499101</v>
      </c>
    </row>
    <row r="61" spans="1:6">
      <c r="A61" s="1280" t="s">
        <v>48</v>
      </c>
      <c r="B61" s="1280" t="s">
        <v>53</v>
      </c>
      <c r="C61" s="1281">
        <v>160</v>
      </c>
      <c r="D61" s="1281">
        <v>5501419.6570675597</v>
      </c>
      <c r="E61" s="1281">
        <v>417</v>
      </c>
      <c r="F61" s="1281">
        <v>6428877.9428379703</v>
      </c>
    </row>
    <row r="62" spans="1:6">
      <c r="A62" s="1280" t="s">
        <v>48</v>
      </c>
      <c r="B62" s="1280" t="s">
        <v>54</v>
      </c>
      <c r="C62" s="1281">
        <v>0</v>
      </c>
      <c r="D62" s="1281">
        <v>0</v>
      </c>
      <c r="E62" s="1281">
        <v>0</v>
      </c>
      <c r="F62" s="1281">
        <v>0</v>
      </c>
    </row>
    <row r="63" spans="1:6">
      <c r="A63" s="1280" t="s">
        <v>48</v>
      </c>
      <c r="B63" s="1280" t="s">
        <v>28</v>
      </c>
      <c r="C63" s="1281">
        <v>119</v>
      </c>
      <c r="D63" s="1281">
        <v>5090242.6532179797</v>
      </c>
      <c r="E63" s="1281">
        <v>169</v>
      </c>
      <c r="F63" s="1281">
        <v>3812320.5754149002</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45820.097175072799</v>
      </c>
      <c r="E68" s="1283">
        <v>4</v>
      </c>
      <c r="F68" s="1283">
        <v>30123.881043701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38350139</v>
      </c>
      <c r="E73" s="445"/>
      <c r="F73" s="326"/>
    </row>
    <row r="74" spans="1:6">
      <c r="A74" s="1280" t="s">
        <v>63</v>
      </c>
      <c r="B74" s="1280" t="s">
        <v>754</v>
      </c>
      <c r="C74" s="1293" t="s">
        <v>755</v>
      </c>
      <c r="D74" s="1281">
        <v>4053788.7572689555</v>
      </c>
      <c r="E74" s="445"/>
      <c r="F74" s="326"/>
    </row>
    <row r="75" spans="1:6">
      <c r="A75" s="1280" t="s">
        <v>64</v>
      </c>
      <c r="B75" s="1280" t="s">
        <v>752</v>
      </c>
      <c r="C75" s="1293" t="s">
        <v>756</v>
      </c>
      <c r="D75" s="1281">
        <v>8654388</v>
      </c>
      <c r="E75" s="445"/>
      <c r="F75" s="326"/>
    </row>
    <row r="76" spans="1:6">
      <c r="A76" s="1280" t="s">
        <v>64</v>
      </c>
      <c r="B76" s="1280" t="s">
        <v>754</v>
      </c>
      <c r="C76" s="1293" t="s">
        <v>757</v>
      </c>
      <c r="D76" s="1281">
        <v>494719.75726895547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195650.48546208904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421.16884247199368</v>
      </c>
      <c r="C91" s="326"/>
      <c r="D91" s="326"/>
      <c r="E91" s="326"/>
      <c r="F91" s="326"/>
    </row>
    <row r="92" spans="1:6">
      <c r="A92" s="1275" t="s">
        <v>68</v>
      </c>
      <c r="B92" s="1276">
        <v>34.02870021686396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510</v>
      </c>
      <c r="C97" s="326"/>
      <c r="D97" s="326"/>
      <c r="E97" s="326"/>
      <c r="F97" s="326"/>
    </row>
    <row r="98" spans="1:6">
      <c r="A98" s="1280" t="s">
        <v>71</v>
      </c>
      <c r="B98" s="1281">
        <v>1</v>
      </c>
      <c r="C98" s="326"/>
      <c r="D98" s="326"/>
      <c r="E98" s="326"/>
      <c r="F98" s="326"/>
    </row>
    <row r="99" spans="1:6">
      <c r="A99" s="1280" t="s">
        <v>72</v>
      </c>
      <c r="B99" s="1281">
        <v>50</v>
      </c>
      <c r="C99" s="326"/>
      <c r="D99" s="326"/>
      <c r="E99" s="326"/>
      <c r="F99" s="326"/>
    </row>
    <row r="100" spans="1:6">
      <c r="A100" s="1280" t="s">
        <v>73</v>
      </c>
      <c r="B100" s="1281">
        <v>478</v>
      </c>
      <c r="C100" s="326"/>
      <c r="D100" s="326"/>
      <c r="E100" s="326"/>
      <c r="F100" s="326"/>
    </row>
    <row r="101" spans="1:6">
      <c r="A101" s="1280" t="s">
        <v>74</v>
      </c>
      <c r="B101" s="1281">
        <v>15</v>
      </c>
      <c r="C101" s="326"/>
      <c r="D101" s="326"/>
      <c r="E101" s="326"/>
      <c r="F101" s="326"/>
    </row>
    <row r="102" spans="1:6">
      <c r="A102" s="1280" t="s">
        <v>75</v>
      </c>
      <c r="B102" s="1281">
        <v>62</v>
      </c>
      <c r="C102" s="326"/>
      <c r="D102" s="326"/>
      <c r="E102" s="326"/>
      <c r="F102" s="326"/>
    </row>
    <row r="103" spans="1:6">
      <c r="A103" s="1280" t="s">
        <v>76</v>
      </c>
      <c r="B103" s="1281">
        <v>53</v>
      </c>
      <c r="C103" s="326"/>
      <c r="D103" s="326"/>
      <c r="E103" s="326"/>
      <c r="F103" s="326"/>
    </row>
    <row r="104" spans="1:6">
      <c r="A104" s="1280" t="s">
        <v>77</v>
      </c>
      <c r="B104" s="1281">
        <v>2024</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42199.331970250816</v>
      </c>
      <c r="C3" s="43" t="s">
        <v>163</v>
      </c>
      <c r="D3" s="43"/>
      <c r="E3" s="156"/>
      <c r="F3" s="43"/>
      <c r="G3" s="43"/>
      <c r="H3" s="43"/>
      <c r="I3" s="43"/>
      <c r="J3" s="43"/>
      <c r="K3" s="96"/>
    </row>
    <row r="4" spans="1:11">
      <c r="A4" s="352" t="s">
        <v>164</v>
      </c>
      <c r="B4" s="49">
        <f>IF(ISERROR('SEAP template'!B78+'SEAP template'!C78),0,'SEAP template'!B78+'SEAP template'!C78)</f>
        <v>455.19754268885765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0.21861610783305391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564.74099999999999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0.21861610783305391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123.4614793537467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B32*B41</f>
        <v>1186.7732188330835</v>
      </c>
      <c r="F5" s="17">
        <f>B36*B45</f>
        <v>40509.786588364921</v>
      </c>
      <c r="G5" s="18"/>
      <c r="H5" s="17"/>
      <c r="I5" s="17"/>
      <c r="J5" s="17">
        <f>B35*B44+C35*C44</f>
        <v>912.17769002725515</v>
      </c>
      <c r="K5" s="17"/>
      <c r="L5" s="17"/>
      <c r="M5" s="17"/>
      <c r="N5" s="17">
        <f>B34*B43+C34*C43</f>
        <v>4471.7848089193412</v>
      </c>
      <c r="O5" s="17">
        <f>B52*B53*B54</f>
        <v>32.830000000000005</v>
      </c>
      <c r="P5" s="17">
        <f>B60*B61*B62/1000-B60*B61*B62/1000/B63</f>
        <v>324.13333333333333</v>
      </c>
    </row>
    <row r="6" spans="1:16">
      <c r="A6" s="16" t="s">
        <v>615</v>
      </c>
      <c r="B6" s="766">
        <f>kWh_PV_kleiner_dan_10kW</f>
        <v>421.16884247199368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21391.737358662409</v>
      </c>
      <c r="C8" s="21">
        <f>C5</f>
        <v>0</v>
      </c>
      <c r="D8" s="21">
        <f>D5</f>
        <v>19845.816357025851</v>
      </c>
      <c r="E8" s="21">
        <f>E5</f>
        <v>1186.7732188330835</v>
      </c>
      <c r="F8" s="21">
        <f>F5</f>
        <v>40509.786588364921</v>
      </c>
      <c r="G8" s="21"/>
      <c r="H8" s="21"/>
      <c r="I8" s="21"/>
      <c r="J8" s="21">
        <f>J5</f>
        <v>912.17769002725515</v>
      </c>
      <c r="K8" s="21"/>
      <c r="L8" s="21">
        <f>L5</f>
        <v>0</v>
      </c>
      <c r="M8" s="21">
        <f>M5</f>
        <v>0</v>
      </c>
      <c r="N8" s="21">
        <f>N5</f>
        <v>4471.7848089193412</v>
      </c>
      <c r="O8" s="21">
        <f>O5</f>
        <v>32.830000000000005</v>
      </c>
      <c r="P8" s="21">
        <f>P5</f>
        <v>324.13333333333333</v>
      </c>
    </row>
    <row r="9" spans="1:16">
      <c r="B9" s="19"/>
      <c r="C9" s="19"/>
      <c r="D9" s="256"/>
      <c r="E9" s="19"/>
      <c r="F9" s="19"/>
      <c r="G9" s="19"/>
      <c r="H9" s="19"/>
      <c r="I9" s="19"/>
      <c r="J9" s="19"/>
      <c r="K9" s="19"/>
      <c r="L9" s="19"/>
      <c r="M9" s="19"/>
      <c r="N9" s="19"/>
      <c r="O9" s="19"/>
      <c r="P9" s="19"/>
    </row>
    <row r="10" spans="1:16">
      <c r="A10" s="24" t="s">
        <v>207</v>
      </c>
      <c r="B10" s="25">
        <f ca="1">'EF ele_warmte'!B12</f>
        <v>0.21861610783305391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4676.5783611377092</v>
      </c>
      <c r="C12" s="23">
        <f ca="1">C10*C8</f>
        <v>0</v>
      </c>
      <c r="D12" s="23">
        <f>D8*D10</f>
        <v>4008.8549041192223</v>
      </c>
      <c r="E12" s="23">
        <f>E10*E8</f>
        <v>269.39752067511</v>
      </c>
      <c r="F12" s="23">
        <f>F10*F8</f>
        <v>10816.113019093435</v>
      </c>
      <c r="G12" s="23"/>
      <c r="H12" s="23"/>
      <c r="I12" s="23"/>
      <c r="J12" s="23">
        <f>J10*J8</f>
        <v>322.91090226964832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3401</v>
      </c>
      <c r="C26" s="36"/>
      <c r="D26" s="226"/>
    </row>
    <row r="27" spans="1:5" s="15" customFormat="1">
      <c r="A27" s="228" t="s">
        <v>695</v>
      </c>
      <c r="B27" s="37">
        <f>SUM(HH_hh_gas_aantal,HH_rest_gas_aantal)</f>
        <v>974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925.3</v>
      </c>
      <c r="C31" s="34" t="s">
        <v>104</v>
      </c>
      <c r="D31" s="172"/>
    </row>
    <row r="32" spans="1:5">
      <c r="A32" s="169" t="s">
        <v>72</v>
      </c>
      <c r="B32" s="33">
        <f>IF((B21*($B$26-($B$27-0.05*$B$27)-$B$60))&lt;0,0,B21*($B$26-($B$27-0.05*$B$27)-$B$60))</f>
        <v>17.431122442995232</v>
      </c>
      <c r="C32" s="34" t="s">
        <v>104</v>
      </c>
      <c r="D32" s="172"/>
    </row>
    <row r="33" spans="1:6">
      <c r="A33" s="169" t="s">
        <v>73</v>
      </c>
      <c r="B33" s="33">
        <f>IF((B22*($B$26-($B$27-0.05*$B$27)-$B$60))&lt;0,0,B22*($B$26-($B$27-0.05*$B$27)-$B$60))</f>
        <v>499.57359763495867</v>
      </c>
      <c r="C33" s="34" t="s">
        <v>104</v>
      </c>
      <c r="D33" s="172"/>
    </row>
    <row r="34" spans="1:6">
      <c r="A34" s="169" t="s">
        <v>74</v>
      </c>
      <c r="B34" s="33">
        <f>IF((B24*($B$26-($B$27-0.05*$B$27)-$B$60))&lt;0,0,B24*($B$26-($B$27-0.05*$B$27)-$B$60))</f>
        <v>99.620255021606525</v>
      </c>
      <c r="C34" s="33">
        <f>B26*C24</f>
        <v>695.42836769672738</v>
      </c>
      <c r="D34" s="231"/>
    </row>
    <row r="35" spans="1:6">
      <c r="A35" s="169" t="s">
        <v>76</v>
      </c>
      <c r="B35" s="33">
        <f>IF((B19*($B$26-($B$27-0.05*$B$27)-$B$60))&lt;0,0,B19*($B$26-($B$27-0.05*$B$27)-$B$60))</f>
        <v>51.878340604152484</v>
      </c>
      <c r="C35" s="33">
        <f>B35/2</f>
        <v>25.939170302076242</v>
      </c>
      <c r="D35" s="231"/>
    </row>
    <row r="36" spans="1:6">
      <c r="A36" s="169" t="s">
        <v>77</v>
      </c>
      <c r="B36" s="33">
        <f>IF((B18*($B$26-($B$27-0.05*$B$27)-$B$60))&lt;0,0,B18*($B$26-($B$27-0.05*$B$27)-$B$60))</f>
        <v>1790.1966842962868</v>
      </c>
      <c r="C36" s="34" t="s">
        <v>104</v>
      </c>
      <c r="D36" s="172"/>
    </row>
    <row r="37" spans="1:6">
      <c r="A37" s="169" t="s">
        <v>78</v>
      </c>
      <c r="B37" s="33">
        <f>B60</f>
        <v>17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53</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52</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51</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50</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49</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0.21861610783305391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3641.570586707629</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6428.8779428379703</v>
      </c>
      <c r="C26" s="39">
        <f>IF(ISERROR(B26*3.6/1000000/'E Balans VL '!Z12*100),0,B26*3.6/1000000/'E Balans VL '!Z12*100)</f>
        <v>0.13528507481547308</v>
      </c>
      <c r="D26" s="234" t="s">
        <v>700</v>
      </c>
      <c r="F26" s="6"/>
    </row>
    <row r="27" spans="1:18">
      <c r="A27" s="229" t="s">
        <v>52</v>
      </c>
      <c r="B27" s="33">
        <f>IF(ISERROR(TER_horeca_ele_kWh/1000),0,TER_horeca_ele_kWh/1000)</f>
        <v>1931.1589849499101</v>
      </c>
      <c r="C27" s="39">
        <f>IF(ISERROR(B27*3.6/1000000/'E Balans VL '!Z9*100),0,B27*3.6/1000000/'E Balans VL '!Z9*100)</f>
        <v>0.16350580474921403</v>
      </c>
      <c r="D27" s="234" t="s">
        <v>700</v>
      </c>
      <c r="F27" s="6"/>
    </row>
    <row r="28" spans="1:18">
      <c r="A28" s="169" t="s">
        <v>51</v>
      </c>
      <c r="B28" s="33">
        <f>IF(ISERROR(TER_handel_ele_kWh/1000),0,TER_handel_ele_kWh/1000)</f>
        <v>3249.12305140223</v>
      </c>
      <c r="C28" s="39">
        <f>IF(ISERROR(B28*3.6/1000000/'E Balans VL '!Z13*100),0,B28*3.6/1000000/'E Balans VL '!Z13*100)</f>
        <v>8.9951522392435798E-2</v>
      </c>
      <c r="D28" s="234" t="s">
        <v>700</v>
      </c>
      <c r="F28" s="6"/>
    </row>
    <row r="29" spans="1:18">
      <c r="A29" s="229" t="s">
        <v>50</v>
      </c>
      <c r="B29" s="33">
        <f>IF(ISERROR(TER_gezond_ele_kWh/1000),0,TER_gezond_ele_kWh/1000)</f>
        <v>616.94118962597099</v>
      </c>
      <c r="C29" s="39">
        <f>IF(ISERROR(B29*3.6/1000000/'E Balans VL '!Z10*100),0,B29*3.6/1000000/'E Balans VL '!Z10*100)</f>
        <v>8.0195515060863296E-2</v>
      </c>
      <c r="D29" s="234" t="s">
        <v>700</v>
      </c>
      <c r="F29" s="6"/>
    </row>
    <row r="30" spans="1:18">
      <c r="A30" s="229" t="s">
        <v>49</v>
      </c>
      <c r="B30" s="33">
        <f>IF(ISERROR(TER_ander_ele_kWh/1000),0,TER_ander_ele_kWh/1000)</f>
        <v>618.95370171974798</v>
      </c>
      <c r="C30" s="39">
        <f>IF(ISERROR(B30*3.6/1000000/'E Balans VL '!Z14*100),0,B30*3.6/1000000/'E Balans VL '!Z14*100)</f>
        <v>4.7974588122338915E-2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3812.3205754149003</v>
      </c>
      <c r="C32" s="39">
        <f>IF(ISERROR(B32*3.6/1000000/'E Balans VL '!Z8*100),0,B32*3.6/1000000/'E Balans VL '!Z8*100)</f>
        <v>3.1435510684597788E-2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40</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0.21861610783305391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387.54526305221992</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662.71794299653607</v>
      </c>
      <c r="C31" s="39">
        <f>IF(ISERROR(B31*3.6/1000000/'E Balans VL '!Z19*100),0,B31*3.6/1000000/'E Balans VL '!Z19*100)</f>
        <v>2.9375660097050622E-2</v>
      </c>
      <c r="D31" s="234" t="s">
        <v>700</v>
      </c>
    </row>
    <row r="32" spans="1:18">
      <c r="A32" s="169" t="s">
        <v>40</v>
      </c>
      <c r="B32" s="37">
        <f>IF( ISERROR(IND_voed_ele_kWh/1000),0,IND_voed_ele_kWh/1000)</f>
        <v>409.20941025887998</v>
      </c>
      <c r="C32" s="39">
        <f>IF(ISERROR(B32*3.6/1000000/'E Balans VL '!Z20*100),0,B32*3.6/1000000/'E Balans VL '!Z20*100)</f>
        <v>1.3668768172516169E-2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700.79317906770405</v>
      </c>
      <c r="C37" s="39">
        <f>IF(ISERROR(B37*3.6/1000000/'E Balans VL '!Z15*100),0,B37*3.6/1000000/'E Balans VL '!Z15*100)</f>
        <v>5.2127595625157388E-3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302.18702625662519</v>
      </c>
      <c r="C5" s="17">
        <f>'Eigen informatie GS &amp; warmtenet'!B60</f>
        <v>0</v>
      </c>
      <c r="D5" s="30">
        <f>IF(ISERROR(SUM(LB_lb_gas_kWh,LB_rest_gas_kWh)/1000),0,SUM(LB_lb_gas_kWh,LB_rest_gas_kWh)/1000)*0.902</f>
        <v>73.644567904288436</v>
      </c>
      <c r="E5" s="17">
        <f>B17*'E Balans VL '!I25/3.6*1000000/100</f>
        <v>3.1645679597827181</v>
      </c>
      <c r="F5" s="17">
        <f>B17*('E Balans VL '!L25/3.6*1000000+'E Balans VL '!N25/3.6*1000000)/100</f>
        <v>1293.5900857531822</v>
      </c>
      <c r="G5" s="18"/>
      <c r="H5" s="17"/>
      <c r="I5" s="17"/>
      <c r="J5" s="17">
        <f>('E Balans VL '!D25+'E Balans VL '!E25)/3.6*1000000*landbouw!B17/100</f>
        <v>26.988009993239888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302.18702625662519</v>
      </c>
      <c r="C8" s="21">
        <f>C5+C6</f>
        <v>0</v>
      </c>
      <c r="D8" s="21">
        <f>MAX((D5+D6),0)</f>
        <v>73.644567904288436</v>
      </c>
      <c r="E8" s="21">
        <f>MAX((E5+E6),0)</f>
        <v>3.1645679597827181</v>
      </c>
      <c r="F8" s="21">
        <f>MAX((F5+F6),0)</f>
        <v>1293.5900857531822</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0.21861610783305391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66.062951517868271</v>
      </c>
      <c r="C12" s="23">
        <f ca="1">C8*C10</f>
        <v>0</v>
      </c>
      <c r="D12" s="23">
        <f>D8*D10</f>
        <v>14.876202716666265</v>
      </c>
      <c r="E12" s="23">
        <f>E8*E10</f>
        <v>0.71835692687067698</v>
      </c>
      <c r="F12" s="23">
        <f>F8*F10</f>
        <v>345.38855289609967</v>
      </c>
      <c r="G12" s="23"/>
      <c r="H12" s="23"/>
      <c r="I12" s="23"/>
      <c r="J12" s="23">
        <f>J8*J10</f>
        <v>9.5537555376069196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4.6512416628483808E-2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5.3564144086152554</v>
      </c>
      <c r="C26" s="244">
        <f>B26*'GWP N2O_CH4'!B5</f>
        <v>112.48470258092037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0.33834258073015178</v>
      </c>
      <c r="C27" s="244">
        <f>B27*'GWP N2O_CH4'!B5</f>
        <v>7.105194195333187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8.5451584811383804E-2</v>
      </c>
      <c r="C28" s="244">
        <f>B28*'GWP N2O_CH4'!B4</f>
        <v>26.48999129152898</v>
      </c>
      <c r="D28" s="50"/>
    </row>
    <row r="29" spans="1:4">
      <c r="A29" s="41" t="s">
        <v>266</v>
      </c>
      <c r="B29" s="244">
        <f>B34*'ha_N2O bodem landbouw'!B4</f>
        <v>3.4008895742757397</v>
      </c>
      <c r="C29" s="244">
        <f>B29*'GWP N2O_CH4'!B4</f>
        <v>1054.2757680254792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5.6204166840136322E-4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1.8808312926563513E-6</v>
      </c>
      <c r="C5" s="433" t="s">
        <v>204</v>
      </c>
      <c r="D5" s="418">
        <f>SUM(D6:D11)</f>
        <v>6.3840187770564277E-6</v>
      </c>
      <c r="E5" s="418">
        <f>SUM(E6:E11)</f>
        <v>6.548909487310374E-4</v>
      </c>
      <c r="F5" s="431" t="s">
        <v>204</v>
      </c>
      <c r="G5" s="418">
        <f>SUM(G6:G11)</f>
        <v>0.13042336657108883</v>
      </c>
      <c r="H5" s="418">
        <f>SUM(H6:H11)</f>
        <v>2.0938847266892661E-2</v>
      </c>
      <c r="I5" s="433" t="s">
        <v>204</v>
      </c>
      <c r="J5" s="433" t="s">
        <v>204</v>
      </c>
      <c r="K5" s="433" t="s">
        <v>204</v>
      </c>
      <c r="L5" s="433" t="s">
        <v>204</v>
      </c>
      <c r="M5" s="418">
        <f>SUM(M6:M11)</f>
        <v>6.582242978247289E-3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1.4573627829327265E-6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4.614332609167289E-6</v>
      </c>
      <c r="E6" s="421">
        <f>vkm_GW_PW*SUMIFS(TableVerdeelsleutelVkm[LPG],TableVerdeelsleutelVkm[Voertuigtype],"Lichte voertuigen")*SUMIFS(TableECFTransport[EnergieConsumptieFactor (PJ per km)],TableECFTransport[Index],CONCATENATE($A6,"_LPG_LPG"))</f>
        <v>4.8085358239945548E-4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6.4049817048780183E-2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1.5365412809958052E-2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3.4664076703126547E-3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8.4300814365676559E-8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3.8000881959146679E-2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1.0288731692159978E-6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1.6370937970042667E-3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3.2887972010374185E-7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1.7696861678891384E-6</v>
      </c>
      <c r="E8" s="421">
        <f>vkm_NGW_PW*SUMIFS(TableVerdeelsleutelVkm[LPG],TableVerdeelsleutelVkm[Voertuigtype],"Lichte voertuigen")*SUMIFS(TableECFTransport[EnergieConsumptieFactor (PJ per km)],TableECFTransport[Index],CONCATENATE($A8,"_LPG_LPG"))</f>
        <v>1.7403736633158189E-4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2.1948884981669768E-2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5.5722540266156658E-3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1.2020033154950004E-3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1.0287975254206315E-8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6.423782581492201E-3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1.5155714972693257E-7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2.7673819543536749E-4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0.52245313684898642</v>
      </c>
      <c r="C14" s="21"/>
      <c r="D14" s="21">
        <f t="shared" ref="D14:M14" si="0">((D5)*10^9/3600)+D12</f>
        <v>1.773338549182341</v>
      </c>
      <c r="E14" s="21">
        <f t="shared" si="0"/>
        <v>181.91415242528817</v>
      </c>
      <c r="F14" s="21"/>
      <c r="G14" s="21">
        <f t="shared" si="0"/>
        <v>36228.712936413562</v>
      </c>
      <c r="H14" s="21">
        <f t="shared" si="0"/>
        <v>5816.3464630257386</v>
      </c>
      <c r="I14" s="21"/>
      <c r="J14" s="21"/>
      <c r="K14" s="21"/>
      <c r="L14" s="21"/>
      <c r="M14" s="21">
        <f t="shared" si="0"/>
        <v>1828.4008272909134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0.21861610783305391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0.11421667130309529</v>
      </c>
      <c r="C18" s="23"/>
      <c r="D18" s="23">
        <f t="shared" ref="D18:M18" si="1">D14*D16</f>
        <v>0.35821438693483293</v>
      </c>
      <c r="E18" s="23">
        <f t="shared" si="1"/>
        <v>41.294512600540415</v>
      </c>
      <c r="F18" s="23"/>
      <c r="G18" s="23">
        <f t="shared" si="1"/>
        <v>9673.0663540224214</v>
      </c>
      <c r="H18" s="23">
        <f t="shared" si="1"/>
        <v>1448.270269293409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1.1837587291848713E-5</v>
      </c>
      <c r="C50" s="315">
        <f t="shared" ref="C50:P50" si="2">SUM(C51:C52)</f>
        <v>0</v>
      </c>
      <c r="D50" s="315">
        <f t="shared" si="2"/>
        <v>0</v>
      </c>
      <c r="E50" s="315">
        <f t="shared" si="2"/>
        <v>0</v>
      </c>
      <c r="F50" s="315">
        <f t="shared" si="2"/>
        <v>0</v>
      </c>
      <c r="G50" s="315">
        <f t="shared" si="2"/>
        <v>2.5680457152669118E-3</v>
      </c>
      <c r="H50" s="315">
        <f t="shared" si="2"/>
        <v>0</v>
      </c>
      <c r="I50" s="315">
        <f t="shared" si="2"/>
        <v>0</v>
      </c>
      <c r="J50" s="315">
        <f t="shared" si="2"/>
        <v>0</v>
      </c>
      <c r="K50" s="315">
        <f t="shared" si="2"/>
        <v>0</v>
      </c>
      <c r="L50" s="315">
        <f t="shared" si="2"/>
        <v>0</v>
      </c>
      <c r="M50" s="315">
        <f t="shared" si="2"/>
        <v>1.0995385302462222E-4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1.1837587291848713E-5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2.5680457152669118E-3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1.0995385302462222E-4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3.2882186921801981</v>
      </c>
      <c r="C54" s="21">
        <f t="shared" ref="C54:P54" si="3">(C50)*10^9/3600</f>
        <v>0</v>
      </c>
      <c r="D54" s="21">
        <f t="shared" si="3"/>
        <v>0</v>
      </c>
      <c r="E54" s="21">
        <f t="shared" si="3"/>
        <v>0</v>
      </c>
      <c r="F54" s="21">
        <f t="shared" si="3"/>
        <v>0</v>
      </c>
      <c r="G54" s="21">
        <f t="shared" si="3"/>
        <v>713.34603201858658</v>
      </c>
      <c r="H54" s="21">
        <f t="shared" si="3"/>
        <v>0</v>
      </c>
      <c r="I54" s="21">
        <f t="shared" si="3"/>
        <v>0</v>
      </c>
      <c r="J54" s="21">
        <f t="shared" si="3"/>
        <v>0</v>
      </c>
      <c r="K54" s="21">
        <f t="shared" si="3"/>
        <v>0</v>
      </c>
      <c r="L54" s="21">
        <f t="shared" si="3"/>
        <v>0</v>
      </c>
      <c r="M54" s="21">
        <f t="shared" si="3"/>
        <v>30.542736951283949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0.21861610783305391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0.71885757218832969</v>
      </c>
      <c r="C58" s="23">
        <f t="shared" ref="C58:P58" ca="1" si="4">C54*C56</f>
        <v>0</v>
      </c>
      <c r="D58" s="23">
        <f t="shared" si="4"/>
        <v>0</v>
      </c>
      <c r="E58" s="23">
        <f t="shared" si="4"/>
        <v>0</v>
      </c>
      <c r="F58" s="23">
        <f t="shared" si="4"/>
        <v>0</v>
      </c>
      <c r="G58" s="23">
        <f t="shared" si="4"/>
        <v>190.46339054896262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455.19754268885765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455.19754268885765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2021-11-11T13:48:50Z</dcterms:modified>
</cp:coreProperties>
</file>