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778D072-C4FC-4BCA-9652-FFFB9F1ED03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D78" i="14" l="1"/>
  <c r="C20" i="18"/>
  <c r="I17" i="18"/>
  <c r="O17" i="18" s="1"/>
  <c r="O20" i="18" s="1"/>
  <c r="M90" i="14"/>
  <c r="Q14" i="48"/>
  <c r="B77" i="14"/>
  <c r="B9" i="55" s="1"/>
  <c r="C77" i="14"/>
  <c r="C9" i="55" s="1"/>
  <c r="C10" i="18"/>
  <c r="J8" i="18"/>
  <c r="J76" i="14" s="1"/>
  <c r="J17" i="18"/>
  <c r="J20" i="18" s="1"/>
  <c r="E20" i="18"/>
  <c r="F87" i="14"/>
  <c r="I8" i="18"/>
  <c r="I10" i="18" s="1"/>
  <c r="H10" i="18"/>
  <c r="M76" i="14"/>
  <c r="E10" i="18"/>
  <c r="F76" i="14"/>
  <c r="P9" i="55"/>
  <c r="I76" i="14"/>
  <c r="I8" i="55" s="1"/>
  <c r="I10" i="55" s="1"/>
  <c r="J87" i="14"/>
  <c r="I20" i="18"/>
  <c r="O8" i="18"/>
  <c r="O10" i="18" s="1"/>
  <c r="J10" i="18"/>
  <c r="Q87" i="14"/>
  <c r="D90" i="14"/>
  <c r="I87" i="14" l="1"/>
  <c r="I17" i="55" s="1"/>
  <c r="I2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P4" i="48" s="1"/>
  <c r="P22" i="48" s="1"/>
  <c r="B37" i="13"/>
  <c r="B33" i="13"/>
  <c r="B36"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<sst xmlns="http://schemas.openxmlformats.org/spreadsheetml/2006/main" count="2569" uniqueCount="977">
  <si>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</si>
  <si>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</si>
  <si>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</si>
  <si>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</si>
  <si>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</si>
  <si>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</si>
  <si>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</si>
  <si>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</si>
  <si>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</si>
  <si>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</si>
  <si>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</si>
  <si>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</si>
  <si>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</si>
  <si>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</si>
  <si>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</si>
  <si>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</si>
  <si>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</si>
  <si>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</si>
  <si>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</si>
  <si>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</si>
  <si>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</si>
  <si>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</si>
  <si>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</si>
  <si>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</si>
  <si>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</si>
  <si>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</si>
  <si>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</si>
  <si>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</si>
  <si>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</si>
  <si>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</si>
  <si>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</si>
  <si>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</si>
  <si>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</si>
  <si>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</si>
  <si>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</si>
  <si>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</si>
  <si>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</si>
  <si>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</si>
  <si>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</si>
  <si>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</si>
  <si>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</si>
  <si>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</si>
  <si>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</si>
  <si>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</si>
  <si>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</si>
  <si>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</si>
  <si>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</si>
  <si>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</si>
  <si>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</si>
  <si>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</si>
  <si>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</si>
  <si>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</si>
  <si>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</si>
  <si>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</si>
  <si>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</si>
  <si>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</si>
  <si>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</si>
  <si>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</si>
  <si>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</si>
  <si>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</si>
  <si>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</si>
  <si>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</si>
  <si>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</si>
  <si>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</si>
  <si>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</si>
  <si>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</si>
  <si>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</si>
  <si>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</si>
  <si>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</si>
  <si>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</si>
  <si>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</si>
  <si>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</si>
  <si>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</si>
  <si>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</si>
  <si>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</si>
  <si>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</si>
  <si>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</si>
  <si>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</si>
  <si>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</si>
  <si>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</si>
  <si>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</si>
  <si>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</si>
  <si>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</si>
  <si>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</si>
  <si>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</si>
  <si>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</si>
  <si>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</si>
  <si>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</si>
  <si>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</si>
  <si>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</si>
  <si>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</si>
  <si>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</si>
  <si>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</si>
  <si>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</si>
  <si>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</si>
  <si>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</si>
  <si>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</si>
  <si>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</si>
  <si>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</si>
  <si>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</si>
  <si>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</si>
  <si>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</si>
  <si>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</si>
  <si>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</si>
  <si>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</si>
  <si>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</si>
  <si>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</si>
  <si>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</si>
  <si>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</si>
  <si>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</si>
  <si>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</si>
  <si>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</si>
  <si>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</si>
  <si>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</si>
  <si>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</si>
  <si>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</si>
  <si>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</si>
  <si>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</si>
  <si>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</si>
  <si>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</si>
  <si>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</si>
  <si>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</si>
  <si>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</si>
  <si>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</si>
  <si>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</si>
  <si>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</si>
  <si>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</si>
  <si>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</si>
  <si>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</si>
  <si>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</si>
  <si>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</si>
  <si>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</si>
  <si>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</si>
  <si>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</si>
  <si>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</si>
  <si>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</si>
  <si>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</si>
  <si>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</si>
  <si>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</si>
  <si>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</si>
  <si>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</si>
  <si>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</si>
  <si>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</si>
  <si>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</si>
  <si>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</si>
  <si>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</si>
  <si>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</si>
  <si>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</si>
  <si>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</si>
  <si>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</si>
  <si>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</si>
  <si>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</si>
  <si>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</si>
  <si>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</si>
  <si>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</si>
  <si>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</si>
  <si>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</si>
  <si>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</si>
  <si>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</si>
  <si>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</si>
  <si>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</si>
  <si>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</si>
  <si>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</si>
  <si>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</si>
  <si>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</si>
  <si>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</si>
  <si>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</si>
  <si>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</si>
  <si>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</si>
  <si>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</si>
  <si>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</si>
  <si>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</si>
  <si>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</si>
  <si>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</si>
  <si>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</si>
  <si>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</si>
  <si>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</si>
  <si>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</si>
  <si>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</si>
  <si>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</si>
  <si>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</si>
  <si>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</si>
  <si>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</si>
  <si>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</si>
  <si>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</si>
  <si>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</si>
  <si>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</si>
  <si>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</si>
  <si>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</si>
  <si>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</si>
  <si>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</si>
  <si>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</si>
  <si>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</si>
  <si>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</si>
  <si>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</si>
  <si>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</si>
  <si>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</si>
  <si>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</si>
  <si>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</si>
  <si>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</si>
  <si>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</si>
  <si>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</si>
  <si>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</si>
  <si>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</si>
  <si>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</si>
  <si>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</si>
  <si>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</si>
  <si>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</si>
  <si>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</si>
  <si>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</si>
  <si>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</si>
  <si>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</si>
  <si>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</si>
  <si>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</si>
  <si>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</si>
  <si>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</si>
  <si>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</si>
  <si>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</si>
  <si>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</si>
  <si>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</si>
  <si>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</si>
  <si>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</si>
  <si>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</si>
  <si>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</si>
  <si>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</si>
  <si>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</si>
  <si>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</si>
  <si>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</si>
  <si>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</si>
  <si>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</si>
  <si>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</si>
  <si>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</si>
  <si>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</si>
  <si>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</si>
  <si>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</si>
  <si>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</si>
  <si>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</si>
  <si>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</si>
  <si>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</si>
  <si>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</si>
  <si>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</si>
  <si>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</si>
  <si>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</si>
  <si>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</si>
  <si>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</si>
  <si>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</si>
  <si>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</si>
  <si>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</si>
  <si>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</si>
  <si>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</si>
  <si>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</si>
  <si>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</si>
  <si>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</si>
  <si>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</si>
  <si>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</si>
  <si>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</si>
  <si>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</si>
  <si>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</si>
  <si>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</si>
  <si>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</si>
  <si>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</si>
  <si>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</si>
  <si>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</si>
  <si>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</si>
  <si>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</si>
  <si>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</si>
  <si>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</si>
  <si>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</si>
  <si>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</si>
  <si>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</si>
  <si>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</si>
  <si>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</si>
  <si>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</si>
  <si>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</si>
  <si>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</si>
  <si>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</si>
  <si>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</si>
  <si>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</si>
  <si>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</si>
  <si>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</si>
  <si>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</si>
  <si>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</si>
  <si>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</si>
  <si>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</si>
  <si>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</si>
  <si>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</si>
  <si>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</si>
  <si>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</si>
  <si>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</si>
  <si>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</si>
  <si>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</si>
  <si>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</si>
  <si>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</si>
  <si>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</si>
  <si>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</si>
  <si>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</si>
  <si>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</si>
  <si>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</si>
  <si>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</si>
  <si>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</si>
  <si>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</si>
  <si>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</si>
  <si>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</si>
  <si>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</si>
  <si>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</si>
  <si>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</si>
  <si>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</si>
  <si>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</si>
  <si>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</si>
  <si>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</si>
  <si>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</si>
  <si>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</si>
  <si>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</si>
  <si>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</si>
  <si>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</si>
  <si>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</si>
  <si>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</si>
  <si>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</si>
  <si>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</si>
  <si>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</si>
  <si>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</si>
  <si>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</si>
  <si>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</si>
  <si>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</si>
  <si>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</si>
  <si>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</si>
  <si>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</si>
  <si>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</si>
  <si>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</si>
  <si>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</si>
  <si>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</si>
  <si>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</si>
  <si>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</si>
  <si>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</si>
  <si>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</si>
  <si>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</si>
  <si>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</si>
  <si>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</si>
  <si>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</si>
  <si>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</si>
  <si>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</si>
  <si>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</si>
  <si>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</si>
  <si>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</si>
  <si>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</si>
  <si>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</si>
  <si>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</si>
  <si>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</si>
  <si>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</si>
  <si>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</si>
  <si>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</si>
  <si>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</si>
  <si>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</si>
  <si>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</si>
  <si>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</si>
  <si>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</si>
  <si>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</si>
  <si>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</si>
  <si>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</si>
  <si>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</si>
  <si>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</si>
  <si>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</si>
  <si>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</si>
  <si>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</si>
  <si>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</si>
  <si>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</si>
  <si>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</si>
  <si>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</si>
  <si>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</si>
  <si>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</si>
  <si>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</si>
  <si>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</si>
  <si>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</si>
  <si>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</si>
  <si>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</si>
  <si>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</si>
  <si>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</si>
  <si>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</si>
  <si>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</si>
  <si>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</si>
  <si>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</si>
  <si>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</si>
  <si>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</si>
  <si>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</si>
  <si>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</si>
  <si>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</si>
  <si>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</si>
  <si>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</si>
  <si>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</si>
  <si>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</si>
  <si>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</si>
  <si>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</si>
  <si>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</si>
  <si>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</si>
  <si>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</si>
  <si>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</si>
  <si>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</si>
  <si>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</si>
  <si>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</si>
  <si>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</si>
  <si>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</si>
  <si>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</si>
  <si>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</si>
  <si>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</si>
  <si>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</si>
  <si>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</si>
  <si>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</si>
  <si>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</si>
  <si>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</si>
  <si>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</si>
  <si>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</si>
  <si>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</si>
  <si>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</si>
  <si>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</si>
  <si>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</si>
  <si>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</si>
  <si>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</si>
  <si>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</si>
  <si>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</si>
  <si>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</si>
  <si>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</si>
  <si>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</si>
  <si>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</si>
  <si>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</si>
  <si>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</si>
  <si>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</si>
  <si>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</si>
  <si>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</si>
  <si>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</si>
  <si>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</si>
  <si>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</si>
  <si>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</si>
  <si>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</si>
  <si>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</si>
  <si>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</si>
  <si>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</si>
  <si>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</si>
  <si>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</si>
  <si>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</si>
  <si>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</si>
  <si>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</si>
  <si>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</si>
  <si>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</si>
  <si>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</si>
  <si>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</si>
  <si>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</si>
  <si>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</si>
  <si>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</si>
  <si>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</si>
  <si>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</si>
  <si>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</si>
  <si>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</si>
  <si>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</si>
  <si>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</si>
  <si>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</si>
  <si>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</si>
  <si>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</si>
  <si>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</si>
  <si>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</si>
  <si>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</si>
  <si>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</si>
  <si>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</si>
  <si>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</si>
  <si>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</si>
  <si>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</si>
  <si>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</si>
  <si>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</si>
  <si>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</si>
  <si>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</si>
  <si>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</si>
  <si>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</si>
  <si>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</si>
  <si>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</si>
  <si>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</si>
  <si>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</si>
  <si>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</si>
  <si>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</si>
  <si>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</si>
  <si>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</si>
  <si>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</si>
  <si>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</si>
  <si>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</si>
  <si>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</si>
  <si>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</si>
  <si>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</si>
  <si>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</si>
  <si>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</si>
  <si>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</si>
  <si>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</si>
  <si>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</si>
  <si>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</si>
  <si>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</si>
  <si>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</si>
  <si>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</si>
  <si>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</si>
  <si>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</si>
  <si>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</si>
  <si>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</si>
  <si>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</si>
  <si>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</si>
  <si>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</si>
  <si>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</si>
  <si>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</si>
  <si>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</si>
  <si>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</si>
  <si>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</si>
  <si>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</si>
  <si>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</si>
  <si>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</si>
  <si>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</si>
  <si>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</si>
  <si>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</si>
  <si>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</si>
  <si>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</si>
  <si>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</si>
  <si>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</si>
  <si>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</si>
  <si>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</si>
  <si>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</si>
  <si>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</si>
  <si>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</si>
  <si>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</si>
  <si>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</si>
  <si>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</si>
  <si>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</si>
  <si>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</si>
  <si>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</si>
  <si>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</si>
  <si>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</si>
  <si>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</si>
  <si>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</si>
  <si>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</si>
  <si>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</si>
  <si>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</si>
  <si>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</si>
  <si>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</si>
  <si>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</si>
  <si>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</si>
  <si>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</si>
  <si>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</si>
  <si>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</si>
  <si>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</si>
  <si>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</si>
  <si>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</si>
  <si>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</si>
  <si>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</si>
  <si>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</si>
  <si>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</si>
  <si>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</si>
  <si>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</si>
  <si>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</si>
  <si>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</si>
  <si>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</si>
  <si>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</si>
  <si>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</si>
  <si>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</si>
  <si>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</si>
  <si>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</si>
  <si>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</si>
  <si>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</si>
  <si>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</si>
  <si>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</si>
  <si>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</si>
  <si>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</si>
  <si>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</si>
  <si>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</si>
  <si>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</si>
  <si>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</si>
  <si>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</si>
  <si>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</si>
  <si>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</si>
  <si>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</si>
  <si>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</si>
  <si>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</si>
  <si>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</si>
  <si>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</si>
  <si>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</si>
  <si>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</si>
  <si>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</si>
  <si>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</si>
  <si>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</si>
  <si>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</si>
  <si>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</si>
  <si>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</si>
  <si>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</si>
  <si>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</si>
  <si>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</si>
  <si>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</si>
  <si>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</si>
  <si>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</si>
  <si>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</si>
  <si>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</si>
  <si>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</si>
  <si>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</si>
  <si>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</si>
  <si>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</si>
  <si>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</si>
  <si>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</si>
  <si>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</si>
  <si>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</si>
  <si>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</si>
  <si>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</si>
  <si>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</si>
  <si>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</si>
  <si>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</si>
  <si>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</si>
  <si>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</si>
  <si>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</si>
  <si>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</si>
  <si>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</si>
  <si>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</si>
  <si>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</si>
  <si>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</si>
  <si>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</si>
  <si>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</si>
  <si>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</si>
  <si>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</si>
  <si>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</si>
  <si>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</si>
  <si>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</si>
  <si>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</si>
  <si>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</si>
  <si>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</si>
  <si>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</si>
  <si>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</si>
  <si>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</si>
  <si>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</si>
  <si>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</si>
  <si>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</si>
  <si>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</si>
  <si>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</si>
  <si>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</si>
  <si>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</si>
  <si>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</si>
  <si>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</si>
  <si>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</si>
  <si>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</si>
  <si>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</si>
  <si>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</si>
  <si>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</si>
  <si>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</si>
  <si>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</si>
  <si>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</si>
  <si>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</si>
  <si>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</si>
  <si>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</si>
  <si>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</si>
  <si>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</si>
  <si>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</si>
  <si>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</si>
  <si>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</si>
  <si>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</si>
  <si>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</si>
  <si>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</si>
  <si>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</si>
  <si>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</si>
  <si>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</si>
  <si>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</si>
  <si>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</si>
  <si>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</si>
  <si>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</si>
  <si>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</si>
  <si>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</si>
  <si>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</si>
  <si>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</si>
  <si>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</si>
  <si>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</si>
  <si>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</si>
  <si>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</si>
  <si>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</si>
  <si>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</si>
  <si>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</si>
  <si>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</si>
  <si>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</si>
  <si>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</si>
  <si>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</si>
  <si>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</si>
  <si>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</si>
  <si>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</si>
  <si>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</si>
  <si>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</si>
  <si>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</si>
  <si>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</si>
  <si>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</si>
  <si>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</si>
  <si>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</si>
  <si>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</si>
  <si>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</si>
  <si>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</si>
  <si>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</si>
  <si>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</si>
  <si>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</si>
  <si>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</si>
  <si>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</si>
  <si>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</si>
  <si>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</si>
  <si>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</si>
  <si>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</si>
  <si>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</si>
  <si>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</si>
  <si>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</si>
  <si>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</si>
  <si>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</si>
  <si>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</si>
  <si>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</si>
  <si>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</si>
  <si>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</si>
  <si>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</si>
  <si>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</si>
  <si>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</si>
  <si>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</si>
  <si>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</si>
  <si>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</si>
  <si>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</si>
  <si>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</si>
  <si>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</si>
  <si>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</si>
  <si>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</si>
  <si>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</si>
  <si>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</si>
  <si>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</si>
  <si>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</si>
  <si>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</si>
  <si>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</si>
  <si>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</si>
  <si>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</si>
  <si>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</si>
  <si>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</si>
  <si>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</si>
  <si>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</si>
  <si>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</si>
  <si>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</si>
  <si>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</si>
  <si>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</si>
  <si>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</si>
  <si>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</si>
  <si>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</si>
  <si>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</si>
  <si>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</si>
  <si>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</si>
  <si>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</si>
  <si>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</si>
  <si>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</si>
  <si>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</si>
  <si>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</si>
  <si>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</si>
  <si>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</si>
  <si>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</si>
  <si>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</si>
  <si>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</si>
  <si>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</si>
  <si>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</si>
  <si>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</si>
  <si>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</si>
  <si>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</si>
  <si>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</si>
  <si>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</si>
  <si>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</si>
  <si>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</si>
  <si>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</si>
  <si>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</si>
  <si>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</si>
  <si>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</si>
  <si>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</si>
  <si>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</si>
  <si>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</si>
  <si>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</si>
  <si>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</si>
  <si>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</si>
  <si>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</si>
  <si>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</si>
  <si>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</si>
  <si>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</si>
  <si>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</si>
  <si>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</si>
  <si>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</si>
  <si>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</si>
  <si>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</si>
  <si>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</si>
  <si>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</si>
  <si>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</si>
  <si>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</si>
  <si>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</si>
  <si>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</si>
  <si>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</si>
  <si>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</si>
  <si>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</si>
  <si>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</si>
  <si>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</si>
  <si>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</si>
  <si>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</si>
  <si>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</si>
  <si>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</si>
  <si>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</si>
  <si>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</si>
  <si>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</si>
  <si>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</si>
  <si>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</si>
  <si>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</si>
  <si>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</si>
  <si>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</si>
  <si>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</si>
  <si>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</si>
  <si>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</si>
  <si>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</si>
  <si>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</si>
  <si>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</si>
  <si>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</si>
  <si>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</si>
  <si>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</si>
  <si>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</si>
  <si>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</si>
  <si>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</si>
  <si>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</si>
  <si>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</si>
  <si>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</si>
  <si>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</si>
  <si>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</si>
  <si>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</si>
  <si>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</si>
  <si>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</si>
  <si>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</si>
  <si>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</si>
  <si>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</si>
  <si>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</si>
  <si>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</si>
  <si>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</si>
  <si>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</si>
  <si>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</si>
  <si>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</si>
  <si>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</si>
  <si>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</si>
  <si>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</si>
  <si>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</si>
  <si>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</si>
  <si>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</si>
  <si>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</si>
  <si>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</si>
  <si>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</si>
  <si>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</si>
  <si>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</si>
  <si>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</si>
  <si>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</si>
  <si>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</si>
  <si>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</si>
  <si>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</si>
  <si>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</si>
  <si>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</si>
  <si>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</si>
  <si>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</si>
  <si>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</si>
  <si>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</si>
  <si>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</si>
  <si>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</si>
  <si>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</si>
  <si>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</si>
  <si>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</si>
  <si>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</si>
  <si>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</si>
  <si>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</si>
  <si>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</si>
  <si>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</si>
  <si>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</si>
  <si>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</si>
  <si>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</si>
  <si>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</si>
  <si>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</si>
  <si>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</si>
  <si>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</si>
  <si>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</si>
  <si>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</si>
  <si>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</si>
  <si>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</si>
  <si>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</si>
  <si>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</si>
  <si>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</si>
  <si>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</si>
  <si>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</si>
  <si>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</si>
  <si>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</si>
  <si>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</si>
  <si>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</si>
  <si>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</si>
  <si>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</si>
  <si>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</si>
  <si>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</si>
  <si>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</si>
  <si>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</si>
  <si>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</si>
  <si>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</si>
  <si>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</si>
  <si>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</si>
  <si>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</si>
  <si>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</si>
  <si>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</si>
  <si>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</si>
  <si>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</si>
  <si>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</si>
  <si>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</si>
  <si>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</si>
  <si>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</si>
  <si>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</si>
  <si>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</si>
  <si>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</si>
  <si>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</si>
  <si>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</si>
  <si>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</si>
  <si>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</si>
  <si>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</si>
  <si>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</si>
  <si>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</si>
  <si>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</si>
  <si>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</si>
  <si>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</si>
  <si>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</si>
  <si>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</si>
  <si>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</si>
  <si>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</si>
  <si>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</si>
  <si>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</si>
  <si>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</si>
  <si>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</si>
  <si>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</si>
  <si>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</si>
  <si>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</si>
  <si>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</si>
  <si>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</si>
  <si>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</si>
  <si>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</si>
  <si>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</si>
  <si>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</si>
  <si>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</si>
  <si>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</si>
  <si>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</si>
  <si>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</si>
  <si>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</si>
  <si>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</si>
  <si>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</si>
  <si>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</si>
  <si>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</si>
  <si>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</si>
  <si>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</si>
  <si>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</si>
  <si>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</si>
  <si>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</si>
  <si>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</si>
  <si>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</si>
  <si>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</si>
  <si>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</si>
  <si>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</si>
  <si>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</si>
  <si>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</si>
  <si>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</si>
  <si>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</si>
  <si>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</si>
  <si>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</si>
  <si>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</si>
  <si>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</si>
  <si>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</si>
  <si>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</si>
  <si>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</si>
  <si>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</si>
  <si>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</si>
  <si>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</si>
  <si>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</si>
  <si>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</si>
  <si>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</si>
  <si>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</si>
  <si>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</si>
  <si>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</si>
  <si>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42023</t>
  </si>
  <si>
    <t>WAASMUNSTER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</si>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</sst>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1C40375-6930-4CAB-86A1-81ABE2D2F85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42023</v>
      </c>
      <c r="B6" s="384"/>
      <c r="C6" s="385"/>
    </row>
    <row r="7" spans="1:7" s="382" customFormat="1" ht="15.75" customHeight="1">
      <c r="A7" s="386" t="str">
        <f>txtMunicipality</f>
        <v>WAASMUNSTER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10636.528297088482</v>
      </c>
      <c r="D10" s="674">
        <f ca="1">tertiair!C16</f>
        <v>0</v>
      </c>
      <c r="E10" s="674">
        <f ca="1">tertiair!D16</f>
        <v>12315.632798025628</v>
      </c>
      <c r="F10" s="674">
        <f>tertiair!E16</f>
        <v>273.55375369541036</v>
      </c>
      <c r="G10" s="674">
        <f ca="1">tertiair!F16</f>
        <v>1709.0689508317594</v>
      </c>
      <c r="H10" s="674">
        <f>tertiair!G16</f>
        <v>0</v>
      </c>
      <c r="I10" s="674">
        <f>tertiair!H16</f>
        <v>0</v>
      </c>
      <c r="J10" s="674">
        <f>tertiair!I16</f>
        <v>0</v>
      </c>
      <c r="K10" s="674">
        <f>tertiair!J16</f>
        <v>0</v>
      </c>
      <c r="L10" s="674">
        <f>tertiair!K16</f>
        <v>0</v>
      </c>
      <c r="M10" s="674">
        <f ca="1">tertiair!L16</f>
        <v>0</v>
      </c>
      <c r="N10" s="674">
        <f>tertiair!M16</f>
        <v>0</v>
      </c>
      <c r="O10" s="674">
        <f ca="1">tertiair!N16</f>
        <v>151.21032853890495</v>
      </c>
      <c r="P10" s="674">
        <f>tertiair!O16</f>
        <v>1.5633333333333335</v>
      </c>
      <c r="Q10" s="675">
        <f>tertiair!P16</f>
        <v>19.066666666666666</v>
      </c>
      <c r="R10" s="677">
        <f ca="1">SUM(C10:Q10)</f>
        <v>25106.624128180185</v>
      </c>
      <c r="S10" s="67"/>
    </row>
    <row r="11" spans="1:19" s="443" customFormat="1">
      <c r="A11" s="789" t="s">
        <v>214</v>
      </c>
      <c r="B11" s="794"/>
      <c r="C11" s="674">
        <f>huishoudens!B8</f>
        <v>23058.092463119589</v>
      </c>
      <c r="D11" s="674">
        <f>huishoudens!C8</f>
        <v>0</v>
      </c>
      <c r="E11" s="674">
        <f>huishoudens!D8</f>
        <v>31954.277472677444</v>
      </c>
      <c r="F11" s="674">
        <f>huishoudens!E8</f>
        <v>1115.0223590374444</v>
      </c>
      <c r="G11" s="674">
        <f>huishoudens!F8</f>
        <v>38060.614352483994</v>
      </c>
      <c r="H11" s="674">
        <f>huishoudens!G8</f>
        <v>0</v>
      </c>
      <c r="I11" s="674">
        <f>huishoudens!H8</f>
        <v>0</v>
      </c>
      <c r="J11" s="674">
        <f>huishoudens!I8</f>
        <v>0</v>
      </c>
      <c r="K11" s="674">
        <f>huishoudens!J8</f>
        <v>857.02854063019527</v>
      </c>
      <c r="L11" s="674">
        <f>huishoudens!K8</f>
        <v>0</v>
      </c>
      <c r="M11" s="674">
        <f>huishoudens!L8</f>
        <v>0</v>
      </c>
      <c r="N11" s="674">
        <f>huishoudens!M8</f>
        <v>0</v>
      </c>
      <c r="O11" s="674">
        <f>huishoudens!N8</f>
        <v>5287.8174383518353</v>
      </c>
      <c r="P11" s="674">
        <f>huishoudens!O8</f>
        <v>42.21</v>
      </c>
      <c r="Q11" s="675">
        <f>huishoudens!P8</f>
        <v>190.66666666666669</v>
      </c>
      <c r="R11" s="677">
        <f>SUM(C11:Q11)</f>
        <v>100565.72929296718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1740.1577877247012</v>
      </c>
      <c r="D13" s="674">
        <f>industrie!C18</f>
        <v>0</v>
      </c>
      <c r="E13" s="674">
        <f>industrie!D18</f>
        <v>887.7428325921461</v>
      </c>
      <c r="F13" s="674">
        <f>industrie!E18</f>
        <v>23.413887053549498</v>
      </c>
      <c r="G13" s="674">
        <f>industrie!F18</f>
        <v>686.41227234443431</v>
      </c>
      <c r="H13" s="674">
        <f>industrie!G18</f>
        <v>0</v>
      </c>
      <c r="I13" s="674">
        <f>industrie!H18</f>
        <v>0</v>
      </c>
      <c r="J13" s="674">
        <f>industrie!I18</f>
        <v>0</v>
      </c>
      <c r="K13" s="674">
        <f>industrie!J18</f>
        <v>5.8293281675016511</v>
      </c>
      <c r="L13" s="674">
        <f>industrie!K18</f>
        <v>0</v>
      </c>
      <c r="M13" s="674">
        <f>industrie!L18</f>
        <v>0</v>
      </c>
      <c r="N13" s="674">
        <f>industrie!M18</f>
        <v>0</v>
      </c>
      <c r="O13" s="674">
        <f>industrie!N18</f>
        <v>62.661088100304696</v>
      </c>
      <c r="P13" s="674">
        <f>industrie!O18</f>
        <v>0</v>
      </c>
      <c r="Q13" s="675">
        <f>industrie!P18</f>
        <v>0</v>
      </c>
      <c r="R13" s="677">
        <f>SUM(C13:Q13)</f>
        <v>3406.2171959826373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35434.778547932772</v>
      </c>
      <c r="D16" s="707">
        <f t="shared" ref="D16:R16" ca="1" si="0">SUM(D9:D15)</f>
        <v>0</v>
      </c>
      <c r="E16" s="707">
        <f t="shared" ca="1" si="0"/>
        <v>45157.653103295212</v>
      </c>
      <c r="F16" s="707">
        <f t="shared" si="0"/>
        <v>1411.989999786404</v>
      </c>
      <c r="G16" s="707">
        <f t="shared" ca="1" si="0"/>
        <v>40456.095575660191</v>
      </c>
      <c r="H16" s="707">
        <f t="shared" si="0"/>
        <v>0</v>
      </c>
      <c r="I16" s="707">
        <f t="shared" si="0"/>
        <v>0</v>
      </c>
      <c r="J16" s="707">
        <f t="shared" si="0"/>
        <v>0</v>
      </c>
      <c r="K16" s="707">
        <f t="shared" si="0"/>
        <v>862.85786879769694</v>
      </c>
      <c r="L16" s="707">
        <f t="shared" si="0"/>
        <v>0</v>
      </c>
      <c r="M16" s="707">
        <f t="shared" ca="1" si="0"/>
        <v>0</v>
      </c>
      <c r="N16" s="707">
        <f t="shared" si="0"/>
        <v>0</v>
      </c>
      <c r="O16" s="707">
        <f t="shared" ca="1" si="0"/>
        <v>5501.6888549910445</v>
      </c>
      <c r="P16" s="707">
        <f t="shared" si="0"/>
        <v>43.773333333333333</v>
      </c>
      <c r="Q16" s="707">
        <f t="shared" si="0"/>
        <v>209.73333333333335</v>
      </c>
      <c r="R16" s="707">
        <f t="shared" ca="1" si="0"/>
        <v>129078.57061713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3.2510901094615869</v>
      </c>
      <c r="D19" s="674">
        <f>transport!C54</f>
        <v>0</v>
      </c>
      <c r="E19" s="674">
        <f>transport!D54</f>
        <v>0</v>
      </c>
      <c r="F19" s="674">
        <f>transport!E54</f>
        <v>0</v>
      </c>
      <c r="G19" s="674">
        <f>transport!F54</f>
        <v>0</v>
      </c>
      <c r="H19" s="674">
        <f>transport!G54</f>
        <v>705.2913587634954</v>
      </c>
      <c r="I19" s="674">
        <f>transport!H54</f>
        <v>0</v>
      </c>
      <c r="J19" s="674">
        <f>transport!I54</f>
        <v>0</v>
      </c>
      <c r="K19" s="674">
        <f>transport!J54</f>
        <v>0</v>
      </c>
      <c r="L19" s="674">
        <f>transport!K54</f>
        <v>0</v>
      </c>
      <c r="M19" s="674">
        <f>transport!L54</f>
        <v>0</v>
      </c>
      <c r="N19" s="674">
        <f>transport!M54</f>
        <v>30.197866782506757</v>
      </c>
      <c r="O19" s="674">
        <f>transport!N54</f>
        <v>0</v>
      </c>
      <c r="P19" s="674">
        <f>transport!O54</f>
        <v>0</v>
      </c>
      <c r="Q19" s="675">
        <f>transport!P54</f>
        <v>0</v>
      </c>
      <c r="R19" s="677">
        <f>SUM(C19:Q19)</f>
        <v>738.74031565546375</v>
      </c>
      <c r="S19" s="67"/>
    </row>
    <row r="20" spans="1:19" s="443" customFormat="1">
      <c r="A20" s="789" t="s">
        <v>296</v>
      </c>
      <c r="B20" s="794"/>
      <c r="C20" s="674">
        <f>transport!B14</f>
        <v>3.7543401337535327</v>
      </c>
      <c r="D20" s="674">
        <f>transport!C14</f>
        <v>0</v>
      </c>
      <c r="E20" s="674">
        <f>transport!D14</f>
        <v>11.172434225223679</v>
      </c>
      <c r="F20" s="674">
        <f>transport!E14</f>
        <v>1357.2603446728849</v>
      </c>
      <c r="G20" s="674">
        <f>transport!F14</f>
        <v>0</v>
      </c>
      <c r="H20" s="674">
        <f>transport!G14</f>
        <v>332582.35316041764</v>
      </c>
      <c r="I20" s="674">
        <f>transport!H14</f>
        <v>38758.529086459668</v>
      </c>
      <c r="J20" s="674">
        <f>transport!I14</f>
        <v>0</v>
      </c>
      <c r="K20" s="674">
        <f>transport!J14</f>
        <v>0</v>
      </c>
      <c r="L20" s="674">
        <f>transport!K14</f>
        <v>0</v>
      </c>
      <c r="M20" s="674">
        <f>transport!L14</f>
        <v>0</v>
      </c>
      <c r="N20" s="674">
        <f>transport!M14</f>
        <v>16111.23698945361</v>
      </c>
      <c r="O20" s="674">
        <f>transport!N14</f>
        <v>0</v>
      </c>
      <c r="P20" s="674">
        <f>transport!O14</f>
        <v>0</v>
      </c>
      <c r="Q20" s="675">
        <f>transport!P14</f>
        <v>0</v>
      </c>
      <c r="R20" s="677">
        <f>SUM(C20:Q20)</f>
        <v>388824.30635536276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7.0054302432151196</v>
      </c>
      <c r="D22" s="792">
        <f t="shared" ref="D22:R22" si="1">SUM(D18:D21)</f>
        <v>0</v>
      </c>
      <c r="E22" s="792">
        <f t="shared" si="1"/>
        <v>11.172434225223679</v>
      </c>
      <c r="F22" s="792">
        <f t="shared" si="1"/>
        <v>1357.2603446728849</v>
      </c>
      <c r="G22" s="792">
        <f t="shared" si="1"/>
        <v>0</v>
      </c>
      <c r="H22" s="792">
        <f t="shared" si="1"/>
        <v>333287.64451918111</v>
      </c>
      <c r="I22" s="792">
        <f t="shared" si="1"/>
        <v>38758.529086459668</v>
      </c>
      <c r="J22" s="792">
        <f t="shared" si="1"/>
        <v>0</v>
      </c>
      <c r="K22" s="792">
        <f t="shared" si="1"/>
        <v>0</v>
      </c>
      <c r="L22" s="792">
        <f t="shared" si="1"/>
        <v>0</v>
      </c>
      <c r="M22" s="792">
        <f t="shared" si="1"/>
        <v>0</v>
      </c>
      <c r="N22" s="792">
        <f t="shared" si="1"/>
        <v>16141.434856236116</v>
      </c>
      <c r="O22" s="792">
        <f t="shared" si="1"/>
        <v>0</v>
      </c>
      <c r="P22" s="792">
        <f t="shared" si="1"/>
        <v>0</v>
      </c>
      <c r="Q22" s="792">
        <f t="shared" si="1"/>
        <v>0</v>
      </c>
      <c r="R22" s="792">
        <f t="shared" si="1"/>
        <v>389563.04667101824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1033.6509807849729</v>
      </c>
      <c r="D24" s="674">
        <f>+landbouw!C8</f>
        <v>0</v>
      </c>
      <c r="E24" s="674">
        <f>+landbouw!D8</f>
        <v>574.32892378029021</v>
      </c>
      <c r="F24" s="674">
        <f>+landbouw!E8</f>
        <v>10.824616847092031</v>
      </c>
      <c r="G24" s="674">
        <f>+landbouw!F8</f>
        <v>4424.8116057006891</v>
      </c>
      <c r="H24" s="674">
        <f>+landbouw!G8</f>
        <v>0</v>
      </c>
      <c r="I24" s="674">
        <f>+landbouw!H8</f>
        <v>0</v>
      </c>
      <c r="J24" s="674">
        <f>+landbouw!I8</f>
        <v>0</v>
      </c>
      <c r="K24" s="674">
        <f>+landbouw!J8</f>
        <v>92.31429735589272</v>
      </c>
      <c r="L24" s="674">
        <f>+landbouw!K8</f>
        <v>0</v>
      </c>
      <c r="M24" s="674">
        <f>+landbouw!L8</f>
        <v>0</v>
      </c>
      <c r="N24" s="674">
        <f>+landbouw!M8</f>
        <v>0</v>
      </c>
      <c r="O24" s="674">
        <f>+landbouw!N8</f>
        <v>0</v>
      </c>
      <c r="P24" s="674">
        <f>+landbouw!O8</f>
        <v>0</v>
      </c>
      <c r="Q24" s="675">
        <f>+landbouw!P8</f>
        <v>0</v>
      </c>
      <c r="R24" s="677">
        <f>SUM(C24:Q24)</f>
        <v>6135.9304244689365</v>
      </c>
      <c r="S24" s="67"/>
    </row>
    <row r="25" spans="1:19" s="443" customFormat="1" ht="15" thickBot="1">
      <c r="A25" s="811" t="s">
        <v>889</v>
      </c>
      <c r="B25" s="966"/>
      <c r="C25" s="967">
        <f>IF(Onbekend_ele_kWh="---",0,Onbekend_ele_kWh)/1000+IF(REST_rest_ele_kWh="---",0,REST_rest_ele_kWh)/1000</f>
        <v>1453.4334435765202</v>
      </c>
      <c r="D25" s="967"/>
      <c r="E25" s="967">
        <f>IF(onbekend_gas_kWh="---",0,onbekend_gas_kWh)/1000+IF(REST_rest_gas_kWh="---",0,REST_rest_gas_kWh)/1000</f>
        <v>2182.16144911826</v>
      </c>
      <c r="F25" s="967"/>
      <c r="G25" s="967"/>
      <c r="H25" s="967"/>
      <c r="I25" s="967"/>
      <c r="J25" s="967"/>
      <c r="K25" s="967"/>
      <c r="L25" s="967"/>
      <c r="M25" s="967"/>
      <c r="N25" s="967"/>
      <c r="O25" s="967"/>
      <c r="P25" s="967"/>
      <c r="Q25" s="968"/>
      <c r="R25" s="677">
        <f>SUM(C25:Q25)</f>
        <v>3635.5948926947804</v>
      </c>
      <c r="S25" s="67"/>
    </row>
    <row r="26" spans="1:19" s="443" customFormat="1" ht="15.75" thickBot="1">
      <c r="A26" s="680" t="s">
        <v>890</v>
      </c>
      <c r="B26" s="797"/>
      <c r="C26" s="792">
        <f>SUM(C24:C25)</f>
        <v>2487.0844243614929</v>
      </c>
      <c r="D26" s="792">
        <f t="shared" ref="D26:R26" si="2">SUM(D24:D25)</f>
        <v>0</v>
      </c>
      <c r="E26" s="792">
        <f t="shared" si="2"/>
        <v>2756.49037289855</v>
      </c>
      <c r="F26" s="792">
        <f t="shared" si="2"/>
        <v>10.824616847092031</v>
      </c>
      <c r="G26" s="792">
        <f t="shared" si="2"/>
        <v>4424.8116057006891</v>
      </c>
      <c r="H26" s="792">
        <f t="shared" si="2"/>
        <v>0</v>
      </c>
      <c r="I26" s="792">
        <f t="shared" si="2"/>
        <v>0</v>
      </c>
      <c r="J26" s="792">
        <f t="shared" si="2"/>
        <v>0</v>
      </c>
      <c r="K26" s="792">
        <f t="shared" si="2"/>
        <v>92.31429735589272</v>
      </c>
      <c r="L26" s="792">
        <f t="shared" si="2"/>
        <v>0</v>
      </c>
      <c r="M26" s="792">
        <f t="shared" si="2"/>
        <v>0</v>
      </c>
      <c r="N26" s="792">
        <f t="shared" si="2"/>
        <v>0</v>
      </c>
      <c r="O26" s="792">
        <f t="shared" si="2"/>
        <v>0</v>
      </c>
      <c r="P26" s="792">
        <f t="shared" si="2"/>
        <v>0</v>
      </c>
      <c r="Q26" s="792">
        <f t="shared" si="2"/>
        <v>0</v>
      </c>
      <c r="R26" s="792">
        <f t="shared" si="2"/>
        <v>9771.525317163716</v>
      </c>
      <c r="S26" s="67"/>
    </row>
    <row r="27" spans="1:19" s="443" customFormat="1" ht="17.25" thickTop="1" thickBot="1">
      <c r="A27" s="681" t="s">
        <v>109</v>
      </c>
      <c r="B27" s="784"/>
      <c r="C27" s="682">
        <f ca="1">C22+C16+C26</f>
        <v>37928.868402537482</v>
      </c>
      <c r="D27" s="682">
        <f t="shared" ref="D27:R27" ca="1" si="3">D22+D16+D26</f>
        <v>0</v>
      </c>
      <c r="E27" s="682">
        <f t="shared" ca="1" si="3"/>
        <v>47925.315910418984</v>
      </c>
      <c r="F27" s="682">
        <f t="shared" si="3"/>
        <v>2780.0749613063808</v>
      </c>
      <c r="G27" s="682">
        <f t="shared" ca="1" si="3"/>
        <v>44880.907181360883</v>
      </c>
      <c r="H27" s="682">
        <f t="shared" si="3"/>
        <v>333287.64451918111</v>
      </c>
      <c r="I27" s="682">
        <f t="shared" si="3"/>
        <v>38758.529086459668</v>
      </c>
      <c r="J27" s="682">
        <f t="shared" si="3"/>
        <v>0</v>
      </c>
      <c r="K27" s="682">
        <f t="shared" si="3"/>
        <v>955.17216615358961</v>
      </c>
      <c r="L27" s="682">
        <f t="shared" si="3"/>
        <v>0</v>
      </c>
      <c r="M27" s="682">
        <f t="shared" ca="1" si="3"/>
        <v>0</v>
      </c>
      <c r="N27" s="682">
        <f t="shared" si="3"/>
        <v>16141.434856236116</v>
      </c>
      <c r="O27" s="682">
        <f t="shared" ca="1" si="3"/>
        <v>5501.6888549910445</v>
      </c>
      <c r="P27" s="682">
        <f t="shared" si="3"/>
        <v>43.773333333333333</v>
      </c>
      <c r="Q27" s="682">
        <f t="shared" si="3"/>
        <v>209.73333333333335</v>
      </c>
      <c r="R27" s="682">
        <f t="shared" ca="1" si="3"/>
        <v>528413.14260531194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2280.407286749542</v>
      </c>
      <c r="D40" s="674">
        <f ca="1">tertiair!C20</f>
        <v>0</v>
      </c>
      <c r="E40" s="674">
        <f ca="1">tertiair!D20</f>
        <v>2487.7578252011772</v>
      </c>
      <c r="F40" s="674">
        <f>tertiair!E20</f>
        <v>62.096702088858152</v>
      </c>
      <c r="G40" s="674">
        <f ca="1">tertiair!F20</f>
        <v>456.32140987207976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5286.5832239116571</v>
      </c>
    </row>
    <row r="41" spans="1:18">
      <c r="A41" s="802" t="s">
        <v>214</v>
      </c>
      <c r="B41" s="809"/>
      <c r="C41" s="674">
        <f ca="1">huishoudens!B12</f>
        <v>4943.5154594413798</v>
      </c>
      <c r="D41" s="674">
        <f ca="1">huishoudens!C12</f>
        <v>0</v>
      </c>
      <c r="E41" s="674">
        <f>huishoudens!D12</f>
        <v>6454.7640494808438</v>
      </c>
      <c r="F41" s="674">
        <f>huishoudens!E12</f>
        <v>253.11007550149989</v>
      </c>
      <c r="G41" s="674">
        <f>huishoudens!F12</f>
        <v>10162.184032113228</v>
      </c>
      <c r="H41" s="674">
        <f>huishoudens!G12</f>
        <v>0</v>
      </c>
      <c r="I41" s="674">
        <f>huishoudens!H12</f>
        <v>0</v>
      </c>
      <c r="J41" s="674">
        <f>huishoudens!I12</f>
        <v>0</v>
      </c>
      <c r="K41" s="674">
        <f>huishoudens!J12</f>
        <v>303.38810338308912</v>
      </c>
      <c r="L41" s="674">
        <f>huishoudens!K12</f>
        <v>0</v>
      </c>
      <c r="M41" s="674">
        <f>huishoudens!L12</f>
        <v>0</v>
      </c>
      <c r="N41" s="674">
        <f>huishoudens!M12</f>
        <v>0</v>
      </c>
      <c r="O41" s="674">
        <f>huishoudens!N12</f>
        <v>0</v>
      </c>
      <c r="P41" s="674">
        <f>huishoudens!O12</f>
        <v>0</v>
      </c>
      <c r="Q41" s="749">
        <f>huishoudens!P12</f>
        <v>0</v>
      </c>
      <c r="R41" s="830">
        <f t="shared" ca="1" si="4"/>
        <v>22116.96171992004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373.07929696455545</v>
      </c>
      <c r="D43" s="674">
        <f ca="1">industrie!C22</f>
        <v>0</v>
      </c>
      <c r="E43" s="674">
        <f>industrie!D22</f>
        <v>179.32405218361353</v>
      </c>
      <c r="F43" s="674">
        <f>industrie!E22</f>
        <v>5.3149523611557363</v>
      </c>
      <c r="G43" s="674">
        <f>industrie!F22</f>
        <v>183.27207671596398</v>
      </c>
      <c r="H43" s="674">
        <f>industrie!G22</f>
        <v>0</v>
      </c>
      <c r="I43" s="674">
        <f>industrie!H22</f>
        <v>0</v>
      </c>
      <c r="J43" s="674">
        <f>industrie!I22</f>
        <v>0</v>
      </c>
      <c r="K43" s="674">
        <f>industrie!J22</f>
        <v>2.0635821712955842</v>
      </c>
      <c r="L43" s="674">
        <f>industrie!K22</f>
        <v>0</v>
      </c>
      <c r="M43" s="674">
        <f>industrie!L22</f>
        <v>0</v>
      </c>
      <c r="N43" s="674">
        <f>industrie!M22</f>
        <v>0</v>
      </c>
      <c r="O43" s="674">
        <f>industrie!N22</f>
        <v>0</v>
      </c>
      <c r="P43" s="674">
        <f>industrie!O22</f>
        <v>0</v>
      </c>
      <c r="Q43" s="749">
        <f>industrie!P22</f>
        <v>0</v>
      </c>
      <c r="R43" s="829">
        <f t="shared" ca="1" si="4"/>
        <v>743.05396039658433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7597.0020431554767</v>
      </c>
      <c r="D46" s="707">
        <f t="shared" ref="D46:Q46" ca="1" si="5">SUM(D39:D45)</f>
        <v>0</v>
      </c>
      <c r="E46" s="707">
        <f t="shared" ca="1" si="5"/>
        <v>9121.8459268656352</v>
      </c>
      <c r="F46" s="707">
        <f t="shared" si="5"/>
        <v>320.52172995151381</v>
      </c>
      <c r="G46" s="707">
        <f t="shared" ca="1" si="5"/>
        <v>10801.777518701272</v>
      </c>
      <c r="H46" s="707">
        <f t="shared" si="5"/>
        <v>0</v>
      </c>
      <c r="I46" s="707">
        <f t="shared" si="5"/>
        <v>0</v>
      </c>
      <c r="J46" s="707">
        <f t="shared" si="5"/>
        <v>0</v>
      </c>
      <c r="K46" s="707">
        <f t="shared" si="5"/>
        <v>305.45168555438471</v>
      </c>
      <c r="L46" s="707">
        <f t="shared" si="5"/>
        <v>0</v>
      </c>
      <c r="M46" s="707">
        <f t="shared" ca="1" si="5"/>
        <v>0</v>
      </c>
      <c r="N46" s="707">
        <f t="shared" si="5"/>
        <v>0</v>
      </c>
      <c r="O46" s="707">
        <f t="shared" ca="1" si="5"/>
        <v>0</v>
      </c>
      <c r="P46" s="707">
        <f t="shared" si="5"/>
        <v>0</v>
      </c>
      <c r="Q46" s="707">
        <f t="shared" si="5"/>
        <v>0</v>
      </c>
      <c r="R46" s="707">
        <f ca="1">SUM(R39:R45)</f>
        <v>28146.598904228282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0.69701404146359836</v>
      </c>
      <c r="D49" s="674">
        <f ca="1">transport!C58</f>
        <v>0</v>
      </c>
      <c r="E49" s="674">
        <f>transport!D58</f>
        <v>0</v>
      </c>
      <c r="F49" s="674">
        <f>transport!E58</f>
        <v>0</v>
      </c>
      <c r="G49" s="674">
        <f>transport!F58</f>
        <v>0</v>
      </c>
      <c r="H49" s="674">
        <f>transport!G58</f>
        <v>188.31279278985329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189.00980683131689</v>
      </c>
    </row>
    <row r="50" spans="1:18">
      <c r="A50" s="805" t="s">
        <v>296</v>
      </c>
      <c r="B50" s="815"/>
      <c r="C50" s="973">
        <f ca="1">transport!B18</f>
        <v>0.80490780062995826</v>
      </c>
      <c r="D50" s="973">
        <f>transport!C18</f>
        <v>0</v>
      </c>
      <c r="E50" s="973">
        <f>transport!D18</f>
        <v>2.2568317134951834</v>
      </c>
      <c r="F50" s="973">
        <f>transport!E18</f>
        <v>308.09809824074489</v>
      </c>
      <c r="G50" s="973">
        <f>transport!F18</f>
        <v>0</v>
      </c>
      <c r="H50" s="973">
        <f>transport!G18</f>
        <v>88799.488293831513</v>
      </c>
      <c r="I50" s="973">
        <f>transport!H18</f>
        <v>9650.873742528458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98761.521874114842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1.5019218420935565</v>
      </c>
      <c r="D52" s="707">
        <f t="shared" ref="D52:Q52" ca="1" si="6">SUM(D48:D51)</f>
        <v>0</v>
      </c>
      <c r="E52" s="707">
        <f t="shared" si="6"/>
        <v>2.2568317134951834</v>
      </c>
      <c r="F52" s="707">
        <f t="shared" si="6"/>
        <v>308.09809824074489</v>
      </c>
      <c r="G52" s="707">
        <f t="shared" si="6"/>
        <v>0</v>
      </c>
      <c r="H52" s="707">
        <f t="shared" si="6"/>
        <v>88987.801086621374</v>
      </c>
      <c r="I52" s="707">
        <f t="shared" si="6"/>
        <v>9650.873742528458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98950.531680946166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221.60851385908316</v>
      </c>
      <c r="D54" s="973">
        <f ca="1">+landbouw!C12</f>
        <v>0</v>
      </c>
      <c r="E54" s="973">
        <f>+landbouw!D12</f>
        <v>116.01444260361863</v>
      </c>
      <c r="F54" s="973">
        <f>+landbouw!E12</f>
        <v>2.4571880242898909</v>
      </c>
      <c r="G54" s="973">
        <f>+landbouw!F12</f>
        <v>1181.424698722084</v>
      </c>
      <c r="H54" s="973">
        <f>+landbouw!G12</f>
        <v>0</v>
      </c>
      <c r="I54" s="973">
        <f>+landbouw!H12</f>
        <v>0</v>
      </c>
      <c r="J54" s="973">
        <f>+landbouw!I12</f>
        <v>0</v>
      </c>
      <c r="K54" s="973">
        <f>+landbouw!J12</f>
        <v>32.679261263986021</v>
      </c>
      <c r="L54" s="973">
        <f>+landbouw!K12</f>
        <v>0</v>
      </c>
      <c r="M54" s="973">
        <f>+landbouw!L12</f>
        <v>0</v>
      </c>
      <c r="N54" s="973">
        <f>+landbouw!M12</f>
        <v>0</v>
      </c>
      <c r="O54" s="973">
        <f>+landbouw!N12</f>
        <v>0</v>
      </c>
      <c r="P54" s="973">
        <f>+landbouw!O12</f>
        <v>0</v>
      </c>
      <c r="Q54" s="974">
        <f>+landbouw!P12</f>
        <v>0</v>
      </c>
      <c r="R54" s="706">
        <f ca="1">SUM(C54:Q54)</f>
        <v>1554.1841044730618</v>
      </c>
    </row>
    <row r="55" spans="1:18" ht="15" thickBot="1">
      <c r="A55" s="805" t="s">
        <v>889</v>
      </c>
      <c r="B55" s="815"/>
      <c r="C55" s="973">
        <f ca="1">C25*'EF ele_warmte'!B12</f>
        <v>311.60733304725244</v>
      </c>
      <c r="D55" s="973"/>
      <c r="E55" s="973">
        <f>E25*EF_CO2_aardgas</f>
        <v>440.79661272188855</v>
      </c>
      <c r="F55" s="973"/>
      <c r="G55" s="973"/>
      <c r="H55" s="973"/>
      <c r="I55" s="973"/>
      <c r="J55" s="973"/>
      <c r="K55" s="973"/>
      <c r="L55" s="973"/>
      <c r="M55" s="973"/>
      <c r="N55" s="973"/>
      <c r="O55" s="973"/>
      <c r="P55" s="973"/>
      <c r="Q55" s="974"/>
      <c r="R55" s="706">
        <f ca="1">SUM(C55:Q55)</f>
        <v>752.40394576914105</v>
      </c>
    </row>
    <row r="56" spans="1:18" ht="15.75" thickBot="1">
      <c r="A56" s="803" t="s">
        <v>890</v>
      </c>
      <c r="B56" s="816"/>
      <c r="C56" s="707">
        <f ca="1">SUM(C54:C55)</f>
        <v>533.21584690633563</v>
      </c>
      <c r="D56" s="707">
        <f t="shared" ref="D56:Q56" ca="1" si="7">SUM(D54:D55)</f>
        <v>0</v>
      </c>
      <c r="E56" s="707">
        <f t="shared" si="7"/>
        <v>556.81105532550714</v>
      </c>
      <c r="F56" s="707">
        <f t="shared" si="7"/>
        <v>2.4571880242898909</v>
      </c>
      <c r="G56" s="707">
        <f t="shared" si="7"/>
        <v>1181.424698722084</v>
      </c>
      <c r="H56" s="707">
        <f t="shared" si="7"/>
        <v>0</v>
      </c>
      <c r="I56" s="707">
        <f t="shared" si="7"/>
        <v>0</v>
      </c>
      <c r="J56" s="707">
        <f t="shared" si="7"/>
        <v>0</v>
      </c>
      <c r="K56" s="707">
        <f t="shared" si="7"/>
        <v>32.679261263986021</v>
      </c>
      <c r="L56" s="707">
        <f t="shared" si="7"/>
        <v>0</v>
      </c>
      <c r="M56" s="707">
        <f t="shared" si="7"/>
        <v>0</v>
      </c>
      <c r="N56" s="707">
        <f t="shared" si="7"/>
        <v>0</v>
      </c>
      <c r="O56" s="707">
        <f t="shared" si="7"/>
        <v>0</v>
      </c>
      <c r="P56" s="707">
        <f t="shared" si="7"/>
        <v>0</v>
      </c>
      <c r="Q56" s="708">
        <f t="shared" si="7"/>
        <v>0</v>
      </c>
      <c r="R56" s="709">
        <f ca="1">SUM(R54:R55)</f>
        <v>2306.5880502422028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8131.7198119039058</v>
      </c>
      <c r="D61" s="715">
        <f t="shared" ref="D61:Q61" ca="1" si="8">D46+D52+D56</f>
        <v>0</v>
      </c>
      <c r="E61" s="715">
        <f t="shared" ca="1" si="8"/>
        <v>9680.9138139046372</v>
      </c>
      <c r="F61" s="715">
        <f t="shared" si="8"/>
        <v>631.07701621654849</v>
      </c>
      <c r="G61" s="715">
        <f t="shared" ca="1" si="8"/>
        <v>11983.202217423357</v>
      </c>
      <c r="H61" s="715">
        <f t="shared" si="8"/>
        <v>88987.801086621374</v>
      </c>
      <c r="I61" s="715">
        <f t="shared" si="8"/>
        <v>9650.873742528458</v>
      </c>
      <c r="J61" s="715">
        <f t="shared" si="8"/>
        <v>0</v>
      </c>
      <c r="K61" s="715">
        <f t="shared" si="8"/>
        <v>338.13094681837072</v>
      </c>
      <c r="L61" s="715">
        <f t="shared" si="8"/>
        <v>0</v>
      </c>
      <c r="M61" s="715">
        <f t="shared" ca="1" si="8"/>
        <v>0</v>
      </c>
      <c r="N61" s="715">
        <f t="shared" si="8"/>
        <v>0</v>
      </c>
      <c r="O61" s="715">
        <f t="shared" ca="1" si="8"/>
        <v>0</v>
      </c>
      <c r="P61" s="715">
        <f t="shared" si="8"/>
        <v>0</v>
      </c>
      <c r="Q61" s="715">
        <f t="shared" si="8"/>
        <v>0</v>
      </c>
      <c r="R61" s="715">
        <f ca="1">R46+R52+R56</f>
        <v>129403.71863541666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0.21439394725944116</v>
      </c>
      <c r="D63" s="759">
        <f t="shared" ca="1" si="9"/>
        <v>0</v>
      </c>
      <c r="E63" s="975">
        <f t="shared" ca="1" si="9"/>
        <v>0.20200000000000004</v>
      </c>
      <c r="F63" s="759">
        <f t="shared" si="9"/>
        <v>0.22700000000000001</v>
      </c>
      <c r="G63" s="759">
        <f t="shared" ca="1" si="9"/>
        <v>0.26700000000000002</v>
      </c>
      <c r="H63" s="759">
        <f t="shared" si="9"/>
        <v>0.26700000000000007</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1133.756131479083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1133.756131479083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23058.092463119589</v>
      </c>
      <c r="C4" s="447">
        <f>huishoudens!C8</f>
        <v>0</v>
      </c>
      <c r="D4" s="447">
        <f>huishoudens!D8</f>
        <v>31954.277472677444</v>
      </c>
      <c r="E4" s="447">
        <f>huishoudens!E8</f>
        <v>1115.0223590374444</v>
      </c>
      <c r="F4" s="447">
        <f>huishoudens!F8</f>
        <v>38060.614352483994</v>
      </c>
      <c r="G4" s="447">
        <f>huishoudens!G8</f>
        <v>0</v>
      </c>
      <c r="H4" s="447">
        <f>huishoudens!H8</f>
        <v>0</v>
      </c>
      <c r="I4" s="447">
        <f>huishoudens!I8</f>
        <v>0</v>
      </c>
      <c r="J4" s="447">
        <f>huishoudens!J8</f>
        <v>857.02854063019527</v>
      </c>
      <c r="K4" s="447">
        <f>huishoudens!K8</f>
        <v>0</v>
      </c>
      <c r="L4" s="447">
        <f>huishoudens!L8</f>
        <v>0</v>
      </c>
      <c r="M4" s="447">
        <f>huishoudens!M8</f>
        <v>0</v>
      </c>
      <c r="N4" s="447">
        <f>huishoudens!N8</f>
        <v>5287.8174383518353</v>
      </c>
      <c r="O4" s="447">
        <f>huishoudens!O8</f>
        <v>42.21</v>
      </c>
      <c r="P4" s="448">
        <f>huishoudens!P8</f>
        <v>190.66666666666669</v>
      </c>
      <c r="Q4" s="449">
        <f>SUM(B4:P4)</f>
        <v>100565.72929296718</v>
      </c>
    </row>
    <row r="5" spans="1:17">
      <c r="A5" s="446" t="s">
        <v>149</v>
      </c>
      <c r="B5" s="447">
        <f ca="1">tertiair!B16</f>
        <v>9809.9992970884814</v>
      </c>
      <c r="C5" s="447">
        <f ca="1">tertiair!C16</f>
        <v>0</v>
      </c>
      <c r="D5" s="447">
        <f ca="1">tertiair!D16</f>
        <v>12315.632798025628</v>
      </c>
      <c r="E5" s="447">
        <f>tertiair!E16</f>
        <v>273.55375369541036</v>
      </c>
      <c r="F5" s="447">
        <f ca="1">tertiair!F16</f>
        <v>1709.0689508317594</v>
      </c>
      <c r="G5" s="447">
        <f>tertiair!G16</f>
        <v>0</v>
      </c>
      <c r="H5" s="447">
        <f>tertiair!H16</f>
        <v>0</v>
      </c>
      <c r="I5" s="447">
        <f>tertiair!I16</f>
        <v>0</v>
      </c>
      <c r="J5" s="447">
        <f>tertiair!J16</f>
        <v>0</v>
      </c>
      <c r="K5" s="447">
        <f>tertiair!K16</f>
        <v>0</v>
      </c>
      <c r="L5" s="447">
        <f ca="1">tertiair!L16</f>
        <v>0</v>
      </c>
      <c r="M5" s="447">
        <f>tertiair!M16</f>
        <v>0</v>
      </c>
      <c r="N5" s="447">
        <f ca="1">tertiair!N16</f>
        <v>151.21032853890495</v>
      </c>
      <c r="O5" s="447">
        <f>tertiair!O16</f>
        <v>1.5633333333333335</v>
      </c>
      <c r="P5" s="448">
        <f>tertiair!P16</f>
        <v>19.066666666666666</v>
      </c>
      <c r="Q5" s="446">
        <f t="shared" ref="Q5:Q14" ca="1" si="0">SUM(B5:P5)</f>
        <v>24280.095128180183</v>
      </c>
    </row>
    <row r="6" spans="1:17">
      <c r="A6" s="446" t="s">
        <v>187</v>
      </c>
      <c r="B6" s="447">
        <f>'openbare verlichting'!B8</f>
        <v>826.529</v>
      </c>
      <c r="C6" s="447"/>
      <c r="D6" s="447"/>
      <c r="E6" s="447"/>
      <c r="F6" s="447"/>
      <c r="G6" s="447"/>
      <c r="H6" s="447"/>
      <c r="I6" s="447"/>
      <c r="J6" s="447"/>
      <c r="K6" s="447"/>
      <c r="L6" s="447"/>
      <c r="M6" s="447"/>
      <c r="N6" s="447"/>
      <c r="O6" s="447"/>
      <c r="P6" s="448"/>
      <c r="Q6" s="446">
        <f t="shared" si="0"/>
        <v>826.529</v>
      </c>
    </row>
    <row r="7" spans="1:17">
      <c r="A7" s="446" t="s">
        <v>105</v>
      </c>
      <c r="B7" s="447">
        <f>landbouw!B8</f>
        <v>1033.6509807849729</v>
      </c>
      <c r="C7" s="447">
        <f>landbouw!C8</f>
        <v>0</v>
      </c>
      <c r="D7" s="447">
        <f>landbouw!D8</f>
        <v>574.32892378029021</v>
      </c>
      <c r="E7" s="447">
        <f>landbouw!E8</f>
        <v>10.824616847092031</v>
      </c>
      <c r="F7" s="447">
        <f>landbouw!F8</f>
        <v>4424.8116057006891</v>
      </c>
      <c r="G7" s="447">
        <f>landbouw!G8</f>
        <v>0</v>
      </c>
      <c r="H7" s="447">
        <f>landbouw!H8</f>
        <v>0</v>
      </c>
      <c r="I7" s="447">
        <f>landbouw!I8</f>
        <v>0</v>
      </c>
      <c r="J7" s="447">
        <f>landbouw!J8</f>
        <v>92.31429735589272</v>
      </c>
      <c r="K7" s="447">
        <f>landbouw!K8</f>
        <v>0</v>
      </c>
      <c r="L7" s="447">
        <f>landbouw!L8</f>
        <v>0</v>
      </c>
      <c r="M7" s="447">
        <f>landbouw!M8</f>
        <v>0</v>
      </c>
      <c r="N7" s="447">
        <f>landbouw!N8</f>
        <v>0</v>
      </c>
      <c r="O7" s="447">
        <f>landbouw!O8</f>
        <v>0</v>
      </c>
      <c r="P7" s="448">
        <f>landbouw!P8</f>
        <v>0</v>
      </c>
      <c r="Q7" s="446">
        <f t="shared" si="0"/>
        <v>6135.9304244689365</v>
      </c>
    </row>
    <row r="8" spans="1:17">
      <c r="A8" s="446" t="s">
        <v>637</v>
      </c>
      <c r="B8" s="447">
        <f>industrie!B18</f>
        <v>1740.1577877247012</v>
      </c>
      <c r="C8" s="447">
        <f>industrie!C18</f>
        <v>0</v>
      </c>
      <c r="D8" s="447">
        <f>industrie!D18</f>
        <v>887.7428325921461</v>
      </c>
      <c r="E8" s="447">
        <f>industrie!E18</f>
        <v>23.413887053549498</v>
      </c>
      <c r="F8" s="447">
        <f>industrie!F18</f>
        <v>686.41227234443431</v>
      </c>
      <c r="G8" s="447">
        <f>industrie!G18</f>
        <v>0</v>
      </c>
      <c r="H8" s="447">
        <f>industrie!H18</f>
        <v>0</v>
      </c>
      <c r="I8" s="447">
        <f>industrie!I18</f>
        <v>0</v>
      </c>
      <c r="J8" s="447">
        <f>industrie!J18</f>
        <v>5.8293281675016511</v>
      </c>
      <c r="K8" s="447">
        <f>industrie!K18</f>
        <v>0</v>
      </c>
      <c r="L8" s="447">
        <f>industrie!L18</f>
        <v>0</v>
      </c>
      <c r="M8" s="447">
        <f>industrie!M18</f>
        <v>0</v>
      </c>
      <c r="N8" s="447">
        <f>industrie!N18</f>
        <v>62.661088100304696</v>
      </c>
      <c r="O8" s="447">
        <f>industrie!O18</f>
        <v>0</v>
      </c>
      <c r="P8" s="448">
        <f>industrie!P18</f>
        <v>0</v>
      </c>
      <c r="Q8" s="446">
        <f t="shared" si="0"/>
        <v>3406.2171959826373</v>
      </c>
    </row>
    <row r="9" spans="1:17" s="452" customFormat="1">
      <c r="A9" s="450" t="s">
        <v>556</v>
      </c>
      <c r="B9" s="451">
        <f>transport!B14</f>
        <v>3.7543401337535327</v>
      </c>
      <c r="C9" s="451">
        <f>transport!C14</f>
        <v>0</v>
      </c>
      <c r="D9" s="451">
        <f>transport!D14</f>
        <v>11.172434225223679</v>
      </c>
      <c r="E9" s="451">
        <f>transport!E14</f>
        <v>1357.2603446728849</v>
      </c>
      <c r="F9" s="451">
        <f>transport!F14</f>
        <v>0</v>
      </c>
      <c r="G9" s="451">
        <f>transport!G14</f>
        <v>332582.35316041764</v>
      </c>
      <c r="H9" s="451">
        <f>transport!H14</f>
        <v>38758.529086459668</v>
      </c>
      <c r="I9" s="451">
        <f>transport!I14</f>
        <v>0</v>
      </c>
      <c r="J9" s="451">
        <f>transport!J14</f>
        <v>0</v>
      </c>
      <c r="K9" s="451">
        <f>transport!K14</f>
        <v>0</v>
      </c>
      <c r="L9" s="451">
        <f>transport!L14</f>
        <v>0</v>
      </c>
      <c r="M9" s="451">
        <f>transport!M14</f>
        <v>16111.23698945361</v>
      </c>
      <c r="N9" s="451">
        <f>transport!N14</f>
        <v>0</v>
      </c>
      <c r="O9" s="451">
        <f>transport!O14</f>
        <v>0</v>
      </c>
      <c r="P9" s="451">
        <f>transport!P14</f>
        <v>0</v>
      </c>
      <c r="Q9" s="450">
        <f>SUM(B9:P9)</f>
        <v>388824.30635536276</v>
      </c>
    </row>
    <row r="10" spans="1:17">
      <c r="A10" s="446" t="s">
        <v>546</v>
      </c>
      <c r="B10" s="447">
        <f>transport!B54</f>
        <v>3.2510901094615869</v>
      </c>
      <c r="C10" s="447">
        <f>transport!C54</f>
        <v>0</v>
      </c>
      <c r="D10" s="447">
        <f>transport!D54</f>
        <v>0</v>
      </c>
      <c r="E10" s="447">
        <f>transport!E54</f>
        <v>0</v>
      </c>
      <c r="F10" s="447">
        <f>transport!F54</f>
        <v>0</v>
      </c>
      <c r="G10" s="447">
        <f>transport!G54</f>
        <v>705.2913587634954</v>
      </c>
      <c r="H10" s="447">
        <f>transport!H54</f>
        <v>0</v>
      </c>
      <c r="I10" s="447">
        <f>transport!I54</f>
        <v>0</v>
      </c>
      <c r="J10" s="447">
        <f>transport!J54</f>
        <v>0</v>
      </c>
      <c r="K10" s="447">
        <f>transport!K54</f>
        <v>0</v>
      </c>
      <c r="L10" s="447">
        <f>transport!L54</f>
        <v>0</v>
      </c>
      <c r="M10" s="447">
        <f>transport!M54</f>
        <v>30.197866782506757</v>
      </c>
      <c r="N10" s="447">
        <f>transport!N54</f>
        <v>0</v>
      </c>
      <c r="O10" s="447">
        <f>transport!O54</f>
        <v>0</v>
      </c>
      <c r="P10" s="448">
        <f>transport!P54</f>
        <v>0</v>
      </c>
      <c r="Q10" s="446">
        <f t="shared" si="0"/>
        <v>738.74031565546375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1453.4334435765202</v>
      </c>
      <c r="C14" s="454"/>
      <c r="D14" s="454">
        <f>'SEAP template'!E25</f>
        <v>2182.16144911826</v>
      </c>
      <c r="E14" s="454"/>
      <c r="F14" s="454"/>
      <c r="G14" s="454"/>
      <c r="H14" s="454"/>
      <c r="I14" s="454"/>
      <c r="J14" s="454"/>
      <c r="K14" s="454"/>
      <c r="L14" s="454"/>
      <c r="M14" s="454"/>
      <c r="N14" s="454"/>
      <c r="O14" s="454"/>
      <c r="P14" s="455"/>
      <c r="Q14" s="446">
        <f t="shared" si="0"/>
        <v>3635.5948926947804</v>
      </c>
    </row>
    <row r="15" spans="1:17" s="459" customFormat="1">
      <c r="A15" s="456" t="s">
        <v>550</v>
      </c>
      <c r="B15" s="457">
        <f ca="1">SUM(B4:B14)</f>
        <v>37928.86840253749</v>
      </c>
      <c r="C15" s="457">
        <f t="shared" ref="C15:Q15" ca="1" si="1">SUM(C4:C14)</f>
        <v>0</v>
      </c>
      <c r="D15" s="457">
        <f t="shared" ca="1" si="1"/>
        <v>47925.315910418984</v>
      </c>
      <c r="E15" s="457">
        <f t="shared" si="1"/>
        <v>2780.0749613063808</v>
      </c>
      <c r="F15" s="457">
        <f t="shared" ca="1" si="1"/>
        <v>44880.907181360875</v>
      </c>
      <c r="G15" s="457">
        <f t="shared" si="1"/>
        <v>333287.64451918111</v>
      </c>
      <c r="H15" s="457">
        <f t="shared" si="1"/>
        <v>38758.529086459668</v>
      </c>
      <c r="I15" s="457">
        <f t="shared" si="1"/>
        <v>0</v>
      </c>
      <c r="J15" s="457">
        <f t="shared" si="1"/>
        <v>955.17216615358961</v>
      </c>
      <c r="K15" s="457">
        <f t="shared" si="1"/>
        <v>0</v>
      </c>
      <c r="L15" s="457">
        <f t="shared" ca="1" si="1"/>
        <v>0</v>
      </c>
      <c r="M15" s="457">
        <f t="shared" si="1"/>
        <v>16141.434856236116</v>
      </c>
      <c r="N15" s="457">
        <f t="shared" ca="1" si="1"/>
        <v>5501.6888549910445</v>
      </c>
      <c r="O15" s="457">
        <f t="shared" si="1"/>
        <v>43.773333333333333</v>
      </c>
      <c r="P15" s="457">
        <f t="shared" si="1"/>
        <v>209.73333333333335</v>
      </c>
      <c r="Q15" s="457">
        <f t="shared" ca="1" si="1"/>
        <v>528413.14260531194</v>
      </c>
    </row>
    <row r="17" spans="1:17">
      <c r="A17" s="460" t="s">
        <v>551</v>
      </c>
      <c r="B17" s="764">
        <f ca="1">huishoudens!B10</f>
        <v>0.21439394725944119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4943.5154594413798</v>
      </c>
      <c r="C22" s="447">
        <f t="shared" ref="C22:C32" ca="1" si="3">C4*$C$17</f>
        <v>0</v>
      </c>
      <c r="D22" s="447">
        <f t="shared" ref="D22:D32" si="4">D4*$D$17</f>
        <v>6454.7640494808438</v>
      </c>
      <c r="E22" s="447">
        <f t="shared" ref="E22:E32" si="5">E4*$E$17</f>
        <v>253.11007550149989</v>
      </c>
      <c r="F22" s="447">
        <f t="shared" ref="F22:F32" si="6">F4*$F$17</f>
        <v>10162.184032113228</v>
      </c>
      <c r="G22" s="447">
        <f t="shared" ref="G22:G32" si="7">G4*$G$17</f>
        <v>0</v>
      </c>
      <c r="H22" s="447">
        <f t="shared" ref="H22:H32" si="8">H4*$H$17</f>
        <v>0</v>
      </c>
      <c r="I22" s="447">
        <f t="shared" ref="I22:I32" si="9">I4*$I$17</f>
        <v>0</v>
      </c>
      <c r="J22" s="447">
        <f t="shared" ref="J22:J32" si="10">J4*$J$17</f>
        <v>303.38810338308912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22116.96171992004</v>
      </c>
    </row>
    <row r="23" spans="1:17">
      <c r="A23" s="446" t="s">
        <v>149</v>
      </c>
      <c r="B23" s="447">
        <f t="shared" ca="1" si="2"/>
        <v>2103.2044719151431</v>
      </c>
      <c r="C23" s="447">
        <f t="shared" ca="1" si="3"/>
        <v>0</v>
      </c>
      <c r="D23" s="447">
        <f t="shared" ca="1" si="4"/>
        <v>2487.7578252011772</v>
      </c>
      <c r="E23" s="447">
        <f t="shared" si="5"/>
        <v>62.096702088858152</v>
      </c>
      <c r="F23" s="447">
        <f t="shared" ca="1" si="6"/>
        <v>456.32140987207976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5109.3804090772592</v>
      </c>
    </row>
    <row r="24" spans="1:17">
      <c r="A24" s="446" t="s">
        <v>187</v>
      </c>
      <c r="B24" s="447">
        <f t="shared" ca="1" si="2"/>
        <v>177.20281483439868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177.20281483439868</v>
      </c>
    </row>
    <row r="25" spans="1:17">
      <c r="A25" s="446" t="s">
        <v>105</v>
      </c>
      <c r="B25" s="447">
        <f t="shared" ca="1" si="2"/>
        <v>221.60851385908316</v>
      </c>
      <c r="C25" s="447">
        <f t="shared" ca="1" si="3"/>
        <v>0</v>
      </c>
      <c r="D25" s="447">
        <f t="shared" si="4"/>
        <v>116.01444260361863</v>
      </c>
      <c r="E25" s="447">
        <f t="shared" si="5"/>
        <v>2.4571880242898909</v>
      </c>
      <c r="F25" s="447">
        <f t="shared" si="6"/>
        <v>1181.424698722084</v>
      </c>
      <c r="G25" s="447">
        <f t="shared" si="7"/>
        <v>0</v>
      </c>
      <c r="H25" s="447">
        <f t="shared" si="8"/>
        <v>0</v>
      </c>
      <c r="I25" s="447">
        <f t="shared" si="9"/>
        <v>0</v>
      </c>
      <c r="J25" s="447">
        <f t="shared" si="10"/>
        <v>32.679261263986021</v>
      </c>
      <c r="K25" s="447">
        <f t="shared" si="11"/>
        <v>0</v>
      </c>
      <c r="L25" s="447">
        <f t="shared" si="12"/>
        <v>0</v>
      </c>
      <c r="M25" s="447">
        <f t="shared" si="13"/>
        <v>0</v>
      </c>
      <c r="N25" s="447">
        <f t="shared" si="14"/>
        <v>0</v>
      </c>
      <c r="O25" s="447">
        <f t="shared" si="15"/>
        <v>0</v>
      </c>
      <c r="P25" s="448">
        <f t="shared" si="16"/>
        <v>0</v>
      </c>
      <c r="Q25" s="446">
        <f t="shared" ca="1" si="17"/>
        <v>1554.1841044730618</v>
      </c>
    </row>
    <row r="26" spans="1:17">
      <c r="A26" s="446" t="s">
        <v>637</v>
      </c>
      <c r="B26" s="447">
        <f t="shared" ca="1" si="2"/>
        <v>373.07929696455545</v>
      </c>
      <c r="C26" s="447">
        <f t="shared" ca="1" si="3"/>
        <v>0</v>
      </c>
      <c r="D26" s="447">
        <f t="shared" si="4"/>
        <v>179.32405218361353</v>
      </c>
      <c r="E26" s="447">
        <f t="shared" si="5"/>
        <v>5.3149523611557363</v>
      </c>
      <c r="F26" s="447">
        <f t="shared" si="6"/>
        <v>183.27207671596398</v>
      </c>
      <c r="G26" s="447">
        <f t="shared" si="7"/>
        <v>0</v>
      </c>
      <c r="H26" s="447">
        <f t="shared" si="8"/>
        <v>0</v>
      </c>
      <c r="I26" s="447">
        <f t="shared" si="9"/>
        <v>0</v>
      </c>
      <c r="J26" s="447">
        <f t="shared" si="10"/>
        <v>2.0635821712955842</v>
      </c>
      <c r="K26" s="447">
        <f t="shared" si="11"/>
        <v>0</v>
      </c>
      <c r="L26" s="447">
        <f t="shared" si="12"/>
        <v>0</v>
      </c>
      <c r="M26" s="447">
        <f t="shared" si="13"/>
        <v>0</v>
      </c>
      <c r="N26" s="447">
        <f t="shared" si="14"/>
        <v>0</v>
      </c>
      <c r="O26" s="447">
        <f t="shared" si="15"/>
        <v>0</v>
      </c>
      <c r="P26" s="448">
        <f t="shared" si="16"/>
        <v>0</v>
      </c>
      <c r="Q26" s="446">
        <f t="shared" ca="1" si="17"/>
        <v>743.05396039658433</v>
      </c>
    </row>
    <row r="27" spans="1:17" s="452" customFormat="1">
      <c r="A27" s="450" t="s">
        <v>556</v>
      </c>
      <c r="B27" s="758">
        <f t="shared" ca="1" si="2"/>
        <v>0.80490780062995826</v>
      </c>
      <c r="C27" s="451">
        <f t="shared" ca="1" si="3"/>
        <v>0</v>
      </c>
      <c r="D27" s="451">
        <f t="shared" si="4"/>
        <v>2.2568317134951834</v>
      </c>
      <c r="E27" s="451">
        <f t="shared" si="5"/>
        <v>308.09809824074489</v>
      </c>
      <c r="F27" s="451">
        <f t="shared" si="6"/>
        <v>0</v>
      </c>
      <c r="G27" s="451">
        <f t="shared" si="7"/>
        <v>88799.488293831513</v>
      </c>
      <c r="H27" s="451">
        <f t="shared" si="8"/>
        <v>9650.873742528458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98761.521874114842</v>
      </c>
    </row>
    <row r="28" spans="1:17">
      <c r="A28" s="446" t="s">
        <v>546</v>
      </c>
      <c r="B28" s="447">
        <f t="shared" ca="1" si="2"/>
        <v>0.69701404146359836</v>
      </c>
      <c r="C28" s="447">
        <f t="shared" ca="1" si="3"/>
        <v>0</v>
      </c>
      <c r="D28" s="447">
        <f t="shared" si="4"/>
        <v>0</v>
      </c>
      <c r="E28" s="447">
        <f t="shared" si="5"/>
        <v>0</v>
      </c>
      <c r="F28" s="447">
        <f t="shared" si="6"/>
        <v>0</v>
      </c>
      <c r="G28" s="447">
        <f t="shared" si="7"/>
        <v>188.31279278985329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189.00980683131689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311.60733304725244</v>
      </c>
      <c r="C32" s="447">
        <f t="shared" ca="1" si="3"/>
        <v>0</v>
      </c>
      <c r="D32" s="447">
        <f t="shared" si="4"/>
        <v>440.79661272188855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752.40394576914105</v>
      </c>
    </row>
    <row r="33" spans="1:17" s="459" customFormat="1">
      <c r="A33" s="456" t="s">
        <v>550</v>
      </c>
      <c r="B33" s="457">
        <f ca="1">SUM(B22:B32)</f>
        <v>8131.7198119039067</v>
      </c>
      <c r="C33" s="457">
        <f t="shared" ref="C33:Q33" ca="1" si="19">SUM(C22:C32)</f>
        <v>0</v>
      </c>
      <c r="D33" s="457">
        <f t="shared" ca="1" si="19"/>
        <v>9680.9138139046372</v>
      </c>
      <c r="E33" s="457">
        <f t="shared" si="19"/>
        <v>631.0770162165486</v>
      </c>
      <c r="F33" s="457">
        <f t="shared" ca="1" si="19"/>
        <v>11983.202217423355</v>
      </c>
      <c r="G33" s="457">
        <f t="shared" si="19"/>
        <v>88987.801086621374</v>
      </c>
      <c r="H33" s="457">
        <f t="shared" si="19"/>
        <v>9650.873742528458</v>
      </c>
      <c r="I33" s="457">
        <f t="shared" si="19"/>
        <v>0</v>
      </c>
      <c r="J33" s="457">
        <f t="shared" si="19"/>
        <v>338.13094681837072</v>
      </c>
      <c r="K33" s="457">
        <f t="shared" si="19"/>
        <v>0</v>
      </c>
      <c r="L33" s="457">
        <f t="shared" ca="1" si="19"/>
        <v>0</v>
      </c>
      <c r="M33" s="457">
        <f t="shared" si="19"/>
        <v>0</v>
      </c>
      <c r="N33" s="457">
        <f t="shared" ca="1" si="19"/>
        <v>0</v>
      </c>
      <c r="O33" s="457">
        <f t="shared" si="19"/>
        <v>0</v>
      </c>
      <c r="P33" s="457">
        <f t="shared" si="19"/>
        <v>0</v>
      </c>
      <c r="Q33" s="457">
        <f t="shared" ca="1" si="19"/>
        <v>129403.71863541665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1133.756131479083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1133.756131479083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0.21439394725944119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0.21439394725944119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0.21439394725944119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0.21439394725944119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4221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1384</v>
      </c>
      <c r="C14" s="326"/>
      <c r="D14" s="326"/>
      <c r="E14" s="326"/>
      <c r="F14" s="326"/>
    </row>
    <row r="15" spans="1:6">
      <c r="A15" s="1280" t="s">
        <v>177</v>
      </c>
      <c r="B15" s="1281">
        <v>9</v>
      </c>
      <c r="C15" s="326"/>
      <c r="D15" s="326"/>
      <c r="E15" s="326"/>
      <c r="F15" s="326"/>
    </row>
    <row r="16" spans="1:6">
      <c r="A16" s="1280" t="s">
        <v>6</v>
      </c>
      <c r="B16" s="1281">
        <v>322</v>
      </c>
      <c r="C16" s="326"/>
      <c r="D16" s="326"/>
      <c r="E16" s="326"/>
      <c r="F16" s="326"/>
    </row>
    <row r="17" spans="1:6">
      <c r="A17" s="1280" t="s">
        <v>7</v>
      </c>
      <c r="B17" s="1281">
        <v>466</v>
      </c>
      <c r="C17" s="326"/>
      <c r="D17" s="326"/>
      <c r="E17" s="326"/>
      <c r="F17" s="326"/>
    </row>
    <row r="18" spans="1:6">
      <c r="A18" s="1280" t="s">
        <v>8</v>
      </c>
      <c r="B18" s="1281">
        <v>493</v>
      </c>
      <c r="C18" s="326"/>
      <c r="D18" s="326"/>
      <c r="E18" s="326"/>
      <c r="F18" s="326"/>
    </row>
    <row r="19" spans="1:6">
      <c r="A19" s="1280" t="s">
        <v>9</v>
      </c>
      <c r="B19" s="1281">
        <v>453</v>
      </c>
      <c r="C19" s="326"/>
      <c r="D19" s="326"/>
      <c r="E19" s="326"/>
      <c r="F19" s="326"/>
    </row>
    <row r="20" spans="1:6">
      <c r="A20" s="1280" t="s">
        <v>10</v>
      </c>
      <c r="B20" s="1281">
        <v>353</v>
      </c>
      <c r="C20" s="326"/>
      <c r="D20" s="326"/>
      <c r="E20" s="326"/>
      <c r="F20" s="326"/>
    </row>
    <row r="21" spans="1:6">
      <c r="A21" s="1280" t="s">
        <v>11</v>
      </c>
      <c r="B21" s="1281">
        <v>3162</v>
      </c>
      <c r="C21" s="326"/>
      <c r="D21" s="326"/>
      <c r="E21" s="326"/>
      <c r="F21" s="326"/>
    </row>
    <row r="22" spans="1:6">
      <c r="A22" s="1280" t="s">
        <v>12</v>
      </c>
      <c r="B22" s="1281">
        <v>9703</v>
      </c>
      <c r="C22" s="326"/>
      <c r="D22" s="326"/>
      <c r="E22" s="326"/>
      <c r="F22" s="326"/>
    </row>
    <row r="23" spans="1:6">
      <c r="A23" s="1280" t="s">
        <v>13</v>
      </c>
      <c r="B23" s="1281">
        <v>220</v>
      </c>
      <c r="C23" s="326"/>
      <c r="D23" s="326"/>
      <c r="E23" s="326"/>
      <c r="F23" s="326"/>
    </row>
    <row r="24" spans="1:6">
      <c r="A24" s="1280" t="s">
        <v>14</v>
      </c>
      <c r="B24" s="1281">
        <v>9</v>
      </c>
      <c r="C24" s="326"/>
      <c r="D24" s="326"/>
      <c r="E24" s="326"/>
      <c r="F24" s="326"/>
    </row>
    <row r="25" spans="1:6">
      <c r="A25" s="1280" t="s">
        <v>15</v>
      </c>
      <c r="B25" s="1281">
        <v>676</v>
      </c>
      <c r="C25" s="326"/>
      <c r="D25" s="326"/>
      <c r="E25" s="326"/>
      <c r="F25" s="326"/>
    </row>
    <row r="26" spans="1:6">
      <c r="A26" s="1280" t="s">
        <v>16</v>
      </c>
      <c r="B26" s="1281">
        <v>45</v>
      </c>
      <c r="C26" s="326"/>
      <c r="D26" s="326"/>
      <c r="E26" s="326"/>
      <c r="F26" s="326"/>
    </row>
    <row r="27" spans="1:6">
      <c r="A27" s="1280" t="s">
        <v>17</v>
      </c>
      <c r="B27" s="1281">
        <v>0</v>
      </c>
      <c r="C27" s="326"/>
      <c r="D27" s="326"/>
      <c r="E27" s="326"/>
      <c r="F27" s="326"/>
    </row>
    <row r="28" spans="1:6">
      <c r="A28" s="1280" t="s">
        <v>18</v>
      </c>
      <c r="B28" s="1282">
        <v>18556</v>
      </c>
      <c r="C28" s="326"/>
      <c r="D28" s="326"/>
      <c r="E28" s="326"/>
      <c r="F28" s="326"/>
    </row>
    <row r="29" spans="1:6">
      <c r="A29" s="1280" t="s">
        <v>972</v>
      </c>
      <c r="B29" s="1282">
        <v>193</v>
      </c>
      <c r="C29" s="326"/>
      <c r="D29" s="326"/>
      <c r="E29" s="326"/>
      <c r="F29" s="326"/>
    </row>
    <row r="30" spans="1:6">
      <c r="A30" s="1275" t="s">
        <v>973</v>
      </c>
      <c r="B30" s="1283">
        <v>52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12293.706866427699</v>
      </c>
      <c r="E38" s="1281">
        <v>0</v>
      </c>
      <c r="F38" s="1281">
        <v>0</v>
      </c>
    </row>
    <row r="39" spans="1:6">
      <c r="A39" s="1280" t="s">
        <v>29</v>
      </c>
      <c r="B39" s="1280" t="s">
        <v>30</v>
      </c>
      <c r="C39" s="1281">
        <v>2001</v>
      </c>
      <c r="D39" s="1281">
        <v>35426028.2402189</v>
      </c>
      <c r="E39" s="1281">
        <v>4000</v>
      </c>
      <c r="F39" s="1281">
        <v>22072388.184488799</v>
      </c>
    </row>
    <row r="40" spans="1:6">
      <c r="A40" s="1280" t="s">
        <v>29</v>
      </c>
      <c r="B40" s="1280" t="s">
        <v>28</v>
      </c>
      <c r="C40" s="1281">
        <v>0</v>
      </c>
      <c r="D40" s="1281">
        <v>0</v>
      </c>
      <c r="E40" s="1281">
        <v>0</v>
      </c>
      <c r="F40" s="1281">
        <v>0</v>
      </c>
    </row>
    <row r="41" spans="1:6">
      <c r="A41" s="1280" t="s">
        <v>31</v>
      </c>
      <c r="B41" s="1280" t="s">
        <v>32</v>
      </c>
      <c r="C41" s="1281">
        <v>30</v>
      </c>
      <c r="D41" s="1281">
        <v>669645.26376122399</v>
      </c>
      <c r="E41" s="1281">
        <v>81</v>
      </c>
      <c r="F41" s="1281">
        <v>644987.14039054501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3</v>
      </c>
      <c r="F45" s="1281">
        <v>167504.11531385299</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9</v>
      </c>
      <c r="D48" s="1281">
        <v>189341.91405525999</v>
      </c>
      <c r="E48" s="1281">
        <v>27</v>
      </c>
      <c r="F48" s="1281">
        <v>382031.08453218598</v>
      </c>
    </row>
    <row r="49" spans="1:6">
      <c r="A49" s="1280" t="s">
        <v>31</v>
      </c>
      <c r="B49" s="1280" t="s">
        <v>39</v>
      </c>
      <c r="C49" s="1281">
        <v>0</v>
      </c>
      <c r="D49" s="1281">
        <v>0</v>
      </c>
      <c r="E49" s="1281">
        <v>0</v>
      </c>
      <c r="F49" s="1281">
        <v>0</v>
      </c>
    </row>
    <row r="50" spans="1:6">
      <c r="A50" s="1280" t="s">
        <v>31</v>
      </c>
      <c r="B50" s="1280" t="s">
        <v>40</v>
      </c>
      <c r="C50" s="1281">
        <v>4</v>
      </c>
      <c r="D50" s="1281">
        <v>125206.649890995</v>
      </c>
      <c r="E50" s="1281">
        <v>9</v>
      </c>
      <c r="F50" s="1281">
        <v>545635.44748811703</v>
      </c>
    </row>
    <row r="51" spans="1:6">
      <c r="A51" s="1280" t="s">
        <v>41</v>
      </c>
      <c r="B51" s="1280" t="s">
        <v>42</v>
      </c>
      <c r="C51" s="1281">
        <v>0</v>
      </c>
      <c r="D51" s="1281">
        <v>0</v>
      </c>
      <c r="E51" s="1281">
        <v>44</v>
      </c>
      <c r="F51" s="1281">
        <v>731234.93722413003</v>
      </c>
    </row>
    <row r="52" spans="1:6">
      <c r="A52" s="1280" t="s">
        <v>41</v>
      </c>
      <c r="B52" s="1280" t="s">
        <v>28</v>
      </c>
      <c r="C52" s="1281">
        <v>3</v>
      </c>
      <c r="D52" s="1281">
        <v>636728.29687393596</v>
      </c>
      <c r="E52" s="1281">
        <v>5</v>
      </c>
      <c r="F52" s="1281">
        <v>302416.04356084298</v>
      </c>
    </row>
    <row r="53" spans="1:6">
      <c r="A53" s="1280" t="s">
        <v>43</v>
      </c>
      <c r="B53" s="1280" t="s">
        <v>44</v>
      </c>
      <c r="C53" s="1281">
        <v>86</v>
      </c>
      <c r="D53" s="1281">
        <v>2182161.4491182598</v>
      </c>
      <c r="E53" s="1281">
        <v>184</v>
      </c>
      <c r="F53" s="1281">
        <v>1453433.4435765201</v>
      </c>
    </row>
    <row r="54" spans="1:6">
      <c r="A54" s="1280" t="s">
        <v>45</v>
      </c>
      <c r="B54" s="1280" t="s">
        <v>46</v>
      </c>
      <c r="C54" s="1281">
        <v>0</v>
      </c>
      <c r="D54" s="1281">
        <v>0</v>
      </c>
      <c r="E54" s="1281">
        <v>1</v>
      </c>
      <c r="F54" s="1281">
        <v>826529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21</v>
      </c>
      <c r="D57" s="1281">
        <v>285609.82217735198</v>
      </c>
      <c r="E57" s="1281">
        <v>38</v>
      </c>
      <c r="F57" s="1281">
        <v>304184.65878699999</v>
      </c>
    </row>
    <row r="58" spans="1:6">
      <c r="A58" s="1280" t="s">
        <v>48</v>
      </c>
      <c r="B58" s="1280" t="s">
        <v>50</v>
      </c>
      <c r="C58" s="1281">
        <v>7</v>
      </c>
      <c r="D58" s="1281">
        <v>1585977.0646130799</v>
      </c>
      <c r="E58" s="1281">
        <v>17</v>
      </c>
      <c r="F58" s="1281">
        <v>311783.0847296</v>
      </c>
    </row>
    <row r="59" spans="1:6">
      <c r="A59" s="1280" t="s">
        <v>48</v>
      </c>
      <c r="B59" s="1280" t="s">
        <v>51</v>
      </c>
      <c r="C59" s="1281">
        <v>28</v>
      </c>
      <c r="D59" s="1281">
        <v>731001.76852022996</v>
      </c>
      <c r="E59" s="1281">
        <v>95</v>
      </c>
      <c r="F59" s="1281">
        <v>2019809.6789114301</v>
      </c>
    </row>
    <row r="60" spans="1:6">
      <c r="A60" s="1280" t="s">
        <v>48</v>
      </c>
      <c r="B60" s="1280" t="s">
        <v>52</v>
      </c>
      <c r="C60" s="1281">
        <v>32</v>
      </c>
      <c r="D60" s="1281">
        <v>1946807.1542184099</v>
      </c>
      <c r="E60" s="1281">
        <v>51</v>
      </c>
      <c r="F60" s="1281">
        <v>1652157.2691827901</v>
      </c>
    </row>
    <row r="61" spans="1:6">
      <c r="A61" s="1280" t="s">
        <v>48</v>
      </c>
      <c r="B61" s="1280" t="s">
        <v>53</v>
      </c>
      <c r="C61" s="1281">
        <v>74</v>
      </c>
      <c r="D61" s="1281">
        <v>4779130.11029578</v>
      </c>
      <c r="E61" s="1281">
        <v>216</v>
      </c>
      <c r="F61" s="1281">
        <v>3755883.7759058601</v>
      </c>
    </row>
    <row r="62" spans="1:6">
      <c r="A62" s="1280" t="s">
        <v>48</v>
      </c>
      <c r="B62" s="1280" t="s">
        <v>54</v>
      </c>
      <c r="C62" s="1281">
        <v>3</v>
      </c>
      <c r="D62" s="1281">
        <v>454026.59950532502</v>
      </c>
      <c r="E62" s="1281">
        <v>6</v>
      </c>
      <c r="F62" s="1281">
        <v>65410.353862772303</v>
      </c>
    </row>
    <row r="63" spans="1:6">
      <c r="A63" s="1280" t="s">
        <v>48</v>
      </c>
      <c r="B63" s="1280" t="s">
        <v>28</v>
      </c>
      <c r="C63" s="1281">
        <v>86</v>
      </c>
      <c r="D63" s="1281">
        <v>3871142.3787026699</v>
      </c>
      <c r="E63" s="1281">
        <v>95</v>
      </c>
      <c r="F63" s="1281">
        <v>1700770.4757090299</v>
      </c>
    </row>
    <row r="64" spans="1:6">
      <c r="A64" s="1280" t="s">
        <v>55</v>
      </c>
      <c r="B64" s="1280" t="s">
        <v>56</v>
      </c>
      <c r="C64" s="1281">
        <v>0</v>
      </c>
      <c r="D64" s="1281">
        <v>0</v>
      </c>
      <c r="E64" s="1281">
        <v>0</v>
      </c>
      <c r="F64" s="1281">
        <v>0</v>
      </c>
    </row>
    <row r="65" spans="1:6">
      <c r="A65" s="1280" t="s">
        <v>55</v>
      </c>
      <c r="B65" s="1280" t="s">
        <v>28</v>
      </c>
      <c r="C65" s="1281">
        <v>0</v>
      </c>
      <c r="D65" s="1281">
        <v>0</v>
      </c>
      <c r="E65" s="1281">
        <v>4</v>
      </c>
      <c r="F65" s="1281">
        <v>98319.215770820199</v>
      </c>
    </row>
    <row r="66" spans="1:6">
      <c r="A66" s="1280" t="s">
        <v>55</v>
      </c>
      <c r="B66" s="1280" t="s">
        <v>57</v>
      </c>
      <c r="C66" s="1281">
        <v>0</v>
      </c>
      <c r="D66" s="1281">
        <v>0</v>
      </c>
      <c r="E66" s="1281">
        <v>0</v>
      </c>
      <c r="F66" s="1281">
        <v>0</v>
      </c>
    </row>
    <row r="67" spans="1:6">
      <c r="A67" s="1280" t="s">
        <v>55</v>
      </c>
      <c r="B67" s="1280" t="s">
        <v>58</v>
      </c>
      <c r="C67" s="1281">
        <v>0</v>
      </c>
      <c r="D67" s="1281">
        <v>0</v>
      </c>
      <c r="E67" s="1281">
        <v>28</v>
      </c>
      <c r="F67" s="1281">
        <v>611919.57578696101</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39551303</v>
      </c>
      <c r="E73" s="445"/>
      <c r="F73" s="326"/>
    </row>
    <row r="74" spans="1:6">
      <c r="A74" s="1280" t="s">
        <v>63</v>
      </c>
      <c r="B74" s="1280" t="s">
        <v>754</v>
      </c>
      <c r="C74" s="1293" t="s">
        <v>755</v>
      </c>
      <c r="D74" s="1281">
        <v>3174695.340922514</v>
      </c>
      <c r="E74" s="445"/>
      <c r="F74" s="326"/>
    </row>
    <row r="75" spans="1:6">
      <c r="A75" s="1280" t="s">
        <v>64</v>
      </c>
      <c r="B75" s="1280" t="s">
        <v>752</v>
      </c>
      <c r="C75" s="1293" t="s">
        <v>756</v>
      </c>
      <c r="D75" s="1281">
        <v>24680788</v>
      </c>
      <c r="E75" s="445"/>
      <c r="F75" s="326"/>
    </row>
    <row r="76" spans="1:6">
      <c r="A76" s="1280" t="s">
        <v>64</v>
      </c>
      <c r="B76" s="1280" t="s">
        <v>754</v>
      </c>
      <c r="C76" s="1293" t="s">
        <v>757</v>
      </c>
      <c r="D76" s="1281">
        <v>599097.34092251398</v>
      </c>
      <c r="E76" s="445"/>
      <c r="F76" s="326"/>
    </row>
    <row r="77" spans="1:6">
      <c r="A77" s="1280" t="s">
        <v>65</v>
      </c>
      <c r="B77" s="1280" t="s">
        <v>752</v>
      </c>
      <c r="C77" s="1293" t="s">
        <v>758</v>
      </c>
      <c r="D77" s="1281">
        <v>256449983</v>
      </c>
      <c r="E77" s="445"/>
      <c r="F77" s="326"/>
    </row>
    <row r="78" spans="1:6">
      <c r="A78" s="1275" t="s">
        <v>65</v>
      </c>
      <c r="B78" s="1275" t="s">
        <v>754</v>
      </c>
      <c r="C78" s="1275" t="s">
        <v>759</v>
      </c>
      <c r="D78" s="1283">
        <v>60144887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193441.31815497202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985.70427863079078</v>
      </c>
      <c r="C91" s="326"/>
      <c r="D91" s="326"/>
      <c r="E91" s="326"/>
      <c r="F91" s="326"/>
    </row>
    <row r="92" spans="1:6">
      <c r="A92" s="1275" t="s">
        <v>68</v>
      </c>
      <c r="B92" s="1276">
        <v>148.05185284829224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1195</v>
      </c>
      <c r="C97" s="326"/>
      <c r="D97" s="326"/>
      <c r="E97" s="326"/>
      <c r="F97" s="326"/>
    </row>
    <row r="98" spans="1:6">
      <c r="A98" s="1280" t="s">
        <v>71</v>
      </c>
      <c r="B98" s="1281">
        <v>0</v>
      </c>
      <c r="C98" s="326"/>
      <c r="D98" s="326"/>
      <c r="E98" s="326"/>
      <c r="F98" s="326"/>
    </row>
    <row r="99" spans="1:6">
      <c r="A99" s="1280" t="s">
        <v>72</v>
      </c>
      <c r="B99" s="1281">
        <v>80</v>
      </c>
      <c r="C99" s="326"/>
      <c r="D99" s="326"/>
      <c r="E99" s="326"/>
      <c r="F99" s="326"/>
    </row>
    <row r="100" spans="1:6">
      <c r="A100" s="1280" t="s">
        <v>73</v>
      </c>
      <c r="B100" s="1281">
        <v>447</v>
      </c>
      <c r="C100" s="326"/>
      <c r="D100" s="326"/>
      <c r="E100" s="326"/>
      <c r="F100" s="326"/>
    </row>
    <row r="101" spans="1:6">
      <c r="A101" s="1280" t="s">
        <v>74</v>
      </c>
      <c r="B101" s="1281">
        <v>87</v>
      </c>
      <c r="C101" s="326"/>
      <c r="D101" s="326"/>
      <c r="E101" s="326"/>
      <c r="F101" s="326"/>
    </row>
    <row r="102" spans="1:6">
      <c r="A102" s="1280" t="s">
        <v>75</v>
      </c>
      <c r="B102" s="1281">
        <v>66</v>
      </c>
      <c r="C102" s="326"/>
      <c r="D102" s="326"/>
      <c r="E102" s="326"/>
      <c r="F102" s="326"/>
    </row>
    <row r="103" spans="1:6">
      <c r="A103" s="1280" t="s">
        <v>76</v>
      </c>
      <c r="B103" s="1281">
        <v>169</v>
      </c>
      <c r="C103" s="326"/>
      <c r="D103" s="326"/>
      <c r="E103" s="326"/>
      <c r="F103" s="326"/>
    </row>
    <row r="104" spans="1:6">
      <c r="A104" s="1280" t="s">
        <v>77</v>
      </c>
      <c r="B104" s="1281">
        <v>1789</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3</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24</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37928.868402537482</v>
      </c>
      <c r="C3" s="43" t="s">
        <v>163</v>
      </c>
      <c r="D3" s="43"/>
      <c r="E3" s="156"/>
      <c r="F3" s="43"/>
      <c r="G3" s="43"/>
      <c r="H3" s="43"/>
      <c r="I3" s="43"/>
      <c r="J3" s="43"/>
      <c r="K3" s="96"/>
    </row>
    <row r="4" spans="1:11">
      <c r="A4" s="352" t="s">
        <v>164</v>
      </c>
      <c r="B4" s="49">
        <f>IF(ISERROR('SEAP template'!B78+'SEAP template'!C78),0,'SEAP template'!B78+'SEAP template'!C78)</f>
        <v>1133.756131479083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0.21439394725944119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826.529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826.529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0.21439394725944119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177.20281483439868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22072.388184488798</v>
      </c>
      <c r="C5" s="17">
        <f>IF(ISERROR('Eigen informatie GS &amp; warmtenet'!B57),0,'Eigen informatie GS &amp; warmtenet'!B57)</f>
        <v>0</v>
      </c>
      <c r="D5" s="30">
        <f>(SUM(HH_hh_gas_kWh,HH_rest_gas_kWh)/1000)*0.902</f>
        <v>31954.277472677444</v>
      </c>
      <c r="E5" s="17">
        <f>B32*B41</f>
        <v>1115.0223590374444</v>
      </c>
      <c r="F5" s="17">
        <f>B36*B45</f>
        <v>38060.614352483994</v>
      </c>
      <c r="G5" s="18"/>
      <c r="H5" s="17"/>
      <c r="I5" s="17"/>
      <c r="J5" s="17">
        <f>B35*B44+C35*C44</f>
        <v>857.02854063019527</v>
      </c>
      <c r="K5" s="17"/>
      <c r="L5" s="17"/>
      <c r="M5" s="17"/>
      <c r="N5" s="17">
        <f>B34*B43+C34*C43</f>
        <v>5287.8174383518353</v>
      </c>
      <c r="O5" s="17">
        <f>B52*B53*B54</f>
        <v>42.21</v>
      </c>
      <c r="P5" s="17">
        <f>B60*B61*B62/1000-B60*B61*B62/1000/B63</f>
        <v>190.66666666666669</v>
      </c>
    </row>
    <row r="6" spans="1:16">
      <c r="A6" s="16" t="s">
        <v>615</v>
      </c>
      <c r="B6" s="766">
        <f>kWh_PV_kleiner_dan_10kW</f>
        <v>985.70427863079078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23058.092463119589</v>
      </c>
      <c r="C8" s="21">
        <f>C5</f>
        <v>0</v>
      </c>
      <c r="D8" s="21">
        <f>D5</f>
        <v>31954.277472677444</v>
      </c>
      <c r="E8" s="21">
        <f>E5</f>
        <v>1115.0223590374444</v>
      </c>
      <c r="F8" s="21">
        <f>F5</f>
        <v>38060.614352483994</v>
      </c>
      <c r="G8" s="21"/>
      <c r="H8" s="21"/>
      <c r="I8" s="21"/>
      <c r="J8" s="21">
        <f>J5</f>
        <v>857.02854063019527</v>
      </c>
      <c r="K8" s="21"/>
      <c r="L8" s="21">
        <f>L5</f>
        <v>0</v>
      </c>
      <c r="M8" s="21">
        <f>M5</f>
        <v>0</v>
      </c>
      <c r="N8" s="21">
        <f>N5</f>
        <v>5287.8174383518353</v>
      </c>
      <c r="O8" s="21">
        <f>O5</f>
        <v>42.21</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0.21439394725944119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4943.5154594413798</v>
      </c>
      <c r="C12" s="23">
        <f ca="1">C10*C8</f>
        <v>0</v>
      </c>
      <c r="D12" s="23">
        <f>D8*D10</f>
        <v>6454.7640494808438</v>
      </c>
      <c r="E12" s="23">
        <f>E10*E8</f>
        <v>253.11007550149989</v>
      </c>
      <c r="F12" s="23">
        <f>F10*F8</f>
        <v>10162.184032113228</v>
      </c>
      <c r="G12" s="23"/>
      <c r="H12" s="23"/>
      <c r="I12" s="23"/>
      <c r="J12" s="23">
        <f>J10*J8</f>
        <v>303.38810338308912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4221</v>
      </c>
      <c r="C26" s="36"/>
      <c r="D26" s="226"/>
    </row>
    <row r="27" spans="1:5" s="15" customFormat="1">
      <c r="A27" s="228" t="s">
        <v>695</v>
      </c>
      <c r="B27" s="37">
        <f>SUM(HH_hh_gas_aantal,HH_rest_gas_aantal)</f>
        <v>2001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1900.95</v>
      </c>
      <c r="C31" s="34" t="s">
        <v>104</v>
      </c>
      <c r="D31" s="172"/>
    </row>
    <row r="32" spans="1:5">
      <c r="A32" s="169" t="s">
        <v>72</v>
      </c>
      <c r="B32" s="33">
        <f>IF((B21*($B$26-($B$27-0.05*$B$27)-$B$60))&lt;0,0,B21*($B$26-($B$27-0.05*$B$27)-$B$60))</f>
        <v>16.377258062976832</v>
      </c>
      <c r="C32" s="34" t="s">
        <v>104</v>
      </c>
      <c r="D32" s="172"/>
    </row>
    <row r="33" spans="1:6">
      <c r="A33" s="169" t="s">
        <v>73</v>
      </c>
      <c r="B33" s="33">
        <f>IF((B22*($B$26-($B$27-0.05*$B$27)-$B$60))&lt;0,0,B22*($B$26-($B$27-0.05*$B$27)-$B$60))</f>
        <v>469.36998788654023</v>
      </c>
      <c r="C33" s="34" t="s">
        <v>104</v>
      </c>
      <c r="D33" s="172"/>
    </row>
    <row r="34" spans="1:6">
      <c r="A34" s="169" t="s">
        <v>74</v>
      </c>
      <c r="B34" s="33">
        <f>IF((B24*($B$26-($B$27-0.05*$B$27)-$B$60))&lt;0,0,B24*($B$26-($B$27-0.05*$B$27)-$B$60))</f>
        <v>93.597336036385983</v>
      </c>
      <c r="C34" s="33">
        <f>B26*C24</f>
        <v>863.10001177532672</v>
      </c>
      <c r="D34" s="231"/>
    </row>
    <row r="35" spans="1:6">
      <c r="A35" s="169" t="s">
        <v>76</v>
      </c>
      <c r="B35" s="33">
        <f>IF((B19*($B$26-($B$27-0.05*$B$27)-$B$60))&lt;0,0,B19*($B$26-($B$27-0.05*$B$27)-$B$60))</f>
        <v>48.741839473145347</v>
      </c>
      <c r="C35" s="33">
        <f>B35/2</f>
        <v>24.370919736572674</v>
      </c>
      <c r="D35" s="231"/>
    </row>
    <row r="36" spans="1:6">
      <c r="A36" s="169" t="s">
        <v>77</v>
      </c>
      <c r="B36" s="33">
        <f>IF((B18*($B$26-($B$27-0.05*$B$27)-$B$60))&lt;0,0,B18*($B$26-($B$27-0.05*$B$27)-$B$60))</f>
        <v>1681.9635785409519</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9809.9992970884814</v>
      </c>
      <c r="C5" s="17">
        <f>IF(ISERROR('Eigen informatie GS &amp; warmtenet'!B58),0,'Eigen informatie GS &amp; warmtenet'!B58)</f>
        <v>0</v>
      </c>
      <c r="D5" s="30">
        <f>SUM(D6:D12)</f>
        <v>12315.632798025628</v>
      </c>
      <c r="E5" s="17">
        <f>SUM(E6:E12)</f>
        <v>273.55375369541036</v>
      </c>
      <c r="F5" s="17">
        <f>SUM(F6:F12)</f>
        <v>1709.0689508317594</v>
      </c>
      <c r="G5" s="18"/>
      <c r="H5" s="17"/>
      <c r="I5" s="17"/>
      <c r="J5" s="17">
        <f>SUM(J6:J12)</f>
        <v>0</v>
      </c>
      <c r="K5" s="17"/>
      <c r="L5" s="17"/>
      <c r="M5" s="17"/>
      <c r="N5" s="17">
        <f>SUM(N6:N12)</f>
        <v>151.21032853890495</v>
      </c>
      <c r="O5" s="17">
        <f>B38*B39*B40</f>
        <v>1.5633333333333335</v>
      </c>
      <c r="P5" s="17">
        <f>B46*B47*B48/1000-B46*B47*B48/1000/B49</f>
        <v>19.066666666666666</v>
      </c>
      <c r="R5" s="32"/>
    </row>
    <row r="6" spans="1:18">
      <c r="A6" s="32" t="s">
        <v>53</v>
      </c>
      <c r="B6" s="37">
        <f>B26</f>
        <v>3755.8837759058601</v>
      </c>
      <c r="C6" s="33"/>
      <c r="D6" s="37">
        <f>IF(ISERROR(TER_kantoor_gas_kWh/1000),0,TER_kantoor_gas_kWh/1000)*0.902</f>
        <v>4310.7753594867936</v>
      </c>
      <c r="E6" s="33">
        <f>$C$26*'E Balans VL '!I12/100/3.6*1000000</f>
        <v>131.47070685187094</v>
      </c>
      <c r="F6" s="33">
        <f>$C$26*('E Balans VL '!L12+'E Balans VL '!N12)/100/3.6*1000000</f>
        <v>569.47261846181686</v>
      </c>
      <c r="G6" s="34"/>
      <c r="H6" s="33"/>
      <c r="I6" s="33"/>
      <c r="J6" s="33">
        <f>$C$26*('E Balans VL '!D12+'E Balans VL '!E12)/100/3.6*1000000</f>
        <v>0</v>
      </c>
      <c r="K6" s="33"/>
      <c r="L6" s="33"/>
      <c r="M6" s="33"/>
      <c r="N6" s="33">
        <f>$C$26*'E Balans VL '!Y12/100/3.6*1000000</f>
        <v>29.031806028483288</v>
      </c>
      <c r="O6" s="33"/>
      <c r="P6" s="33"/>
      <c r="R6" s="32"/>
    </row>
    <row r="7" spans="1:18">
      <c r="A7" s="32" t="s">
        <v>52</v>
      </c>
      <c r="B7" s="37">
        <f t="shared" ref="B7:B12" si="0">B27</f>
        <v>1652.1572691827901</v>
      </c>
      <c r="C7" s="33"/>
      <c r="D7" s="37">
        <f>IF(ISERROR(TER_horeca_gas_kWh/1000),0,TER_horeca_gas_kWh/1000)*0.902</f>
        <v>1756.0200531050059</v>
      </c>
      <c r="E7" s="33">
        <f>$C$27*'E Balans VL '!I9/100/3.6*1000000</f>
        <v>93.2036383233918</v>
      </c>
      <c r="F7" s="33">
        <f>$C$27*('E Balans VL '!L9+'E Balans VL '!N9)/100/3.6*1000000</f>
        <v>287.81493944736229</v>
      </c>
      <c r="G7" s="34"/>
      <c r="H7" s="33"/>
      <c r="I7" s="33"/>
      <c r="J7" s="33">
        <f>$C$27*('E Balans VL '!D9+'E Balans VL '!E9)/100/3.6*1000000</f>
        <v>0</v>
      </c>
      <c r="K7" s="33"/>
      <c r="L7" s="33"/>
      <c r="M7" s="33"/>
      <c r="N7" s="33">
        <f>$C$27*'E Balans VL '!Y9/100/3.6*1000000</f>
        <v>0</v>
      </c>
      <c r="O7" s="33"/>
      <c r="P7" s="33"/>
      <c r="R7" s="32"/>
    </row>
    <row r="8" spans="1:18">
      <c r="A8" s="6" t="s">
        <v>51</v>
      </c>
      <c r="B8" s="37">
        <f t="shared" si="0"/>
        <v>2019.80967891143</v>
      </c>
      <c r="C8" s="33"/>
      <c r="D8" s="37">
        <f>IF(ISERROR(TER_handel_gas_kWh/1000),0,TER_handel_gas_kWh/1000)*0.902</f>
        <v>659.36359520524741</v>
      </c>
      <c r="E8" s="33">
        <f>$C$28*'E Balans VL '!I13/100/3.6*1000000</f>
        <v>10.369497681844136</v>
      </c>
      <c r="F8" s="33">
        <f>$C$28*('E Balans VL '!L13+'E Balans VL '!N13)/100/3.6*1000000</f>
        <v>311.42344322483257</v>
      </c>
      <c r="G8" s="34"/>
      <c r="H8" s="33"/>
      <c r="I8" s="33"/>
      <c r="J8" s="33">
        <f>$C$28*('E Balans VL '!D13+'E Balans VL '!E13)/100/3.6*1000000</f>
        <v>0</v>
      </c>
      <c r="K8" s="33"/>
      <c r="L8" s="33"/>
      <c r="M8" s="33"/>
      <c r="N8" s="33">
        <f>$C$28*'E Balans VL '!Y13/100/3.6*1000000</f>
        <v>0.94468964192267513</v>
      </c>
      <c r="O8" s="33"/>
      <c r="P8" s="33"/>
      <c r="R8" s="32"/>
    </row>
    <row r="9" spans="1:18">
      <c r="A9" s="32" t="s">
        <v>50</v>
      </c>
      <c r="B9" s="37">
        <f t="shared" si="0"/>
        <v>311.78308472959998</v>
      </c>
      <c r="C9" s="33"/>
      <c r="D9" s="37">
        <f>IF(ISERROR(TER_gezond_gas_kWh/1000),0,TER_gezond_gas_kWh/1000)*0.902</f>
        <v>1430.551312280998</v>
      </c>
      <c r="E9" s="33">
        <f>$C$29*'E Balans VL '!I10/100/3.6*1000000</f>
        <v>0.12923186818086982</v>
      </c>
      <c r="F9" s="33">
        <f>$C$29*('E Balans VL '!L10+'E Balans VL '!N10)/100/3.6*1000000</f>
        <v>76.787702202991966</v>
      </c>
      <c r="G9" s="34"/>
      <c r="H9" s="33"/>
      <c r="I9" s="33"/>
      <c r="J9" s="33">
        <f>$C$29*('E Balans VL '!D10+'E Balans VL '!E10)/100/3.6*1000000</f>
        <v>0</v>
      </c>
      <c r="K9" s="33"/>
      <c r="L9" s="33"/>
      <c r="M9" s="33"/>
      <c r="N9" s="33">
        <f>$C$29*'E Balans VL '!Y10/100/3.6*1000000</f>
        <v>2.6945775542080774</v>
      </c>
      <c r="O9" s="33"/>
      <c r="P9" s="33"/>
      <c r="R9" s="32"/>
    </row>
    <row r="10" spans="1:18">
      <c r="A10" s="32" t="s">
        <v>49</v>
      </c>
      <c r="B10" s="37">
        <f t="shared" si="0"/>
        <v>304.18465878699999</v>
      </c>
      <c r="C10" s="33"/>
      <c r="D10" s="37">
        <f>IF(ISERROR(TER_ander_gas_kWh/1000),0,TER_ander_gas_kWh/1000)*0.902</f>
        <v>257.62005960397153</v>
      </c>
      <c r="E10" s="33">
        <f>$C$30*'E Balans VL '!I14/100/3.6*1000000</f>
        <v>1.8543171850216078</v>
      </c>
      <c r="F10" s="33">
        <f>$C$30*('E Balans VL '!L14+'E Balans VL '!N14)/100/3.6*1000000</f>
        <v>80.643519901591958</v>
      </c>
      <c r="G10" s="34"/>
      <c r="H10" s="33"/>
      <c r="I10" s="33"/>
      <c r="J10" s="33">
        <f>$C$30*('E Balans VL '!D14+'E Balans VL '!E14)/100/3.6*1000000</f>
        <v>0</v>
      </c>
      <c r="K10" s="33"/>
      <c r="L10" s="33"/>
      <c r="M10" s="33"/>
      <c r="N10" s="33">
        <f>$C$30*'E Balans VL '!Y14/100/3.6*1000000</f>
        <v>70.107990903723703</v>
      </c>
      <c r="O10" s="33"/>
      <c r="P10" s="33"/>
      <c r="R10" s="32"/>
    </row>
    <row r="11" spans="1:18">
      <c r="A11" s="32" t="s">
        <v>54</v>
      </c>
      <c r="B11" s="37">
        <f t="shared" si="0"/>
        <v>65.410353862772297</v>
      </c>
      <c r="C11" s="33"/>
      <c r="D11" s="37">
        <f>IF(ISERROR(TER_onderwijs_gas_kWh/1000),0,TER_onderwijs_gas_kWh/1000)*0.902</f>
        <v>409.53199275380319</v>
      </c>
      <c r="E11" s="33">
        <f>$C$31*'E Balans VL '!I11/100/3.6*1000000</f>
        <v>4.9846095596539755E-2</v>
      </c>
      <c r="F11" s="33">
        <f>$C$31*('E Balans VL '!L11+'E Balans VL '!N11)/100/3.6*1000000</f>
        <v>47.334516691642655</v>
      </c>
      <c r="G11" s="34"/>
      <c r="H11" s="33"/>
      <c r="I11" s="33"/>
      <c r="J11" s="33">
        <f>$C$31*('E Balans VL '!D11+'E Balans VL '!E11)/100/3.6*1000000</f>
        <v>0</v>
      </c>
      <c r="K11" s="33"/>
      <c r="L11" s="33"/>
      <c r="M11" s="33"/>
      <c r="N11" s="33">
        <f>$C$31*'E Balans VL '!Y11/100/3.6*1000000</f>
        <v>0.192779945623303</v>
      </c>
      <c r="O11" s="33"/>
      <c r="P11" s="33"/>
      <c r="R11" s="32"/>
    </row>
    <row r="12" spans="1:18">
      <c r="A12" s="32" t="s">
        <v>249</v>
      </c>
      <c r="B12" s="37">
        <f t="shared" si="0"/>
        <v>1700.7704757090301</v>
      </c>
      <c r="C12" s="33"/>
      <c r="D12" s="37">
        <f>IF(ISERROR(TER_rest_gas_kWh/1000),0,TER_rest_gas_kWh/1000)*0.902</f>
        <v>3491.7704255898084</v>
      </c>
      <c r="E12" s="33">
        <f>$C$32*'E Balans VL '!I8/100/3.6*1000000</f>
        <v>36.476515689504424</v>
      </c>
      <c r="F12" s="33">
        <f>$C$32*('E Balans VL '!L8+'E Balans VL '!N8)/100/3.6*1000000</f>
        <v>335.59221090152101</v>
      </c>
      <c r="G12" s="34"/>
      <c r="H12" s="33"/>
      <c r="I12" s="33"/>
      <c r="J12" s="33">
        <f>$C$32*('E Balans VL '!D8+'E Balans VL '!E8)/100/3.6*1000000</f>
        <v>0</v>
      </c>
      <c r="K12" s="33"/>
      <c r="L12" s="33"/>
      <c r="M12" s="33"/>
      <c r="N12" s="33">
        <f>$C$32*'E Balans VL '!Y8/100/3.6*1000000</f>
        <v>48.23848446494388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9809.9992970884814</v>
      </c>
      <c r="C16" s="21">
        <f ca="1">C5+C13+C14</f>
        <v>0</v>
      </c>
      <c r="D16" s="21">
        <f t="shared" ref="D16:N16" ca="1" si="1">MAX((D5+D13+D14),0)</f>
        <v>12315.632798025628</v>
      </c>
      <c r="E16" s="21">
        <f t="shared" si="1"/>
        <v>273.55375369541036</v>
      </c>
      <c r="F16" s="21">
        <f t="shared" ca="1" si="1"/>
        <v>1709.0689508317594</v>
      </c>
      <c r="G16" s="21">
        <f t="shared" si="1"/>
        <v>0</v>
      </c>
      <c r="H16" s="21">
        <f t="shared" si="1"/>
        <v>0</v>
      </c>
      <c r="I16" s="21">
        <f t="shared" si="1"/>
        <v>0</v>
      </c>
      <c r="J16" s="21">
        <f t="shared" si="1"/>
        <v>0</v>
      </c>
      <c r="K16" s="21">
        <f t="shared" si="1"/>
        <v>0</v>
      </c>
      <c r="L16" s="21">
        <f t="shared" ca="1" si="1"/>
        <v>0</v>
      </c>
      <c r="M16" s="21">
        <f t="shared" si="1"/>
        <v>0</v>
      </c>
      <c r="N16" s="21">
        <f t="shared" ca="1" si="1"/>
        <v>151.21032853890495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0.21439394725944119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2103.2044719151431</v>
      </c>
      <c r="C20" s="23">
        <f t="shared" ref="C20:P20" ca="1" si="2">C16*C18</f>
        <v>0</v>
      </c>
      <c r="D20" s="23">
        <f t="shared" ca="1" si="2"/>
        <v>2487.7578252011772</v>
      </c>
      <c r="E20" s="23">
        <f t="shared" si="2"/>
        <v>62.096702088858152</v>
      </c>
      <c r="F20" s="23">
        <f t="shared" ca="1" si="2"/>
        <v>456.32140987207976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3755.8837759058601</v>
      </c>
      <c r="C26" s="39">
        <f>IF(ISERROR(B26*3.6/1000000/'E Balans VL '!Z12*100),0,B26*3.6/1000000/'E Balans VL '!Z12*100)</f>
        <v>7.9036345399543101E-2</v>
      </c>
      <c r="D26" s="234" t="s">
        <v>700</v>
      </c>
      <c r="F26" s="6"/>
    </row>
    <row r="27" spans="1:18">
      <c r="A27" s="229" t="s">
        <v>52</v>
      </c>
      <c r="B27" s="33">
        <f>IF(ISERROR(TER_horeca_ele_kWh/1000),0,TER_horeca_ele_kWh/1000)</f>
        <v>1652.1572691827901</v>
      </c>
      <c r="C27" s="39">
        <f>IF(ISERROR(B27*3.6/1000000/'E Balans VL '!Z9*100),0,B27*3.6/1000000/'E Balans VL '!Z9*100)</f>
        <v>0.13988351346277308</v>
      </c>
      <c r="D27" s="234" t="s">
        <v>700</v>
      </c>
      <c r="F27" s="6"/>
    </row>
    <row r="28" spans="1:18">
      <c r="A28" s="169" t="s">
        <v>51</v>
      </c>
      <c r="B28" s="33">
        <f>IF(ISERROR(TER_handel_ele_kWh/1000),0,TER_handel_ele_kWh/1000)</f>
        <v>2019.80967891143</v>
      </c>
      <c r="C28" s="39">
        <f>IF(ISERROR(B28*3.6/1000000/'E Balans VL '!Z13*100),0,B28*3.6/1000000/'E Balans VL '!Z13*100)</f>
        <v>5.5918151663308026E-2</v>
      </c>
      <c r="D28" s="234" t="s">
        <v>700</v>
      </c>
      <c r="F28" s="6"/>
    </row>
    <row r="29" spans="1:18">
      <c r="A29" s="229" t="s">
        <v>50</v>
      </c>
      <c r="B29" s="33">
        <f>IF(ISERROR(TER_gezond_ele_kWh/1000),0,TER_gezond_ele_kWh/1000)</f>
        <v>311.78308472959998</v>
      </c>
      <c r="C29" s="39">
        <f>IF(ISERROR(B29*3.6/1000000/'E Balans VL '!Z10*100),0,B29*3.6/1000000/'E Balans VL '!Z10*100)</f>
        <v>4.0528344496359246E-2</v>
      </c>
      <c r="D29" s="234" t="s">
        <v>700</v>
      </c>
      <c r="F29" s="6"/>
    </row>
    <row r="30" spans="1:18">
      <c r="A30" s="229" t="s">
        <v>49</v>
      </c>
      <c r="B30" s="33">
        <f>IF(ISERROR(TER_ander_ele_kWh/1000),0,TER_ander_ele_kWh/1000)</f>
        <v>304.18465878699999</v>
      </c>
      <c r="C30" s="39">
        <f>IF(ISERROR(B30*3.6/1000000/'E Balans VL '!Z14*100),0,B30*3.6/1000000/'E Balans VL '!Z14*100)</f>
        <v>2.3577100642412925E-2</v>
      </c>
      <c r="D30" s="234" t="s">
        <v>700</v>
      </c>
      <c r="F30" s="6"/>
    </row>
    <row r="31" spans="1:18">
      <c r="A31" s="229" t="s">
        <v>54</v>
      </c>
      <c r="B31" s="33">
        <f>IF(ISERROR(TER_onderwijs_ele_kWh/1000),0,TER_onderwijs_ele_kWh/1000)</f>
        <v>65.410353862772297</v>
      </c>
      <c r="C31" s="39">
        <f>IF(ISERROR(B31*3.6/1000000/'E Balans VL '!Z11*100),0,B31*3.6/1000000/'E Balans VL '!Z11*100)</f>
        <v>1.2514115262791498E-2</v>
      </c>
      <c r="D31" s="234" t="s">
        <v>700</v>
      </c>
    </row>
    <row r="32" spans="1:18">
      <c r="A32" s="229" t="s">
        <v>249</v>
      </c>
      <c r="B32" s="33">
        <f>IF(ISERROR(TER_rest_ele_kWh/1000),0,TER_rest_ele_kWh/1000)</f>
        <v>1700.7704757090301</v>
      </c>
      <c r="C32" s="39">
        <f>IF(ISERROR(B32*3.6/1000000/'E Balans VL '!Z8*100),0,B32*3.6/1000000/'E Balans VL '!Z8*100)</f>
        <v>1.4024158620338754E-2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1740.1577877247012</v>
      </c>
      <c r="C5" s="17">
        <f>IF(ISERROR('Eigen informatie GS &amp; warmtenet'!B59),0,'Eigen informatie GS &amp; warmtenet'!B59)</f>
        <v>0</v>
      </c>
      <c r="D5" s="30">
        <f>SUM(D6:D15)</f>
        <v>887.7428325921461</v>
      </c>
      <c r="E5" s="17">
        <f>SUM(E6:E15)</f>
        <v>23.413887053549498</v>
      </c>
      <c r="F5" s="17">
        <f>SUM(F6:F15)</f>
        <v>686.41227234443431</v>
      </c>
      <c r="G5" s="18"/>
      <c r="H5" s="17"/>
      <c r="I5" s="17"/>
      <c r="J5" s="17">
        <f>SUM(J6:J15)</f>
        <v>5.8293281675016511</v>
      </c>
      <c r="K5" s="17"/>
      <c r="L5" s="17"/>
      <c r="M5" s="17"/>
      <c r="N5" s="17">
        <f>SUM(N6:N15)</f>
        <v>62.661088100304696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644.98714039054505</v>
      </c>
      <c r="C9" s="33"/>
      <c r="D9" s="37">
        <f>IF( ISERROR(IND_andere_gas_kWh/1000),0,IND_andere_gas_kWh/1000)*0.902</f>
        <v>604.02002791262407</v>
      </c>
      <c r="E9" s="33">
        <f>C31*'E Balans VL '!I19/100/3.6*1000000</f>
        <v>10.833349157333773</v>
      </c>
      <c r="F9" s="33">
        <f>C31*'E Balans VL '!L19/100/3.6*1000000+C31*'E Balans VL '!N19/100/3.6*1000000</f>
        <v>504.21421063277904</v>
      </c>
      <c r="G9" s="34"/>
      <c r="H9" s="33"/>
      <c r="I9" s="33"/>
      <c r="J9" s="40">
        <f>C31*'E Balans VL '!D19/100/3.6*1000000+C31*'E Balans VL '!E19/100/3.6*1000000</f>
        <v>5.8172146513474535E-2</v>
      </c>
      <c r="K9" s="33"/>
      <c r="L9" s="33"/>
      <c r="M9" s="33"/>
      <c r="N9" s="33">
        <f>C31*'E Balans VL '!Y19/100/3.6*1000000</f>
        <v>47.80389501060543</v>
      </c>
      <c r="O9" s="33"/>
      <c r="P9" s="33"/>
      <c r="R9" s="32"/>
    </row>
    <row r="10" spans="1:18">
      <c r="A10" s="6" t="s">
        <v>40</v>
      </c>
      <c r="B10" s="37">
        <f t="shared" si="0"/>
        <v>545.63544748811705</v>
      </c>
      <c r="C10" s="33"/>
      <c r="D10" s="37">
        <f>IF( ISERROR(IND_voed_gas_kWh/1000),0,IND_voed_gas_kWh/1000)*0.902</f>
        <v>112.93639820167749</v>
      </c>
      <c r="E10" s="33">
        <f>C32*'E Balans VL '!I20/100/3.6*1000000</f>
        <v>4.9781510840822776</v>
      </c>
      <c r="F10" s="33">
        <f>C32*'E Balans VL '!L20/100/3.6*1000000+C32*'E Balans VL '!N20/100/3.6*1000000</f>
        <v>88.028064157865657</v>
      </c>
      <c r="G10" s="34"/>
      <c r="H10" s="33"/>
      <c r="I10" s="33"/>
      <c r="J10" s="40">
        <f>C32*'E Balans VL '!D20/100/3.6*1000000+C32*'E Balans VL '!E20/100/3.6*1000000</f>
        <v>2.2472845086716755</v>
      </c>
      <c r="K10" s="33"/>
      <c r="L10" s="33"/>
      <c r="M10" s="33"/>
      <c r="N10" s="33">
        <f>C32*'E Balans VL '!Y20/100/3.6*1000000</f>
        <v>7.982216351125504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167.50411531385299</v>
      </c>
      <c r="C12" s="33"/>
      <c r="D12" s="37">
        <f>IF( ISERROR(IND_min_gas_kWh/1000),0,IND_min_gas_kWh/1000)*0.902</f>
        <v>0</v>
      </c>
      <c r="E12" s="33">
        <f>C34*'E Balans VL '!I22/100/3.6*1000000</f>
        <v>4.1546466237555641</v>
      </c>
      <c r="F12" s="33">
        <f>C34*'E Balans VL '!L22/100/3.6*1000000+C34*'E Balans VL '!N22/100/3.6*1000000</f>
        <v>17.798916103374602</v>
      </c>
      <c r="G12" s="34"/>
      <c r="H12" s="33"/>
      <c r="I12" s="33"/>
      <c r="J12" s="40">
        <f>C34*'E Balans VL '!D22/100/3.6*1000000+C34*'E Balans VL '!E22/100/3.6*1000000</f>
        <v>0.95152166006625505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382.03108453218596</v>
      </c>
      <c r="C15" s="33"/>
      <c r="D15" s="37">
        <f>IF( ISERROR(IND_rest_gas_kWh/1000),0,IND_rest_gas_kWh/1000)*0.902</f>
        <v>170.78640647784451</v>
      </c>
      <c r="E15" s="33">
        <f>C37*'E Balans VL '!I15/100/3.6*1000000</f>
        <v>3.4477401883778827</v>
      </c>
      <c r="F15" s="33">
        <f>C37*'E Balans VL '!L15/100/3.6*1000000+C37*'E Balans VL '!N15/100/3.6*1000000</f>
        <v>76.371081450415019</v>
      </c>
      <c r="G15" s="34"/>
      <c r="H15" s="33"/>
      <c r="I15" s="33"/>
      <c r="J15" s="40">
        <f>C37*'E Balans VL '!D15/100/3.6*1000000+C37*'E Balans VL '!E15/100/3.6*1000000</f>
        <v>2.5723498522502459</v>
      </c>
      <c r="K15" s="33"/>
      <c r="L15" s="33"/>
      <c r="M15" s="33"/>
      <c r="N15" s="33">
        <f>C37*'E Balans VL '!Y15/100/3.6*1000000</f>
        <v>6.8749767385737623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1740.1577877247012</v>
      </c>
      <c r="C18" s="21">
        <f>C5+C16</f>
        <v>0</v>
      </c>
      <c r="D18" s="21">
        <f>MAX((D5+D16),0)</f>
        <v>887.7428325921461</v>
      </c>
      <c r="E18" s="21">
        <f>MAX((E5+E16),0)</f>
        <v>23.413887053549498</v>
      </c>
      <c r="F18" s="21">
        <f>MAX((F5+F16),0)</f>
        <v>686.41227234443431</v>
      </c>
      <c r="G18" s="21"/>
      <c r="H18" s="21"/>
      <c r="I18" s="21"/>
      <c r="J18" s="21">
        <f>MAX((J5+J16),0)</f>
        <v>5.8293281675016511</v>
      </c>
      <c r="K18" s="21"/>
      <c r="L18" s="21">
        <f>MAX((L5+L16),0)</f>
        <v>0</v>
      </c>
      <c r="M18" s="21"/>
      <c r="N18" s="21">
        <f>MAX((N5+N16),0)</f>
        <v>62.661088100304696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0.21439394725944119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373.07929696455545</v>
      </c>
      <c r="C22" s="23">
        <f ca="1">C18*C20</f>
        <v>0</v>
      </c>
      <c r="D22" s="23">
        <f>D18*D20</f>
        <v>179.32405218361353</v>
      </c>
      <c r="E22" s="23">
        <f>E18*E20</f>
        <v>5.3149523611557363</v>
      </c>
      <c r="F22" s="23">
        <f>F18*F20</f>
        <v>183.27207671596398</v>
      </c>
      <c r="G22" s="23"/>
      <c r="H22" s="23"/>
      <c r="I22" s="23"/>
      <c r="J22" s="23">
        <f>J18*J20</f>
        <v>2.0635821712955842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644.98714039054505</v>
      </c>
      <c r="C31" s="39">
        <f>IF(ISERROR(B31*3.6/1000000/'E Balans VL '!Z19*100),0,B31*3.6/1000000/'E Balans VL '!Z19*100)</f>
        <v>2.8589723883755407E-2</v>
      </c>
      <c r="D31" s="234" t="s">
        <v>700</v>
      </c>
    </row>
    <row r="32" spans="1:18">
      <c r="A32" s="169" t="s">
        <v>40</v>
      </c>
      <c r="B32" s="37">
        <f>IF( ISERROR(IND_voed_ele_kWh/1000),0,IND_voed_ele_kWh/1000)</f>
        <v>545.63544748811705</v>
      </c>
      <c r="C32" s="39">
        <f>IF(ISERROR(B32*3.6/1000000/'E Balans VL '!Z20*100),0,B32*3.6/1000000/'E Balans VL '!Z20*100)</f>
        <v>1.8225789171622181E-2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167.50411531385299</v>
      </c>
      <c r="C34" s="39">
        <f>IF(ISERROR(B34*3.6/1000000/'E Balans VL '!Z22*100),0,B34*3.6/1000000/'E Balans VL '!Z22*100)</f>
        <v>3.2577710500425523E-2</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382.03108453218596</v>
      </c>
      <c r="C37" s="39">
        <f>IF(ISERROR(B37*3.6/1000000/'E Balans VL '!Z15*100),0,B37*3.6/1000000/'E Balans VL '!Z15*100)</f>
        <v>2.8416888870446853E-3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1033.6509807849729</v>
      </c>
      <c r="C5" s="17">
        <f>'Eigen informatie GS &amp; warmtenet'!B60</f>
        <v>0</v>
      </c>
      <c r="D5" s="30">
        <f>IF(ISERROR(SUM(LB_lb_gas_kWh,LB_rest_gas_kWh)/1000),0,SUM(LB_lb_gas_kWh,LB_rest_gas_kWh)/1000)*0.902</f>
        <v>574.32892378029021</v>
      </c>
      <c r="E5" s="17">
        <f>B17*'E Balans VL '!I25/3.6*1000000/100</f>
        <v>10.824616847092031</v>
      </c>
      <c r="F5" s="17">
        <f>B17*('E Balans VL '!L25/3.6*1000000+'E Balans VL '!N25/3.6*1000000)/100</f>
        <v>4424.8116057006891</v>
      </c>
      <c r="G5" s="18"/>
      <c r="H5" s="17"/>
      <c r="I5" s="17"/>
      <c r="J5" s="17">
        <f>('E Balans VL '!D25+'E Balans VL '!E25)/3.6*1000000*landbouw!B17/100</f>
        <v>92.31429735589272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1033.6509807849729</v>
      </c>
      <c r="C8" s="21">
        <f>C5+C6</f>
        <v>0</v>
      </c>
      <c r="D8" s="21">
        <f>MAX((D5+D6),0)</f>
        <v>574.32892378029021</v>
      </c>
      <c r="E8" s="21">
        <f>MAX((E5+E6),0)</f>
        <v>10.824616847092031</v>
      </c>
      <c r="F8" s="21">
        <f>MAX((F5+F6),0)</f>
        <v>4424.8116057006891</v>
      </c>
      <c r="G8" s="21"/>
      <c r="H8" s="21"/>
      <c r="I8" s="21"/>
      <c r="J8" s="21">
        <f>MAX((J5+J6),0)</f>
        <v>92.31429735589272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0.21439394725944119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221.60851385908316</v>
      </c>
      <c r="C12" s="23">
        <f ca="1">C8*C10</f>
        <v>0</v>
      </c>
      <c r="D12" s="23">
        <f>D8*D10</f>
        <v>116.01444260361863</v>
      </c>
      <c r="E12" s="23">
        <f>E8*E10</f>
        <v>2.4571880242898909</v>
      </c>
      <c r="F12" s="23">
        <f>F8*F10</f>
        <v>1181.424698722084</v>
      </c>
      <c r="G12" s="23"/>
      <c r="H12" s="23"/>
      <c r="I12" s="23"/>
      <c r="J12" s="23">
        <f>J8*J10</f>
        <v>32.679261263986021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0.15909883909404768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148.83619122148565</v>
      </c>
      <c r="C26" s="244">
        <f>B26*'GWP N2O_CH4'!B5</f>
        <v>3125.5600156511987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77.169268443465313</v>
      </c>
      <c r="C27" s="244">
        <f>B27*'GWP N2O_CH4'!B5</f>
        <v>1620.5546373127715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2.4202642570261852</v>
      </c>
      <c r="C28" s="244">
        <f>B28*'GWP N2O_CH4'!B4</f>
        <v>750.28191967811745</v>
      </c>
      <c r="D28" s="50"/>
    </row>
    <row r="29" spans="1:4">
      <c r="A29" s="41" t="s">
        <v>266</v>
      </c>
      <c r="B29" s="244">
        <f>B34*'ha_N2O bodem landbouw'!B4</f>
        <v>12.451934314279425</v>
      </c>
      <c r="C29" s="244">
        <f>B29*'GWP N2O_CH4'!B4</f>
        <v>3860.0996374266219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2.0578456853637211E-3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1.3515624481512717E-5</v>
      </c>
      <c r="C5" s="433" t="s">
        <v>204</v>
      </c>
      <c r="D5" s="418">
        <f>SUM(D6:D11)</f>
        <v>4.0220763210805242E-5</v>
      </c>
      <c r="E5" s="418">
        <f>SUM(E6:E11)</f>
        <v>4.8861372408223859E-3</v>
      </c>
      <c r="F5" s="431" t="s">
        <v>204</v>
      </c>
      <c r="G5" s="418">
        <f>SUM(G6:G11)</f>
        <v>1.1972964713775034</v>
      </c>
      <c r="H5" s="418">
        <f>SUM(H6:H11)</f>
        <v>0.13953070471125481</v>
      </c>
      <c r="I5" s="433" t="s">
        <v>204</v>
      </c>
      <c r="J5" s="433" t="s">
        <v>204</v>
      </c>
      <c r="K5" s="433" t="s">
        <v>204</v>
      </c>
      <c r="L5" s="433" t="s">
        <v>204</v>
      </c>
      <c r="M5" s="418">
        <f>SUM(M6:M11)</f>
        <v>5.8000453162032992E-2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1.5030088159183855E-6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4.7588580361587747E-6</v>
      </c>
      <c r="E6" s="421">
        <f>vkm_GW_PW*SUMIFS(TableVerdeelsleutelVkm[LPG],TableVerdeelsleutelVkm[Voertuigtype],"Lichte voertuigen")*SUMIFS(TableECFTransport[EnergieConsumptieFactor (PJ per km)],TableECFTransport[Index],CONCATENATE($A6,"_LPG_LPG"))</f>
        <v>4.9591438863145533E-4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6.6055920193428014E-2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1.5846672622665911E-2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3.5749789613555225E-3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6.6019572954509226E-8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2.9760115815192497E-2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8.057545797997529E-7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1.2820781647004237E-3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9.3790694955897394E-7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5.0468327900487284E-6</v>
      </c>
      <c r="E8" s="421">
        <f>vkm_NGW_PW*SUMIFS(TableVerdeelsleutelVkm[LPG],TableVerdeelsleutelVkm[Voertuigtype],"Lichte voertuigen")*SUMIFS(TableECFTransport[EnergieConsumptieFactor (PJ per km)],TableECFTransport[Index],CONCATENATE($A8,"_LPG_LPG"))</f>
        <v>4.9632386975348355E-4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6.2594348331618074E-2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1.5891085575669543E-2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3.4279014304684774E-3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1.2458565738907469E-8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7.7790931263416472E-3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1.8353317017383312E-7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3.3512532010499397E-4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9.745483866640754E-6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3.0415072384597735E-5</v>
      </c>
      <c r="E10" s="421">
        <f>vkm_SW_PW*SUMIFS(TableVerdeelsleutelVkm[LPG],TableVerdeelsleutelVkm[Voertuigtype],"Lichte voertuigen")*SUMIFS(TableECFTransport[EnergieConsumptieFactor (PJ per km)],TableECFTransport[Index],CONCATENATE($A10,"_LPG_LPG"))</f>
        <v>3.8938989824374472E-3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0.48707922639016321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0.10777624528268501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2.5943381618182378E-2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1.2507467107011855E-6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0.5440277675207601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1.571194248437333E-5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2.3436987667221191E-2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3.7543401337535327</v>
      </c>
      <c r="C14" s="21"/>
      <c r="D14" s="21">
        <f t="shared" ref="D14:M14" si="0">((D5)*10^9/3600)+D12</f>
        <v>11.172434225223679</v>
      </c>
      <c r="E14" s="21">
        <f t="shared" si="0"/>
        <v>1357.2603446728849</v>
      </c>
      <c r="F14" s="21"/>
      <c r="G14" s="21">
        <f t="shared" si="0"/>
        <v>332582.35316041764</v>
      </c>
      <c r="H14" s="21">
        <f t="shared" si="0"/>
        <v>38758.529086459668</v>
      </c>
      <c r="I14" s="21"/>
      <c r="J14" s="21"/>
      <c r="K14" s="21"/>
      <c r="L14" s="21"/>
      <c r="M14" s="21">
        <f t="shared" si="0"/>
        <v>16111.23698945361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0.21439394725944119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0.80490780062995826</v>
      </c>
      <c r="C18" s="23"/>
      <c r="D18" s="23">
        <f t="shared" ref="D18:M18" si="1">D14*D16</f>
        <v>2.2568317134951834</v>
      </c>
      <c r="E18" s="23">
        <f t="shared" si="1"/>
        <v>308.09809824074489</v>
      </c>
      <c r="F18" s="23"/>
      <c r="G18" s="23">
        <f t="shared" si="1"/>
        <v>88799.488293831513</v>
      </c>
      <c r="H18" s="23">
        <f t="shared" si="1"/>
        <v>9650.873742528458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1.1703924394061713E-5</v>
      </c>
      <c r="C50" s="315">
        <f t="shared" ref="C50:P50" si="2">SUM(C51:C52)</f>
        <v>0</v>
      </c>
      <c r="D50" s="315">
        <f t="shared" si="2"/>
        <v>0</v>
      </c>
      <c r="E50" s="315">
        <f t="shared" si="2"/>
        <v>0</v>
      </c>
      <c r="F50" s="315">
        <f t="shared" si="2"/>
        <v>0</v>
      </c>
      <c r="G50" s="315">
        <f t="shared" si="2"/>
        <v>2.5390488915485831E-3</v>
      </c>
      <c r="H50" s="315">
        <f t="shared" si="2"/>
        <v>0</v>
      </c>
      <c r="I50" s="315">
        <f t="shared" si="2"/>
        <v>0</v>
      </c>
      <c r="J50" s="315">
        <f t="shared" si="2"/>
        <v>0</v>
      </c>
      <c r="K50" s="315">
        <f t="shared" si="2"/>
        <v>0</v>
      </c>
      <c r="L50" s="315">
        <f t="shared" si="2"/>
        <v>0</v>
      </c>
      <c r="M50" s="315">
        <f t="shared" si="2"/>
        <v>1.0871232041702432E-4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1.1703924394061713E-5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2.5390488915485831E-3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1.0871232041702432E-4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3.2510901094615869</v>
      </c>
      <c r="C54" s="21">
        <f t="shared" ref="C54:P54" si="3">(C50)*10^9/3600</f>
        <v>0</v>
      </c>
      <c r="D54" s="21">
        <f t="shared" si="3"/>
        <v>0</v>
      </c>
      <c r="E54" s="21">
        <f t="shared" si="3"/>
        <v>0</v>
      </c>
      <c r="F54" s="21">
        <f t="shared" si="3"/>
        <v>0</v>
      </c>
      <c r="G54" s="21">
        <f t="shared" si="3"/>
        <v>705.2913587634954</v>
      </c>
      <c r="H54" s="21">
        <f t="shared" si="3"/>
        <v>0</v>
      </c>
      <c r="I54" s="21">
        <f t="shared" si="3"/>
        <v>0</v>
      </c>
      <c r="J54" s="21">
        <f t="shared" si="3"/>
        <v>0</v>
      </c>
      <c r="K54" s="21">
        <f t="shared" si="3"/>
        <v>0</v>
      </c>
      <c r="L54" s="21">
        <f t="shared" si="3"/>
        <v>0</v>
      </c>
      <c r="M54" s="21">
        <f t="shared" si="3"/>
        <v>30.197866782506757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0.21439394725944119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0.69701404146359836</v>
      </c>
      <c r="C58" s="23">
        <f t="shared" ref="C58:P58" ca="1" si="4">C54*C56</f>
        <v>0</v>
      </c>
      <c r="D58" s="23">
        <f t="shared" si="4"/>
        <v>0</v>
      </c>
      <c r="E58" s="23">
        <f t="shared" si="4"/>
        <v>0</v>
      </c>
      <c r="F58" s="23">
        <f t="shared" si="4"/>
        <v>0</v>
      </c>
      <c r="G58" s="23">
        <f t="shared" si="4"/>
        <v>188.31279278985329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1133.756131479083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1133.756131479083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2021-11-11T13:47:51Z</dcterms:modified>
</cp:coreProperties>
</file>