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165919F-EB74-4839-8275-498E8A61068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<sst xmlns="http://schemas.openxmlformats.org/spreadsheetml/2006/main" count="2574" uniqueCount="980">
  <si>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</si>
  <si>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</si>
  <si>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</si>
  <si>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</si>
  <si>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</si>
  <si>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</si>
  <si>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</si>
  <si>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</si>
  <si>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</si>
  <si>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</si>
  <si>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</si>
  <si>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</si>
  <si>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</si>
  <si>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</si>
  <si>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</si>
  <si>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</si>
  <si>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</si>
  <si>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</si>
  <si>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</si>
  <si>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</si>
  <si>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</si>
  <si>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</si>
  <si>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</si>
  <si>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</si>
  <si>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</si>
  <si>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</si>
  <si>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</si>
  <si>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</si>
  <si>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</si>
  <si>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</si>
  <si>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</si>
  <si>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</si>
  <si>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</si>
  <si>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</si>
  <si>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</si>
  <si>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</si>
  <si>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</si>
  <si>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</si>
  <si>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</si>
  <si>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</si>
  <si>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</si>
  <si>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</si>
  <si>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</si>
  <si>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</si>
  <si>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</si>
  <si>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</si>
  <si>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</si>
  <si>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</si>
  <si>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</si>
  <si>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</si>
  <si>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</si>
  <si>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</si>
  <si>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</si>
  <si>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</si>
  <si>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</si>
  <si>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</si>
  <si>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</si>
  <si>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</si>
  <si>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</si>
  <si>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</si>
  <si>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</si>
  <si>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</si>
  <si>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</si>
  <si>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</si>
  <si>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</si>
  <si>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</si>
  <si>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</si>
  <si>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</si>
  <si>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</si>
  <si>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</si>
  <si>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</si>
  <si>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</si>
  <si>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</si>
  <si>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</si>
  <si>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</si>
  <si>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</si>
  <si>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</si>
  <si>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</si>
  <si>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</si>
  <si>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</si>
  <si>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</si>
  <si>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</si>
  <si>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</si>
  <si>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</si>
  <si>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</si>
  <si>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</si>
  <si>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</si>
  <si>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</si>
  <si>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</si>
  <si>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</si>
  <si>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</si>
  <si>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</si>
  <si>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</si>
  <si>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</si>
  <si>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</si>
  <si>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</si>
  <si>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</si>
  <si>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</si>
  <si>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</si>
  <si>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</si>
  <si>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</si>
  <si>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</si>
  <si>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</si>
  <si>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</si>
  <si>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</si>
  <si>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</si>
  <si>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</si>
  <si>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</si>
  <si>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</si>
  <si>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</si>
  <si>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</si>
  <si>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</si>
  <si>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</si>
  <si>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</si>
  <si>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</si>
  <si>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</si>
  <si>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</si>
  <si>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</si>
  <si>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</si>
  <si>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</si>
  <si>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</si>
  <si>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</si>
  <si>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</si>
  <si>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</si>
  <si>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</si>
  <si>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</si>
  <si>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</si>
  <si>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</si>
  <si>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</si>
  <si>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</si>
  <si>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</si>
  <si>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</si>
  <si>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</si>
  <si>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</si>
  <si>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</si>
  <si>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</si>
  <si>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</si>
  <si>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</si>
  <si>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</si>
  <si>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</si>
  <si>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</si>
  <si>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</si>
  <si>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</si>
  <si>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</si>
  <si>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</si>
  <si>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</si>
  <si>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</si>
  <si>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</si>
  <si>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</si>
  <si>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</si>
  <si>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</si>
  <si>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</si>
  <si>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</si>
  <si>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</si>
  <si>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</si>
  <si>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</si>
  <si>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</si>
  <si>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</si>
  <si>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</si>
  <si>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</si>
  <si>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</si>
  <si>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</si>
  <si>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</si>
  <si>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</si>
  <si>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</si>
  <si>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</si>
  <si>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</si>
  <si>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</si>
  <si>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</si>
  <si>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</si>
  <si>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</si>
  <si>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</si>
  <si>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</si>
  <si>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</si>
  <si>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</si>
  <si>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</si>
  <si>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</si>
  <si>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</si>
  <si>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</si>
  <si>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</si>
  <si>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</si>
  <si>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</si>
  <si>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</si>
  <si>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</si>
  <si>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</si>
  <si>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</si>
  <si>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</si>
  <si>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</si>
  <si>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</si>
  <si>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</si>
  <si>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</si>
  <si>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</si>
  <si>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</si>
  <si>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</si>
  <si>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</si>
  <si>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</si>
  <si>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</si>
  <si>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</si>
  <si>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</si>
  <si>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</si>
  <si>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</si>
  <si>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</si>
  <si>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</si>
  <si>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</si>
  <si>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</si>
  <si>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</si>
  <si>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</si>
  <si>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</si>
  <si>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</si>
  <si>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</si>
  <si>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</si>
  <si>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</si>
  <si>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</si>
  <si>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</si>
  <si>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</si>
  <si>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</si>
  <si>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</si>
  <si>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</si>
  <si>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</si>
  <si>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</si>
  <si>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</si>
  <si>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</si>
  <si>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</si>
  <si>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</si>
  <si>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</si>
  <si>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</si>
  <si>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</si>
  <si>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</si>
  <si>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</si>
  <si>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</si>
  <si>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</si>
  <si>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</si>
  <si>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</si>
  <si>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</si>
  <si>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</si>
  <si>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</si>
  <si>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</si>
  <si>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</si>
  <si>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</si>
  <si>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</si>
  <si>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</si>
  <si>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</si>
  <si>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</si>
  <si>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</si>
  <si>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</si>
  <si>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</si>
  <si>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</si>
  <si>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</si>
  <si>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</si>
  <si>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</si>
  <si>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</si>
  <si>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</si>
  <si>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</si>
  <si>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</si>
  <si>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</si>
  <si>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</si>
  <si>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</si>
  <si>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</si>
  <si>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</si>
  <si>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</si>
  <si>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</si>
  <si>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</si>
  <si>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</si>
  <si>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</si>
  <si>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</si>
  <si>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</si>
  <si>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</si>
  <si>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</si>
  <si>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</si>
  <si>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</si>
  <si>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</si>
  <si>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</si>
  <si>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</si>
  <si>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</si>
  <si>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</si>
  <si>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</si>
  <si>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</si>
  <si>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</si>
  <si>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</si>
  <si>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</si>
  <si>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</si>
  <si>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</si>
  <si>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</si>
  <si>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</si>
  <si>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</si>
  <si>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</si>
  <si>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</si>
  <si>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</si>
  <si>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</si>
  <si>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</si>
  <si>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</si>
  <si>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</si>
  <si>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</si>
  <si>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</si>
  <si>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</si>
  <si>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</si>
  <si>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</si>
  <si>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</si>
  <si>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</si>
  <si>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</si>
  <si>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</si>
  <si>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</si>
  <si>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</si>
  <si>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</si>
  <si>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</si>
  <si>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</si>
  <si>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</si>
  <si>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</si>
  <si>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</si>
  <si>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</si>
  <si>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</si>
  <si>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</si>
  <si>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</si>
  <si>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</si>
  <si>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</si>
  <si>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</si>
  <si>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</si>
  <si>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</si>
  <si>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</si>
  <si>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</si>
  <si>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</si>
  <si>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</si>
  <si>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</si>
  <si>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</si>
  <si>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</si>
  <si>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</si>
  <si>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</si>
  <si>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</si>
  <si>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</si>
  <si>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</si>
  <si>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</si>
  <si>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</si>
  <si>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</si>
  <si>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</si>
  <si>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</si>
  <si>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</si>
  <si>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</si>
  <si>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</si>
  <si>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</si>
  <si>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</si>
  <si>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</si>
  <si>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</si>
  <si>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</si>
  <si>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</si>
  <si>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</si>
  <si>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</si>
  <si>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</si>
  <si>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</si>
  <si>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</si>
  <si>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</si>
  <si>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</si>
  <si>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</si>
  <si>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</si>
  <si>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</si>
  <si>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</si>
  <si>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</si>
  <si>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</si>
  <si>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</si>
  <si>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</si>
  <si>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</si>
  <si>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</si>
  <si>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</si>
  <si>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</si>
  <si>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</si>
  <si>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</si>
  <si>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</si>
  <si>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</si>
  <si>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</si>
  <si>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</si>
  <si>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</si>
  <si>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</si>
  <si>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</si>
  <si>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</si>
  <si>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</si>
  <si>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</si>
  <si>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</si>
  <si>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</si>
  <si>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</si>
  <si>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</si>
  <si>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</si>
  <si>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</si>
  <si>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</si>
  <si>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</si>
  <si>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</si>
  <si>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</si>
  <si>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</si>
  <si>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</si>
  <si>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</si>
  <si>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</si>
  <si>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</si>
  <si>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</si>
  <si>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</si>
  <si>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</si>
  <si>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</si>
  <si>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</si>
  <si>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</si>
  <si>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</si>
  <si>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</si>
  <si>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</si>
  <si>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</si>
  <si>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</si>
  <si>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</si>
  <si>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</si>
  <si>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</si>
  <si>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</si>
  <si>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</si>
  <si>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</si>
  <si>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</si>
  <si>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</si>
  <si>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</si>
  <si>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</si>
  <si>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</si>
  <si>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</si>
  <si>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</si>
  <si>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</si>
  <si>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</si>
  <si>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</si>
  <si>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</si>
  <si>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</si>
  <si>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</si>
  <si>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</si>
  <si>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</si>
  <si>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</si>
  <si>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</si>
  <si>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</si>
  <si>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</si>
  <si>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</si>
  <si>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</si>
  <si>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</si>
  <si>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</si>
  <si>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</si>
  <si>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</si>
  <si>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</si>
  <si>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</si>
  <si>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</si>
  <si>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</si>
  <si>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</si>
  <si>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</si>
  <si>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</si>
  <si>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</si>
  <si>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</si>
  <si>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</si>
  <si>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</si>
  <si>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</si>
  <si>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</si>
  <si>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</si>
  <si>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</si>
  <si>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</si>
  <si>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</si>
  <si>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</si>
  <si>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</si>
  <si>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</si>
  <si>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</si>
  <si>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</si>
  <si>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</si>
  <si>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</si>
  <si>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</si>
  <si>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</si>
  <si>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</si>
  <si>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</si>
  <si>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</si>
  <si>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</si>
  <si>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</si>
  <si>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</si>
  <si>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</si>
  <si>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</si>
  <si>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</si>
  <si>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</si>
  <si>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</si>
  <si>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</si>
  <si>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</si>
  <si>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</si>
  <si>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</si>
  <si>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</si>
  <si>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</si>
  <si>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</si>
  <si>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</si>
  <si>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</si>
  <si>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</si>
  <si>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</si>
  <si>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</si>
  <si>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</si>
  <si>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</si>
  <si>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</si>
  <si>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</si>
  <si>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</si>
  <si>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</si>
  <si>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</si>
  <si>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</si>
  <si>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</si>
  <si>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</si>
  <si>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</si>
  <si>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</si>
  <si>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</si>
  <si>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</si>
  <si>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</si>
  <si>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</si>
  <si>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</si>
  <si>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</si>
  <si>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</si>
  <si>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</si>
  <si>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</si>
  <si>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</si>
  <si>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</si>
  <si>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</si>
  <si>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</si>
  <si>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</si>
  <si>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</si>
  <si>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</si>
  <si>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</si>
  <si>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</si>
  <si>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</si>
  <si>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</si>
  <si>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</si>
  <si>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</si>
  <si>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</si>
  <si>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</si>
  <si>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</si>
  <si>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</si>
  <si>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</si>
  <si>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</si>
  <si>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</si>
  <si>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</si>
  <si>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</si>
  <si>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</si>
  <si>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</si>
  <si>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</si>
  <si>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</si>
  <si>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</si>
  <si>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</si>
  <si>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</si>
  <si>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</si>
  <si>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</si>
  <si>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</si>
  <si>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</si>
  <si>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</si>
  <si>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</si>
  <si>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</si>
  <si>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</si>
  <si>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</si>
  <si>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</si>
  <si>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</si>
  <si>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</si>
  <si>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</si>
  <si>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</si>
  <si>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</si>
  <si>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</si>
  <si>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</si>
  <si>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</si>
  <si>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</si>
  <si>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</si>
  <si>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</si>
  <si>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</si>
  <si>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</si>
  <si>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</si>
  <si>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</si>
  <si>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</si>
  <si>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</si>
  <si>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</si>
  <si>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</si>
  <si>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</si>
  <si>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</si>
  <si>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</si>
  <si>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</si>
  <si>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</si>
  <si>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</si>
  <si>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</si>
  <si>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</si>
  <si>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</si>
  <si>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</si>
  <si>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</si>
  <si>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</si>
  <si>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</si>
  <si>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</si>
  <si>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</si>
  <si>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</si>
  <si>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</si>
  <si>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</si>
  <si>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</si>
  <si>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</si>
  <si>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</si>
  <si>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</si>
  <si>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</si>
  <si>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</si>
  <si>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</si>
  <si>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</si>
  <si>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</si>
  <si>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</si>
  <si>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</si>
  <si>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</si>
  <si>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</si>
  <si>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</si>
  <si>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</si>
  <si>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</si>
  <si>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</si>
  <si>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</si>
  <si>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</si>
  <si>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</si>
  <si>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</si>
  <si>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</si>
  <si>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</si>
  <si>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</si>
  <si>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</si>
  <si>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</si>
  <si>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</si>
  <si>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</si>
  <si>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</si>
  <si>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</si>
  <si>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</si>
  <si>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</si>
  <si>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</si>
  <si>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</si>
  <si>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</si>
  <si>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</si>
  <si>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</si>
  <si>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</si>
  <si>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</si>
  <si>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</si>
  <si>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</si>
  <si>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</si>
  <si>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</si>
  <si>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</si>
  <si>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</si>
  <si>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</si>
  <si>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</si>
  <si>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</si>
  <si>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</si>
  <si>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</si>
  <si>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</si>
  <si>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</si>
  <si>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</si>
  <si>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</si>
  <si>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</si>
  <si>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</si>
  <si>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</si>
  <si>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</si>
  <si>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</si>
  <si>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</si>
  <si>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</si>
  <si>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</si>
  <si>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</si>
  <si>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</si>
  <si>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</si>
  <si>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</si>
  <si>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</si>
  <si>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</si>
  <si>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</si>
  <si>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</si>
  <si>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</si>
  <si>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</si>
  <si>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</si>
  <si>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</si>
  <si>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</si>
  <si>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</si>
  <si>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</si>
  <si>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</si>
  <si>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</si>
  <si>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</si>
  <si>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</si>
  <si>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</si>
  <si>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</si>
  <si>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</si>
  <si>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</si>
  <si>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</si>
  <si>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</si>
  <si>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</si>
  <si>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</si>
  <si>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</si>
  <si>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</si>
  <si>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</si>
  <si>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</si>
  <si>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</si>
  <si>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</si>
  <si>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</si>
  <si>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</si>
  <si>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</si>
  <si>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</si>
  <si>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</si>
  <si>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</si>
  <si>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</si>
  <si>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</si>
  <si>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</si>
  <si>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</si>
  <si>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</si>
  <si>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</si>
  <si>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</si>
  <si>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</si>
  <si>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</si>
  <si>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</si>
  <si>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</si>
  <si>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</si>
  <si>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</si>
  <si>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</si>
  <si>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</si>
  <si>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</si>
  <si>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</si>
  <si>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</si>
  <si>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</si>
  <si>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</si>
  <si>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</si>
  <si>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</si>
  <si>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</si>
  <si>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</si>
  <si>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</si>
  <si>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</si>
  <si>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</si>
  <si>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</si>
  <si>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</si>
  <si>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</si>
  <si>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</si>
  <si>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</si>
  <si>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</si>
  <si>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</si>
  <si>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</si>
  <si>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</si>
  <si>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</si>
  <si>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</si>
  <si>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</si>
  <si>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</si>
  <si>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</si>
  <si>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</si>
  <si>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</si>
  <si>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</si>
  <si>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</si>
  <si>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</si>
  <si>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</si>
  <si>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</si>
  <si>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</si>
  <si>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</si>
  <si>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</si>
  <si>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</si>
  <si>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</si>
  <si>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</si>
  <si>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</si>
  <si>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</si>
  <si>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</si>
  <si>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</si>
  <si>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</si>
  <si>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</si>
  <si>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</si>
  <si>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</si>
  <si>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</si>
  <si>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</si>
  <si>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</si>
  <si>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</si>
  <si>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</si>
  <si>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</si>
  <si>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</si>
  <si>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</si>
  <si>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</si>
  <si>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</si>
  <si>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</si>
  <si>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</si>
  <si>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</si>
  <si>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</si>
  <si>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</si>
  <si>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</si>
  <si>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</si>
  <si>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</si>
  <si>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</si>
  <si>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</si>
  <si>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</si>
  <si>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</si>
  <si>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</si>
  <si>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</si>
  <si>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</si>
  <si>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</si>
  <si>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</si>
  <si>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</si>
  <si>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</si>
  <si>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</si>
  <si>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</si>
  <si>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</si>
  <si>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</si>
  <si>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</si>
  <si>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</si>
  <si>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</si>
  <si>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</si>
  <si>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</si>
  <si>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</si>
  <si>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</si>
  <si>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</si>
  <si>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</si>
  <si>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</si>
  <si>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</si>
  <si>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</si>
  <si>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</si>
  <si>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</si>
  <si>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</si>
  <si>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</si>
  <si>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</si>
  <si>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</si>
  <si>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</si>
  <si>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</si>
  <si>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</si>
  <si>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</si>
  <si>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</si>
  <si>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</si>
  <si>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</si>
  <si>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</si>
  <si>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</si>
  <si>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</si>
  <si>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</si>
  <si>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</si>
  <si>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</si>
  <si>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</si>
  <si>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</si>
  <si>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</si>
  <si>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</si>
  <si>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</si>
  <si>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</si>
  <si>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</si>
  <si>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</si>
  <si>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</si>
  <si>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</si>
  <si>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</si>
  <si>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</si>
  <si>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</si>
  <si>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</si>
  <si>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</si>
  <si>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</si>
  <si>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</si>
  <si>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</si>
  <si>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</si>
  <si>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</si>
  <si>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</si>
  <si>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</si>
  <si>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</si>
  <si>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</si>
  <si>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</si>
  <si>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</si>
  <si>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</si>
  <si>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</si>
  <si>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</si>
  <si>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</si>
  <si>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</si>
  <si>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</si>
  <si>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</si>
  <si>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</si>
  <si>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</si>
  <si>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</si>
  <si>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</si>
  <si>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</si>
  <si>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</si>
  <si>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</si>
  <si>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</si>
  <si>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</si>
  <si>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</si>
  <si>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</si>
  <si>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</si>
  <si>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</si>
  <si>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</si>
  <si>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</si>
  <si>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</si>
  <si>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</si>
  <si>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</si>
  <si>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</si>
  <si>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</si>
  <si>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</si>
  <si>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</si>
  <si>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</si>
  <si>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</si>
  <si>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</si>
  <si>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</si>
  <si>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</si>
  <si>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</si>
  <si>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</si>
  <si>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</si>
  <si>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</si>
  <si>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</si>
  <si>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</si>
  <si>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</si>
  <si>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</si>
  <si>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</si>
  <si>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</si>
  <si>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</si>
  <si>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</si>
  <si>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</si>
  <si>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</si>
  <si>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</si>
  <si>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</si>
  <si>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</si>
  <si>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</si>
  <si>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</si>
  <si>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</si>
  <si>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</si>
  <si>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</si>
  <si>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</si>
  <si>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</si>
  <si>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</si>
  <si>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</si>
  <si>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</si>
  <si>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</si>
  <si>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</si>
  <si>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</si>
  <si>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</si>
  <si>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</si>
  <si>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</si>
  <si>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</si>
  <si>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</si>
  <si>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</si>
  <si>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</si>
  <si>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</si>
  <si>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</si>
  <si>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</si>
  <si>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</si>
  <si>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</si>
  <si>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</si>
  <si>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</si>
  <si>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</si>
  <si>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</si>
  <si>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</si>
  <si>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</si>
  <si>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</si>
  <si>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</si>
  <si>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</si>
  <si>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</si>
  <si>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</si>
  <si>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</si>
  <si>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</si>
  <si>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</si>
  <si>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</si>
  <si>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</si>
  <si>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</si>
  <si>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</si>
  <si>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</si>
  <si>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</si>
  <si>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</si>
  <si>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</si>
  <si>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</si>
  <si>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</si>
  <si>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</si>
  <si>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</si>
  <si>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</si>
  <si>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</si>
  <si>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</si>
  <si>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</si>
  <si>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</si>
  <si>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</si>
  <si>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</si>
  <si>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</si>
  <si>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</si>
  <si>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</si>
  <si>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</si>
  <si>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</si>
  <si>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</si>
  <si>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</si>
  <si>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</si>
  <si>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</si>
  <si>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</si>
  <si>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</si>
  <si>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</si>
  <si>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</si>
  <si>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</si>
  <si>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</si>
  <si>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</si>
  <si>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</si>
  <si>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</si>
  <si>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</si>
  <si>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</si>
  <si>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</si>
  <si>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</si>
  <si>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</si>
  <si>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</si>
  <si>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</si>
  <si>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</si>
  <si>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</si>
  <si>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</si>
  <si>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</si>
  <si>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</si>
  <si>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41063</t>
  </si>
  <si>
    <t>SINT-LIEVENS-HOUTEM</t>
  </si>
  <si>
    <t>Paarden&amp;pony's 200 - 600 kg</t>
  </si>
  <si>
    <t>Paarden&amp;pony's &lt; 200 kg</t>
  </si>
  <si>
    <t>Fluvius</t>
  </si>
  <si>
    <t xml:space="preserve">Bron: </t>
  </si>
  <si>
    <t>referentietaak LNE (2017); Jaarverslag De Lijn</t>
  </si>
  <si>
    <t>biogas - stortgas</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</si>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</sst>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FD6BC13-6D0B-4A6C-9169-DED1C2979D7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41063</v>
      </c>
      <c r="B6" s="384"/>
      <c r="C6" s="385"/>
    </row>
    <row r="7" spans="1:7" s="382" customFormat="1" ht="15.75" customHeight="1">
      <c r="A7" s="386" t="str">
        <f>txtMunicipality</f>
        <v>SINT-LIEVENS-HOUTEM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12865.309695994842</v>
      </c>
      <c r="D10" s="674">
        <f ca="1">tertiair!C16</f>
        <v>0</v>
      </c>
      <c r="E10" s="674">
        <f ca="1">tertiair!D16</f>
        <v>4771.2920873313833</v>
      </c>
      <c r="F10" s="674">
        <f>tertiair!E16</f>
        <v>106.23147077799285</v>
      </c>
      <c r="G10" s="674">
        <f ca="1">tertiair!F16</f>
        <v>1366.2726425057078</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0</v>
      </c>
      <c r="R10" s="677">
        <f ca="1">SUM(C10:Q10)</f>
        <v>19109.105896609923</v>
      </c>
      <c r="S10" s="67"/>
    </row>
    <row r="11" spans="1:19" s="443" customFormat="1">
      <c r="A11" s="789" t="s">
        <v>214</v>
      </c>
      <c r="B11" s="794"/>
      <c r="C11" s="674">
        <f>huishoudens!B8</f>
        <v>22233.533595231173</v>
      </c>
      <c r="D11" s="674">
        <f>huishoudens!C8</f>
        <v>0</v>
      </c>
      <c r="E11" s="674">
        <f>huishoudens!D8</f>
        <v>24617.567327347824</v>
      </c>
      <c r="F11" s="674">
        <f>huishoudens!E8</f>
        <v>1188.5591467257432</v>
      </c>
      <c r="G11" s="674">
        <f>huishoudens!F8</f>
        <v>40570.748157640133</v>
      </c>
      <c r="H11" s="674">
        <f>huishoudens!G8</f>
        <v>0</v>
      </c>
      <c r="I11" s="674">
        <f>huishoudens!H8</f>
        <v>0</v>
      </c>
      <c r="J11" s="674">
        <f>huishoudens!I8</f>
        <v>0</v>
      </c>
      <c r="K11" s="674">
        <f>huishoudens!J8</f>
        <v>913.55039001224759</v>
      </c>
      <c r="L11" s="674">
        <f>huishoudens!K8</f>
        <v>0</v>
      </c>
      <c r="M11" s="674">
        <f>huishoudens!L8</f>
        <v>0</v>
      </c>
      <c r="N11" s="674">
        <f>huishoudens!M8</f>
        <v>0</v>
      </c>
      <c r="O11" s="674">
        <f>huishoudens!N8</f>
        <v>5133.0074854736449</v>
      </c>
      <c r="P11" s="674">
        <f>huishoudens!O8</f>
        <v>64.096666666666678</v>
      </c>
      <c r="Q11" s="675">
        <f>huishoudens!P8</f>
        <v>286</v>
      </c>
      <c r="R11" s="677">
        <f>SUM(C11:Q11)</f>
        <v>95007.062769097422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23623.010580277434</v>
      </c>
      <c r="D13" s="674">
        <f>industrie!C18</f>
        <v>0</v>
      </c>
      <c r="E13" s="674">
        <f>industrie!D18</f>
        <v>28898.27386726256</v>
      </c>
      <c r="F13" s="674">
        <f>industrie!E18</f>
        <v>217.19445699809279</v>
      </c>
      <c r="G13" s="674">
        <f>industrie!F18</f>
        <v>4987.5003846466807</v>
      </c>
      <c r="H13" s="674">
        <f>industrie!G18</f>
        <v>0</v>
      </c>
      <c r="I13" s="674">
        <f>industrie!H18</f>
        <v>0</v>
      </c>
      <c r="J13" s="674">
        <f>industrie!I18</f>
        <v>0</v>
      </c>
      <c r="K13" s="674">
        <f>industrie!J18</f>
        <v>155.31654487417623</v>
      </c>
      <c r="L13" s="674">
        <f>industrie!K18</f>
        <v>0</v>
      </c>
      <c r="M13" s="674">
        <f>industrie!L18</f>
        <v>0</v>
      </c>
      <c r="N13" s="674">
        <f>industrie!M18</f>
        <v>0</v>
      </c>
      <c r="O13" s="674">
        <f>industrie!N18</f>
        <v>450.59075128408017</v>
      </c>
      <c r="P13" s="674">
        <f>industrie!O18</f>
        <v>0</v>
      </c>
      <c r="Q13" s="675">
        <f>industrie!P18</f>
        <v>0</v>
      </c>
      <c r="R13" s="677">
        <f>SUM(C13:Q13)</f>
        <v>58331.886585343018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58721.853871503452</v>
      </c>
      <c r="D16" s="707">
        <f t="shared" ref="D16:R16" ca="1" si="0">SUM(D9:D15)</f>
        <v>0</v>
      </c>
      <c r="E16" s="707">
        <f t="shared" ca="1" si="0"/>
        <v>58287.133281941773</v>
      </c>
      <c r="F16" s="707">
        <f t="shared" si="0"/>
        <v>1511.9850745018289</v>
      </c>
      <c r="G16" s="707">
        <f t="shared" ca="1" si="0"/>
        <v>46924.521184792517</v>
      </c>
      <c r="H16" s="707">
        <f t="shared" si="0"/>
        <v>0</v>
      </c>
      <c r="I16" s="707">
        <f t="shared" si="0"/>
        <v>0</v>
      </c>
      <c r="J16" s="707">
        <f t="shared" si="0"/>
        <v>0</v>
      </c>
      <c r="K16" s="707">
        <f t="shared" si="0"/>
        <v>1068.8669348864239</v>
      </c>
      <c r="L16" s="707">
        <f t="shared" si="0"/>
        <v>0</v>
      </c>
      <c r="M16" s="707">
        <f t="shared" ca="1" si="0"/>
        <v>0</v>
      </c>
      <c r="N16" s="707">
        <f t="shared" si="0"/>
        <v>0</v>
      </c>
      <c r="O16" s="707">
        <f t="shared" ca="1" si="0"/>
        <v>5583.5982367577253</v>
      </c>
      <c r="P16" s="707">
        <f t="shared" si="0"/>
        <v>64.096666666666678</v>
      </c>
      <c r="Q16" s="707">
        <f t="shared" si="0"/>
        <v>286</v>
      </c>
      <c r="R16" s="707">
        <f t="shared" ca="1" si="0"/>
        <v>172448.05525105036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3.7685505959407473</v>
      </c>
      <c r="D19" s="674">
        <f>transport!C54</f>
        <v>0</v>
      </c>
      <c r="E19" s="674">
        <f>transport!D54</f>
        <v>0</v>
      </c>
      <c r="F19" s="674">
        <f>transport!E54</f>
        <v>0</v>
      </c>
      <c r="G19" s="674">
        <f>transport!F54</f>
        <v>0</v>
      </c>
      <c r="H19" s="674">
        <f>transport!G54</f>
        <v>817.5492160751611</v>
      </c>
      <c r="I19" s="674">
        <f>transport!H54</f>
        <v>0</v>
      </c>
      <c r="J19" s="674">
        <f>transport!I54</f>
        <v>0</v>
      </c>
      <c r="K19" s="674">
        <f>transport!J54</f>
        <v>0</v>
      </c>
      <c r="L19" s="674">
        <f>transport!K54</f>
        <v>0</v>
      </c>
      <c r="M19" s="674">
        <f>transport!L54</f>
        <v>0</v>
      </c>
      <c r="N19" s="674">
        <f>transport!M54</f>
        <v>35.004317022207026</v>
      </c>
      <c r="O19" s="674">
        <f>transport!N54</f>
        <v>0</v>
      </c>
      <c r="P19" s="674">
        <f>transport!O54</f>
        <v>0</v>
      </c>
      <c r="Q19" s="675">
        <f>transport!P54</f>
        <v>0</v>
      </c>
      <c r="R19" s="677">
        <f>SUM(C19:Q19)</f>
        <v>856.32208369330885</v>
      </c>
      <c r="S19" s="67"/>
    </row>
    <row r="20" spans="1:19" s="443" customFormat="1">
      <c r="A20" s="789" t="s">
        <v>296</v>
      </c>
      <c r="B20" s="794"/>
      <c r="C20" s="674">
        <f>transport!B14</f>
        <v>1.1709997594120747</v>
      </c>
      <c r="D20" s="674">
        <f>transport!C14</f>
        <v>0</v>
      </c>
      <c r="E20" s="674">
        <f>transport!D14</f>
        <v>4.0740253968281683</v>
      </c>
      <c r="F20" s="674">
        <f>transport!E14</f>
        <v>470.18151723169024</v>
      </c>
      <c r="G20" s="674">
        <f>transport!F14</f>
        <v>0</v>
      </c>
      <c r="H20" s="674">
        <f>transport!G14</f>
        <v>87160.088389725977</v>
      </c>
      <c r="I20" s="674">
        <f>transport!H14</f>
        <v>13790.612207209677</v>
      </c>
      <c r="J20" s="674">
        <f>transport!I14</f>
        <v>0</v>
      </c>
      <c r="K20" s="674">
        <f>transport!J14</f>
        <v>0</v>
      </c>
      <c r="L20" s="674">
        <f>transport!K14</f>
        <v>0</v>
      </c>
      <c r="M20" s="674">
        <f>transport!L14</f>
        <v>0</v>
      </c>
      <c r="N20" s="674">
        <f>transport!M14</f>
        <v>4389.4986089602653</v>
      </c>
      <c r="O20" s="674">
        <f>transport!N14</f>
        <v>0</v>
      </c>
      <c r="P20" s="674">
        <f>transport!O14</f>
        <v>0</v>
      </c>
      <c r="Q20" s="675">
        <f>transport!P14</f>
        <v>0</v>
      </c>
      <c r="R20" s="677">
        <f>SUM(C20:Q20)</f>
        <v>105815.62574828384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4.9395503553528215</v>
      </c>
      <c r="D22" s="792">
        <f t="shared" ref="D22:R22" si="1">SUM(D18:D21)</f>
        <v>0</v>
      </c>
      <c r="E22" s="792">
        <f t="shared" si="1"/>
        <v>4.0740253968281683</v>
      </c>
      <c r="F22" s="792">
        <f t="shared" si="1"/>
        <v>470.18151723169024</v>
      </c>
      <c r="G22" s="792">
        <f t="shared" si="1"/>
        <v>0</v>
      </c>
      <c r="H22" s="792">
        <f t="shared" si="1"/>
        <v>87977.637605801137</v>
      </c>
      <c r="I22" s="792">
        <f t="shared" si="1"/>
        <v>13790.612207209677</v>
      </c>
      <c r="J22" s="792">
        <f t="shared" si="1"/>
        <v>0</v>
      </c>
      <c r="K22" s="792">
        <f t="shared" si="1"/>
        <v>0</v>
      </c>
      <c r="L22" s="792">
        <f t="shared" si="1"/>
        <v>0</v>
      </c>
      <c r="M22" s="792">
        <f t="shared" si="1"/>
        <v>0</v>
      </c>
      <c r="N22" s="792">
        <f t="shared" si="1"/>
        <v>4424.5029259824723</v>
      </c>
      <c r="O22" s="792">
        <f t="shared" si="1"/>
        <v>0</v>
      </c>
      <c r="P22" s="792">
        <f t="shared" si="1"/>
        <v>0</v>
      </c>
      <c r="Q22" s="792">
        <f t="shared" si="1"/>
        <v>0</v>
      </c>
      <c r="R22" s="792">
        <f t="shared" si="1"/>
        <v>106671.94783197714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1299.7741449470034</v>
      </c>
      <c r="D24" s="674">
        <f>+landbouw!C8</f>
        <v>0</v>
      </c>
      <c r="E24" s="674">
        <f>+landbouw!D8</f>
        <v>67.38917567345689</v>
      </c>
      <c r="F24" s="674">
        <f>+landbouw!E8</f>
        <v>13.611516235512399</v>
      </c>
      <c r="G24" s="674">
        <f>+landbouw!F8</f>
        <v>5564.0209589735841</v>
      </c>
      <c r="H24" s="674">
        <f>+landbouw!G8</f>
        <v>0</v>
      </c>
      <c r="I24" s="674">
        <f>+landbouw!H8</f>
        <v>0</v>
      </c>
      <c r="J24" s="674">
        <f>+landbouw!I8</f>
        <v>0</v>
      </c>
      <c r="K24" s="674">
        <f>+landbouw!J8</f>
        <v>116.08148121817489</v>
      </c>
      <c r="L24" s="674">
        <f>+landbouw!K8</f>
        <v>0</v>
      </c>
      <c r="M24" s="674">
        <f>+landbouw!L8</f>
        <v>0</v>
      </c>
      <c r="N24" s="674">
        <f>+landbouw!M8</f>
        <v>0</v>
      </c>
      <c r="O24" s="674">
        <f>+landbouw!N8</f>
        <v>0</v>
      </c>
      <c r="P24" s="674">
        <f>+landbouw!O8</f>
        <v>0</v>
      </c>
      <c r="Q24" s="675">
        <f>+landbouw!P8</f>
        <v>0</v>
      </c>
      <c r="R24" s="677">
        <f>SUM(C24:Q24)</f>
        <v>7060.8772770477326</v>
      </c>
      <c r="S24" s="67"/>
    </row>
    <row r="25" spans="1:19" s="443" customFormat="1" ht="15" thickBot="1">
      <c r="A25" s="811" t="s">
        <v>889</v>
      </c>
      <c r="B25" s="966"/>
      <c r="C25" s="967">
        <f>IF(Onbekend_ele_kWh="---",0,Onbekend_ele_kWh)/1000+IF(REST_rest_ele_kWh="---",0,REST_rest_ele_kWh)/1000</f>
        <v>653.32276208909104</v>
      </c>
      <c r="D25" s="967"/>
      <c r="E25" s="967">
        <f>IF(onbekend_gas_kWh="---",0,onbekend_gas_kWh)/1000+IF(REST_rest_gas_kWh="---",0,REST_rest_gas_kWh)/1000</f>
        <v>832.29930186858792</v>
      </c>
      <c r="F25" s="967"/>
      <c r="G25" s="967"/>
      <c r="H25" s="967"/>
      <c r="I25" s="967"/>
      <c r="J25" s="967"/>
      <c r="K25" s="967"/>
      <c r="L25" s="967"/>
      <c r="M25" s="967"/>
      <c r="N25" s="967"/>
      <c r="O25" s="967"/>
      <c r="P25" s="967"/>
      <c r="Q25" s="968"/>
      <c r="R25" s="677">
        <f>SUM(C25:Q25)</f>
        <v>1485.6220639576791</v>
      </c>
      <c r="S25" s="67"/>
    </row>
    <row r="26" spans="1:19" s="443" customFormat="1" ht="15.75" thickBot="1">
      <c r="A26" s="680" t="s">
        <v>890</v>
      </c>
      <c r="B26" s="797"/>
      <c r="C26" s="792">
        <f>SUM(C24:C25)</f>
        <v>1953.0969070360943</v>
      </c>
      <c r="D26" s="792">
        <f t="shared" ref="D26:R26" si="2">SUM(D24:D25)</f>
        <v>0</v>
      </c>
      <c r="E26" s="792">
        <f t="shared" si="2"/>
        <v>899.68847754204478</v>
      </c>
      <c r="F26" s="792">
        <f t="shared" si="2"/>
        <v>13.611516235512399</v>
      </c>
      <c r="G26" s="792">
        <f t="shared" si="2"/>
        <v>5564.0209589735841</v>
      </c>
      <c r="H26" s="792">
        <f t="shared" si="2"/>
        <v>0</v>
      </c>
      <c r="I26" s="792">
        <f t="shared" si="2"/>
        <v>0</v>
      </c>
      <c r="J26" s="792">
        <f t="shared" si="2"/>
        <v>0</v>
      </c>
      <c r="K26" s="792">
        <f t="shared" si="2"/>
        <v>116.08148121817489</v>
      </c>
      <c r="L26" s="792">
        <f t="shared" si="2"/>
        <v>0</v>
      </c>
      <c r="M26" s="792">
        <f t="shared" si="2"/>
        <v>0</v>
      </c>
      <c r="N26" s="792">
        <f t="shared" si="2"/>
        <v>0</v>
      </c>
      <c r="O26" s="792">
        <f t="shared" si="2"/>
        <v>0</v>
      </c>
      <c r="P26" s="792">
        <f t="shared" si="2"/>
        <v>0</v>
      </c>
      <c r="Q26" s="792">
        <f t="shared" si="2"/>
        <v>0</v>
      </c>
      <c r="R26" s="792">
        <f t="shared" si="2"/>
        <v>8546.4993410054121</v>
      </c>
      <c r="S26" s="67"/>
    </row>
    <row r="27" spans="1:19" s="443" customFormat="1" ht="17.25" thickTop="1" thickBot="1">
      <c r="A27" s="681" t="s">
        <v>109</v>
      </c>
      <c r="B27" s="784"/>
      <c r="C27" s="682">
        <f ca="1">C22+C16+C26</f>
        <v>60679.8903288949</v>
      </c>
      <c r="D27" s="682">
        <f t="shared" ref="D27:R27" ca="1" si="3">D22+D16+D26</f>
        <v>0</v>
      </c>
      <c r="E27" s="682">
        <f t="shared" ca="1" si="3"/>
        <v>59190.895784880646</v>
      </c>
      <c r="F27" s="682">
        <f t="shared" si="3"/>
        <v>1995.7781079690315</v>
      </c>
      <c r="G27" s="682">
        <f t="shared" ca="1" si="3"/>
        <v>52488.542143766099</v>
      </c>
      <c r="H27" s="682">
        <f t="shared" si="3"/>
        <v>87977.637605801137</v>
      </c>
      <c r="I27" s="682">
        <f t="shared" si="3"/>
        <v>13790.612207209677</v>
      </c>
      <c r="J27" s="682">
        <f t="shared" si="3"/>
        <v>0</v>
      </c>
      <c r="K27" s="682">
        <f t="shared" si="3"/>
        <v>1184.9484161045989</v>
      </c>
      <c r="L27" s="682">
        <f t="shared" si="3"/>
        <v>0</v>
      </c>
      <c r="M27" s="682">
        <f t="shared" ca="1" si="3"/>
        <v>0</v>
      </c>
      <c r="N27" s="682">
        <f t="shared" si="3"/>
        <v>4424.5029259824723</v>
      </c>
      <c r="O27" s="682">
        <f t="shared" ca="1" si="3"/>
        <v>5583.5982367577253</v>
      </c>
      <c r="P27" s="682">
        <f t="shared" si="3"/>
        <v>64.096666666666678</v>
      </c>
      <c r="Q27" s="682">
        <f t="shared" si="3"/>
        <v>286</v>
      </c>
      <c r="R27" s="682">
        <f t="shared" ca="1" si="3"/>
        <v>287666.50242403289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2515.5494668275328</v>
      </c>
      <c r="D40" s="674">
        <f ca="1">tertiair!C20</f>
        <v>0</v>
      </c>
      <c r="E40" s="674">
        <f ca="1">tertiair!D20</f>
        <v>963.80100164093949</v>
      </c>
      <c r="F40" s="674">
        <f>tertiair!E20</f>
        <v>24.114543866604379</v>
      </c>
      <c r="G40" s="674">
        <f ca="1">tertiair!F20</f>
        <v>364.794795549024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3868.2598078841006</v>
      </c>
    </row>
    <row r="41" spans="1:18">
      <c r="A41" s="802" t="s">
        <v>214</v>
      </c>
      <c r="B41" s="809"/>
      <c r="C41" s="674">
        <f ca="1">huishoudens!B12</f>
        <v>4347.3149813554428</v>
      </c>
      <c r="D41" s="674">
        <f ca="1">huishoudens!C12</f>
        <v>0</v>
      </c>
      <c r="E41" s="674">
        <f>huishoudens!D12</f>
        <v>4972.7486001242605</v>
      </c>
      <c r="F41" s="674">
        <f>huishoudens!E12</f>
        <v>269.8029263067437</v>
      </c>
      <c r="G41" s="674">
        <f>huishoudens!F12</f>
        <v>10832.389758089916</v>
      </c>
      <c r="H41" s="674">
        <f>huishoudens!G12</f>
        <v>0</v>
      </c>
      <c r="I41" s="674">
        <f>huishoudens!H12</f>
        <v>0</v>
      </c>
      <c r="J41" s="674">
        <f>huishoudens!I12</f>
        <v>0</v>
      </c>
      <c r="K41" s="674">
        <f>huishoudens!J12</f>
        <v>323.39683806433561</v>
      </c>
      <c r="L41" s="674">
        <f>huishoudens!K12</f>
        <v>0</v>
      </c>
      <c r="M41" s="674">
        <f>huishoudens!L12</f>
        <v>0</v>
      </c>
      <c r="N41" s="674">
        <f>huishoudens!M12</f>
        <v>0</v>
      </c>
      <c r="O41" s="674">
        <f>huishoudens!N12</f>
        <v>0</v>
      </c>
      <c r="P41" s="674">
        <f>huishoudens!O12</f>
        <v>0</v>
      </c>
      <c r="Q41" s="749">
        <f>huishoudens!P12</f>
        <v>0</v>
      </c>
      <c r="R41" s="830">
        <f t="shared" ca="1" si="4"/>
        <v>20745.653103940698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4618.9989261259589</v>
      </c>
      <c r="D43" s="674">
        <f ca="1">industrie!C22</f>
        <v>0</v>
      </c>
      <c r="E43" s="674">
        <f>industrie!D22</f>
        <v>5837.4513211870371</v>
      </c>
      <c r="F43" s="674">
        <f>industrie!E22</f>
        <v>49.303141738567064</v>
      </c>
      <c r="G43" s="674">
        <f>industrie!F22</f>
        <v>1331.6626027006639</v>
      </c>
      <c r="H43" s="674">
        <f>industrie!G22</f>
        <v>0</v>
      </c>
      <c r="I43" s="674">
        <f>industrie!H22</f>
        <v>0</v>
      </c>
      <c r="J43" s="674">
        <f>industrie!I22</f>
        <v>0</v>
      </c>
      <c r="K43" s="674">
        <f>industrie!J22</f>
        <v>54.982056885458384</v>
      </c>
      <c r="L43" s="674">
        <f>industrie!K22</f>
        <v>0</v>
      </c>
      <c r="M43" s="674">
        <f>industrie!L22</f>
        <v>0</v>
      </c>
      <c r="N43" s="674">
        <f>industrie!M22</f>
        <v>0</v>
      </c>
      <c r="O43" s="674">
        <f>industrie!N22</f>
        <v>0</v>
      </c>
      <c r="P43" s="674">
        <f>industrie!O22</f>
        <v>0</v>
      </c>
      <c r="Q43" s="749">
        <f>industrie!P22</f>
        <v>0</v>
      </c>
      <c r="R43" s="829">
        <f t="shared" ca="1" si="4"/>
        <v>11892.398048637684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11481.863374308934</v>
      </c>
      <c r="D46" s="707">
        <f t="shared" ref="D46:Q46" ca="1" si="5">SUM(D39:D45)</f>
        <v>0</v>
      </c>
      <c r="E46" s="707">
        <f t="shared" ca="1" si="5"/>
        <v>11774.000922952237</v>
      </c>
      <c r="F46" s="707">
        <f t="shared" si="5"/>
        <v>343.22061191191517</v>
      </c>
      <c r="G46" s="707">
        <f t="shared" ca="1" si="5"/>
        <v>12528.847156339603</v>
      </c>
      <c r="H46" s="707">
        <f t="shared" si="5"/>
        <v>0</v>
      </c>
      <c r="I46" s="707">
        <f t="shared" si="5"/>
        <v>0</v>
      </c>
      <c r="J46" s="707">
        <f t="shared" si="5"/>
        <v>0</v>
      </c>
      <c r="K46" s="707">
        <f t="shared" si="5"/>
        <v>378.37889494979402</v>
      </c>
      <c r="L46" s="707">
        <f t="shared" si="5"/>
        <v>0</v>
      </c>
      <c r="M46" s="707">
        <f t="shared" ca="1" si="5"/>
        <v>0</v>
      </c>
      <c r="N46" s="707">
        <f t="shared" si="5"/>
        <v>0</v>
      </c>
      <c r="O46" s="707">
        <f t="shared" ca="1" si="5"/>
        <v>0</v>
      </c>
      <c r="P46" s="707">
        <f t="shared" si="5"/>
        <v>0</v>
      </c>
      <c r="Q46" s="707">
        <f t="shared" si="5"/>
        <v>0</v>
      </c>
      <c r="R46" s="707">
        <f ca="1">SUM(R39:R45)</f>
        <v>36506.310960462484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0.73686336872889902</v>
      </c>
      <c r="D49" s="674">
        <f ca="1">transport!C58</f>
        <v>0</v>
      </c>
      <c r="E49" s="674">
        <f>transport!D58</f>
        <v>0</v>
      </c>
      <c r="F49" s="674">
        <f>transport!E58</f>
        <v>0</v>
      </c>
      <c r="G49" s="674">
        <f>transport!F58</f>
        <v>0</v>
      </c>
      <c r="H49" s="674">
        <f>transport!G58</f>
        <v>218.28564069206803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219.02250406079693</v>
      </c>
    </row>
    <row r="50" spans="1:18">
      <c r="A50" s="805" t="s">
        <v>296</v>
      </c>
      <c r="B50" s="815"/>
      <c r="C50" s="973">
        <f ca="1">transport!B18</f>
        <v>0.2289651699065787</v>
      </c>
      <c r="D50" s="973">
        <f>transport!C18</f>
        <v>0</v>
      </c>
      <c r="E50" s="973">
        <f>transport!D18</f>
        <v>0.82295313015929006</v>
      </c>
      <c r="F50" s="973">
        <f>transport!E18</f>
        <v>106.73120441159368</v>
      </c>
      <c r="G50" s="973">
        <f>transport!F18</f>
        <v>0</v>
      </c>
      <c r="H50" s="973">
        <f>transport!G18</f>
        <v>23271.743600056838</v>
      </c>
      <c r="I50" s="973">
        <f>transport!H18</f>
        <v>3433.8624395952097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26813.389162363706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0.96582853863547768</v>
      </c>
      <c r="D52" s="707">
        <f t="shared" ref="D52:Q52" ca="1" si="6">SUM(D48:D51)</f>
        <v>0</v>
      </c>
      <c r="E52" s="707">
        <f t="shared" si="6"/>
        <v>0.82295313015929006</v>
      </c>
      <c r="F52" s="707">
        <f t="shared" si="6"/>
        <v>106.73120441159368</v>
      </c>
      <c r="G52" s="707">
        <f t="shared" si="6"/>
        <v>0</v>
      </c>
      <c r="H52" s="707">
        <f t="shared" si="6"/>
        <v>23490.029240748907</v>
      </c>
      <c r="I52" s="707">
        <f t="shared" si="6"/>
        <v>3433.8624395952097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27032.411666424505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254.14438008713734</v>
      </c>
      <c r="D54" s="973">
        <f ca="1">+landbouw!C12</f>
        <v>0</v>
      </c>
      <c r="E54" s="973">
        <f>+landbouw!D12</f>
        <v>13.612613486038292</v>
      </c>
      <c r="F54" s="973">
        <f>+landbouw!E12</f>
        <v>3.0898141854613148</v>
      </c>
      <c r="G54" s="973">
        <f>+landbouw!F12</f>
        <v>1485.5935960459472</v>
      </c>
      <c r="H54" s="973">
        <f>+landbouw!G12</f>
        <v>0</v>
      </c>
      <c r="I54" s="973">
        <f>+landbouw!H12</f>
        <v>0</v>
      </c>
      <c r="J54" s="973">
        <f>+landbouw!I12</f>
        <v>0</v>
      </c>
      <c r="K54" s="973">
        <f>+landbouw!J12</f>
        <v>41.092844351233907</v>
      </c>
      <c r="L54" s="973">
        <f>+landbouw!K12</f>
        <v>0</v>
      </c>
      <c r="M54" s="973">
        <f>+landbouw!L12</f>
        <v>0</v>
      </c>
      <c r="N54" s="973">
        <f>+landbouw!M12</f>
        <v>0</v>
      </c>
      <c r="O54" s="973">
        <f>+landbouw!N12</f>
        <v>0</v>
      </c>
      <c r="P54" s="973">
        <f>+landbouw!O12</f>
        <v>0</v>
      </c>
      <c r="Q54" s="974">
        <f>+landbouw!P12</f>
        <v>0</v>
      </c>
      <c r="R54" s="706">
        <f ca="1">SUM(C54:Q54)</f>
        <v>1797.533248155818</v>
      </c>
    </row>
    <row r="55" spans="1:18" ht="15" thickBot="1">
      <c r="A55" s="805" t="s">
        <v>889</v>
      </c>
      <c r="B55" s="815"/>
      <c r="C55" s="973">
        <f ca="1">C25*'EF ele_warmte'!B12</f>
        <v>127.7439692222208</v>
      </c>
      <c r="D55" s="973"/>
      <c r="E55" s="973">
        <f>E25*EF_CO2_aardgas</f>
        <v>168.12445897745476</v>
      </c>
      <c r="F55" s="973"/>
      <c r="G55" s="973"/>
      <c r="H55" s="973"/>
      <c r="I55" s="973"/>
      <c r="J55" s="973"/>
      <c r="K55" s="973"/>
      <c r="L55" s="973"/>
      <c r="M55" s="973"/>
      <c r="N55" s="973"/>
      <c r="O55" s="973"/>
      <c r="P55" s="973"/>
      <c r="Q55" s="974"/>
      <c r="R55" s="706">
        <f ca="1">SUM(C55:Q55)</f>
        <v>295.86842819967558</v>
      </c>
    </row>
    <row r="56" spans="1:18" ht="15.75" thickBot="1">
      <c r="A56" s="803" t="s">
        <v>890</v>
      </c>
      <c r="B56" s="816"/>
      <c r="C56" s="707">
        <f ca="1">SUM(C54:C55)</f>
        <v>381.88834930935815</v>
      </c>
      <c r="D56" s="707">
        <f t="shared" ref="D56:Q56" ca="1" si="7">SUM(D54:D55)</f>
        <v>0</v>
      </c>
      <c r="E56" s="707">
        <f t="shared" si="7"/>
        <v>181.73707246349306</v>
      </c>
      <c r="F56" s="707">
        <f t="shared" si="7"/>
        <v>3.0898141854613148</v>
      </c>
      <c r="G56" s="707">
        <f t="shared" si="7"/>
        <v>1485.5935960459472</v>
      </c>
      <c r="H56" s="707">
        <f t="shared" si="7"/>
        <v>0</v>
      </c>
      <c r="I56" s="707">
        <f t="shared" si="7"/>
        <v>0</v>
      </c>
      <c r="J56" s="707">
        <f t="shared" si="7"/>
        <v>0</v>
      </c>
      <c r="K56" s="707">
        <f t="shared" si="7"/>
        <v>41.092844351233907</v>
      </c>
      <c r="L56" s="707">
        <f t="shared" si="7"/>
        <v>0</v>
      </c>
      <c r="M56" s="707">
        <f t="shared" si="7"/>
        <v>0</v>
      </c>
      <c r="N56" s="707">
        <f t="shared" si="7"/>
        <v>0</v>
      </c>
      <c r="O56" s="707">
        <f t="shared" si="7"/>
        <v>0</v>
      </c>
      <c r="P56" s="707">
        <f t="shared" si="7"/>
        <v>0</v>
      </c>
      <c r="Q56" s="708">
        <f t="shared" si="7"/>
        <v>0</v>
      </c>
      <c r="R56" s="709">
        <f ca="1">SUM(R54:R55)</f>
        <v>2093.4016763554937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11864.717552156928</v>
      </c>
      <c r="D61" s="715">
        <f t="shared" ref="D61:Q61" ca="1" si="8">D46+D52+D56</f>
        <v>0</v>
      </c>
      <c r="E61" s="715">
        <f t="shared" ca="1" si="8"/>
        <v>11956.560948545888</v>
      </c>
      <c r="F61" s="715">
        <f t="shared" si="8"/>
        <v>453.04163050897017</v>
      </c>
      <c r="G61" s="715">
        <f t="shared" ca="1" si="8"/>
        <v>14014.44075238555</v>
      </c>
      <c r="H61" s="715">
        <f t="shared" si="8"/>
        <v>23490.029240748907</v>
      </c>
      <c r="I61" s="715">
        <f t="shared" si="8"/>
        <v>3433.8624395952097</v>
      </c>
      <c r="J61" s="715">
        <f t="shared" si="8"/>
        <v>0</v>
      </c>
      <c r="K61" s="715">
        <f t="shared" si="8"/>
        <v>419.47173930102792</v>
      </c>
      <c r="L61" s="715">
        <f t="shared" si="8"/>
        <v>0</v>
      </c>
      <c r="M61" s="715">
        <f t="shared" ca="1" si="8"/>
        <v>0</v>
      </c>
      <c r="N61" s="715">
        <f t="shared" si="8"/>
        <v>0</v>
      </c>
      <c r="O61" s="715">
        <f t="shared" ca="1" si="8"/>
        <v>0</v>
      </c>
      <c r="P61" s="715">
        <f t="shared" si="8"/>
        <v>0</v>
      </c>
      <c r="Q61" s="715">
        <f t="shared" si="8"/>
        <v>0</v>
      </c>
      <c r="R61" s="715">
        <f ca="1">R46+R52+R56</f>
        <v>65632.124303242483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0.1955296472661408</v>
      </c>
      <c r="D63" s="759">
        <f t="shared" ca="1" si="9"/>
        <v>0</v>
      </c>
      <c r="E63" s="975">
        <f t="shared" ca="1" si="9"/>
        <v>0.20199999999999996</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1683.3855680038255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5310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15171.428571428572</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6993.385568003825</v>
      </c>
      <c r="C78" s="730">
        <f>SUM(C72:C77)</f>
        <v>0</v>
      </c>
      <c r="D78" s="731">
        <f t="shared" ref="D78:H78" si="10">SUM(D76:D77)</f>
        <v>0</v>
      </c>
      <c r="E78" s="731">
        <f t="shared" si="10"/>
        <v>0</v>
      </c>
      <c r="F78" s="731">
        <f t="shared" si="10"/>
        <v>0</v>
      </c>
      <c r="G78" s="731">
        <f t="shared" si="10"/>
        <v>0</v>
      </c>
      <c r="H78" s="731">
        <f t="shared" si="10"/>
        <v>0</v>
      </c>
      <c r="I78" s="731">
        <f>SUM(I76:I77)</f>
        <v>0</v>
      </c>
      <c r="J78" s="731">
        <f>SUM(J76:J77)</f>
        <v>15171.428571428572</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22233.533595231173</v>
      </c>
      <c r="C4" s="447">
        <f>huishoudens!C8</f>
        <v>0</v>
      </c>
      <c r="D4" s="447">
        <f>huishoudens!D8</f>
        <v>24617.567327347824</v>
      </c>
      <c r="E4" s="447">
        <f>huishoudens!E8</f>
        <v>1188.5591467257432</v>
      </c>
      <c r="F4" s="447">
        <f>huishoudens!F8</f>
        <v>40570.748157640133</v>
      </c>
      <c r="G4" s="447">
        <f>huishoudens!G8</f>
        <v>0</v>
      </c>
      <c r="H4" s="447">
        <f>huishoudens!H8</f>
        <v>0</v>
      </c>
      <c r="I4" s="447">
        <f>huishoudens!I8</f>
        <v>0</v>
      </c>
      <c r="J4" s="447">
        <f>huishoudens!J8</f>
        <v>913.55039001224759</v>
      </c>
      <c r="K4" s="447">
        <f>huishoudens!K8</f>
        <v>0</v>
      </c>
      <c r="L4" s="447">
        <f>huishoudens!L8</f>
        <v>0</v>
      </c>
      <c r="M4" s="447">
        <f>huishoudens!M8</f>
        <v>0</v>
      </c>
      <c r="N4" s="447">
        <f>huishoudens!N8</f>
        <v>5133.0074854736449</v>
      </c>
      <c r="O4" s="447">
        <f>huishoudens!O8</f>
        <v>64.096666666666678</v>
      </c>
      <c r="P4" s="448">
        <f>huishoudens!P8</f>
        <v>286</v>
      </c>
      <c r="Q4" s="449">
        <f>SUM(B4:P4)</f>
        <v>95007.062769097422</v>
      </c>
    </row>
    <row r="5" spans="1:17">
      <c r="A5" s="446" t="s">
        <v>149</v>
      </c>
      <c r="B5" s="447">
        <f ca="1">tertiair!B16</f>
        <v>12241.297695994841</v>
      </c>
      <c r="C5" s="447">
        <f ca="1">tertiair!C16</f>
        <v>0</v>
      </c>
      <c r="D5" s="447">
        <f ca="1">tertiair!D16</f>
        <v>4771.2920873313833</v>
      </c>
      <c r="E5" s="447">
        <f>tertiair!E16</f>
        <v>106.23147077799285</v>
      </c>
      <c r="F5" s="447">
        <f ca="1">tertiair!F16</f>
        <v>1366.2726425057078</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0</v>
      </c>
      <c r="Q5" s="446">
        <f t="shared" ref="Q5:Q14" ca="1" si="0">SUM(B5:P5)</f>
        <v>18485.093896609924</v>
      </c>
    </row>
    <row r="6" spans="1:17">
      <c r="A6" s="446" t="s">
        <v>187</v>
      </c>
      <c r="B6" s="447">
        <f>'openbare verlichting'!B8</f>
        <v>624.01199999999994</v>
      </c>
      <c r="C6" s="447"/>
      <c r="D6" s="447"/>
      <c r="E6" s="447"/>
      <c r="F6" s="447"/>
      <c r="G6" s="447"/>
      <c r="H6" s="447"/>
      <c r="I6" s="447"/>
      <c r="J6" s="447"/>
      <c r="K6" s="447"/>
      <c r="L6" s="447"/>
      <c r="M6" s="447"/>
      <c r="N6" s="447"/>
      <c r="O6" s="447"/>
      <c r="P6" s="448"/>
      <c r="Q6" s="446">
        <f t="shared" si="0"/>
        <v>624.01199999999994</v>
      </c>
    </row>
    <row r="7" spans="1:17">
      <c r="A7" s="446" t="s">
        <v>105</v>
      </c>
      <c r="B7" s="447">
        <f>landbouw!B8</f>
        <v>1299.7741449470034</v>
      </c>
      <c r="C7" s="447">
        <f>landbouw!C8</f>
        <v>0</v>
      </c>
      <c r="D7" s="447">
        <f>landbouw!D8</f>
        <v>67.38917567345689</v>
      </c>
      <c r="E7" s="447">
        <f>landbouw!E8</f>
        <v>13.611516235512399</v>
      </c>
      <c r="F7" s="447">
        <f>landbouw!F8</f>
        <v>5564.0209589735841</v>
      </c>
      <c r="G7" s="447">
        <f>landbouw!G8</f>
        <v>0</v>
      </c>
      <c r="H7" s="447">
        <f>landbouw!H8</f>
        <v>0</v>
      </c>
      <c r="I7" s="447">
        <f>landbouw!I8</f>
        <v>0</v>
      </c>
      <c r="J7" s="447">
        <f>landbouw!J8</f>
        <v>116.08148121817489</v>
      </c>
      <c r="K7" s="447">
        <f>landbouw!K8</f>
        <v>0</v>
      </c>
      <c r="L7" s="447">
        <f>landbouw!L8</f>
        <v>0</v>
      </c>
      <c r="M7" s="447">
        <f>landbouw!M8</f>
        <v>0</v>
      </c>
      <c r="N7" s="447">
        <f>landbouw!N8</f>
        <v>0</v>
      </c>
      <c r="O7" s="447">
        <f>landbouw!O8</f>
        <v>0</v>
      </c>
      <c r="P7" s="448">
        <f>landbouw!P8</f>
        <v>0</v>
      </c>
      <c r="Q7" s="446">
        <f t="shared" si="0"/>
        <v>7060.8772770477326</v>
      </c>
    </row>
    <row r="8" spans="1:17">
      <c r="A8" s="446" t="s">
        <v>637</v>
      </c>
      <c r="B8" s="447">
        <f>industrie!B18</f>
        <v>23623.010580277434</v>
      </c>
      <c r="C8" s="447">
        <f>industrie!C18</f>
        <v>0</v>
      </c>
      <c r="D8" s="447">
        <f>industrie!D18</f>
        <v>28898.27386726256</v>
      </c>
      <c r="E8" s="447">
        <f>industrie!E18</f>
        <v>217.19445699809279</v>
      </c>
      <c r="F8" s="447">
        <f>industrie!F18</f>
        <v>4987.5003846466807</v>
      </c>
      <c r="G8" s="447">
        <f>industrie!G18</f>
        <v>0</v>
      </c>
      <c r="H8" s="447">
        <f>industrie!H18</f>
        <v>0</v>
      </c>
      <c r="I8" s="447">
        <f>industrie!I18</f>
        <v>0</v>
      </c>
      <c r="J8" s="447">
        <f>industrie!J18</f>
        <v>155.31654487417623</v>
      </c>
      <c r="K8" s="447">
        <f>industrie!K18</f>
        <v>0</v>
      </c>
      <c r="L8" s="447">
        <f>industrie!L18</f>
        <v>0</v>
      </c>
      <c r="M8" s="447">
        <f>industrie!M18</f>
        <v>0</v>
      </c>
      <c r="N8" s="447">
        <f>industrie!N18</f>
        <v>450.59075128408017</v>
      </c>
      <c r="O8" s="447">
        <f>industrie!O18</f>
        <v>0</v>
      </c>
      <c r="P8" s="448">
        <f>industrie!P18</f>
        <v>0</v>
      </c>
      <c r="Q8" s="446">
        <f t="shared" si="0"/>
        <v>58331.886585343018</v>
      </c>
    </row>
    <row r="9" spans="1:17" s="452" customFormat="1">
      <c r="A9" s="450" t="s">
        <v>556</v>
      </c>
      <c r="B9" s="451">
        <f>transport!B14</f>
        <v>1.1709997594120747</v>
      </c>
      <c r="C9" s="451">
        <f>transport!C14</f>
        <v>0</v>
      </c>
      <c r="D9" s="451">
        <f>transport!D14</f>
        <v>4.0740253968281683</v>
      </c>
      <c r="E9" s="451">
        <f>transport!E14</f>
        <v>470.18151723169024</v>
      </c>
      <c r="F9" s="451">
        <f>transport!F14</f>
        <v>0</v>
      </c>
      <c r="G9" s="451">
        <f>transport!G14</f>
        <v>87160.088389725977</v>
      </c>
      <c r="H9" s="451">
        <f>transport!H14</f>
        <v>13790.612207209677</v>
      </c>
      <c r="I9" s="451">
        <f>transport!I14</f>
        <v>0</v>
      </c>
      <c r="J9" s="451">
        <f>transport!J14</f>
        <v>0</v>
      </c>
      <c r="K9" s="451">
        <f>transport!K14</f>
        <v>0</v>
      </c>
      <c r="L9" s="451">
        <f>transport!L14</f>
        <v>0</v>
      </c>
      <c r="M9" s="451">
        <f>transport!M14</f>
        <v>4389.4986089602653</v>
      </c>
      <c r="N9" s="451">
        <f>transport!N14</f>
        <v>0</v>
      </c>
      <c r="O9" s="451">
        <f>transport!O14</f>
        <v>0</v>
      </c>
      <c r="P9" s="451">
        <f>transport!P14</f>
        <v>0</v>
      </c>
      <c r="Q9" s="450">
        <f>SUM(B9:P9)</f>
        <v>105815.62574828384</v>
      </c>
    </row>
    <row r="10" spans="1:17">
      <c r="A10" s="446" t="s">
        <v>546</v>
      </c>
      <c r="B10" s="447">
        <f>transport!B54</f>
        <v>3.7685505959407473</v>
      </c>
      <c r="C10" s="447">
        <f>transport!C54</f>
        <v>0</v>
      </c>
      <c r="D10" s="447">
        <f>transport!D54</f>
        <v>0</v>
      </c>
      <c r="E10" s="447">
        <f>transport!E54</f>
        <v>0</v>
      </c>
      <c r="F10" s="447">
        <f>transport!F54</f>
        <v>0</v>
      </c>
      <c r="G10" s="447">
        <f>transport!G54</f>
        <v>817.5492160751611</v>
      </c>
      <c r="H10" s="447">
        <f>transport!H54</f>
        <v>0</v>
      </c>
      <c r="I10" s="447">
        <f>transport!I54</f>
        <v>0</v>
      </c>
      <c r="J10" s="447">
        <f>transport!J54</f>
        <v>0</v>
      </c>
      <c r="K10" s="447">
        <f>transport!K54</f>
        <v>0</v>
      </c>
      <c r="L10" s="447">
        <f>transport!L54</f>
        <v>0</v>
      </c>
      <c r="M10" s="447">
        <f>transport!M54</f>
        <v>35.004317022207026</v>
      </c>
      <c r="N10" s="447">
        <f>transport!N54</f>
        <v>0</v>
      </c>
      <c r="O10" s="447">
        <f>transport!O54</f>
        <v>0</v>
      </c>
      <c r="P10" s="448">
        <f>transport!P54</f>
        <v>0</v>
      </c>
      <c r="Q10" s="446">
        <f t="shared" si="0"/>
        <v>856.32208369330885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653.32276208909104</v>
      </c>
      <c r="C14" s="454"/>
      <c r="D14" s="454">
        <f>'SEAP template'!E25</f>
        <v>832.29930186858792</v>
      </c>
      <c r="E14" s="454"/>
      <c r="F14" s="454"/>
      <c r="G14" s="454"/>
      <c r="H14" s="454"/>
      <c r="I14" s="454"/>
      <c r="J14" s="454"/>
      <c r="K14" s="454"/>
      <c r="L14" s="454"/>
      <c r="M14" s="454"/>
      <c r="N14" s="454"/>
      <c r="O14" s="454"/>
      <c r="P14" s="455"/>
      <c r="Q14" s="446">
        <f t="shared" si="0"/>
        <v>1485.6220639576791</v>
      </c>
    </row>
    <row r="15" spans="1:17" s="459" customFormat="1">
      <c r="A15" s="456" t="s">
        <v>550</v>
      </c>
      <c r="B15" s="457">
        <f ca="1">SUM(B4:B14)</f>
        <v>60679.8903288949</v>
      </c>
      <c r="C15" s="457">
        <f t="shared" ref="C15:Q15" ca="1" si="1">SUM(C4:C14)</f>
        <v>0</v>
      </c>
      <c r="D15" s="457">
        <f t="shared" ca="1" si="1"/>
        <v>59190.895784880639</v>
      </c>
      <c r="E15" s="457">
        <f t="shared" si="1"/>
        <v>1995.7781079690317</v>
      </c>
      <c r="F15" s="457">
        <f t="shared" ca="1" si="1"/>
        <v>52488.542143766099</v>
      </c>
      <c r="G15" s="457">
        <f t="shared" si="1"/>
        <v>87977.637605801137</v>
      </c>
      <c r="H15" s="457">
        <f t="shared" si="1"/>
        <v>13790.612207209677</v>
      </c>
      <c r="I15" s="457">
        <f t="shared" si="1"/>
        <v>0</v>
      </c>
      <c r="J15" s="457">
        <f t="shared" si="1"/>
        <v>1184.9484161045989</v>
      </c>
      <c r="K15" s="457">
        <f t="shared" si="1"/>
        <v>0</v>
      </c>
      <c r="L15" s="457">
        <f t="shared" ca="1" si="1"/>
        <v>0</v>
      </c>
      <c r="M15" s="457">
        <f t="shared" si="1"/>
        <v>4424.5029259824723</v>
      </c>
      <c r="N15" s="457">
        <f t="shared" ca="1" si="1"/>
        <v>5583.5982367577253</v>
      </c>
      <c r="O15" s="457">
        <f t="shared" si="1"/>
        <v>64.096666666666678</v>
      </c>
      <c r="P15" s="457">
        <f t="shared" si="1"/>
        <v>286</v>
      </c>
      <c r="Q15" s="457">
        <f t="shared" ca="1" si="1"/>
        <v>287666.50242403289</v>
      </c>
    </row>
    <row r="17" spans="1:17">
      <c r="A17" s="460" t="s">
        <v>551</v>
      </c>
      <c r="B17" s="764">
        <f ca="1">huishoudens!B10</f>
        <v>0.1955296472661408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4347.3149813554428</v>
      </c>
      <c r="C22" s="447">
        <f t="shared" ref="C22:C32" ca="1" si="3">C4*$C$17</f>
        <v>0</v>
      </c>
      <c r="D22" s="447">
        <f t="shared" ref="D22:D32" si="4">D4*$D$17</f>
        <v>4972.7486001242605</v>
      </c>
      <c r="E22" s="447">
        <f t="shared" ref="E22:E32" si="5">E4*$E$17</f>
        <v>269.8029263067437</v>
      </c>
      <c r="F22" s="447">
        <f t="shared" ref="F22:F32" si="6">F4*$F$17</f>
        <v>10832.389758089916</v>
      </c>
      <c r="G22" s="447">
        <f t="shared" ref="G22:G32" si="7">G4*$G$17</f>
        <v>0</v>
      </c>
      <c r="H22" s="447">
        <f t="shared" ref="H22:H32" si="8">H4*$H$17</f>
        <v>0</v>
      </c>
      <c r="I22" s="447">
        <f t="shared" ref="I22:I32" si="9">I4*$I$17</f>
        <v>0</v>
      </c>
      <c r="J22" s="447">
        <f t="shared" ref="J22:J32" si="10">J4*$J$17</f>
        <v>323.39683806433561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20745.653103940698</v>
      </c>
    </row>
    <row r="23" spans="1:17">
      <c r="A23" s="446" t="s">
        <v>149</v>
      </c>
      <c r="B23" s="447">
        <f t="shared" ca="1" si="2"/>
        <v>2393.5366205776936</v>
      </c>
      <c r="C23" s="447">
        <f t="shared" ca="1" si="3"/>
        <v>0</v>
      </c>
      <c r="D23" s="447">
        <f t="shared" ca="1" si="4"/>
        <v>963.80100164093949</v>
      </c>
      <c r="E23" s="447">
        <f t="shared" si="5"/>
        <v>24.114543866604379</v>
      </c>
      <c r="F23" s="447">
        <f t="shared" ca="1" si="6"/>
        <v>364.794795549024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3746.2469616342614</v>
      </c>
    </row>
    <row r="24" spans="1:17">
      <c r="A24" s="446" t="s">
        <v>187</v>
      </c>
      <c r="B24" s="447">
        <f t="shared" ca="1" si="2"/>
        <v>122.01284624983904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122.01284624983904</v>
      </c>
    </row>
    <row r="25" spans="1:17">
      <c r="A25" s="446" t="s">
        <v>105</v>
      </c>
      <c r="B25" s="447">
        <f t="shared" ca="1" si="2"/>
        <v>254.14438008713734</v>
      </c>
      <c r="C25" s="447">
        <f t="shared" ca="1" si="3"/>
        <v>0</v>
      </c>
      <c r="D25" s="447">
        <f t="shared" si="4"/>
        <v>13.612613486038292</v>
      </c>
      <c r="E25" s="447">
        <f t="shared" si="5"/>
        <v>3.0898141854613148</v>
      </c>
      <c r="F25" s="447">
        <f t="shared" si="6"/>
        <v>1485.5935960459472</v>
      </c>
      <c r="G25" s="447">
        <f t="shared" si="7"/>
        <v>0</v>
      </c>
      <c r="H25" s="447">
        <f t="shared" si="8"/>
        <v>0</v>
      </c>
      <c r="I25" s="447">
        <f t="shared" si="9"/>
        <v>0</v>
      </c>
      <c r="J25" s="447">
        <f t="shared" si="10"/>
        <v>41.092844351233907</v>
      </c>
      <c r="K25" s="447">
        <f t="shared" si="11"/>
        <v>0</v>
      </c>
      <c r="L25" s="447">
        <f t="shared" si="12"/>
        <v>0</v>
      </c>
      <c r="M25" s="447">
        <f t="shared" si="13"/>
        <v>0</v>
      </c>
      <c r="N25" s="447">
        <f t="shared" si="14"/>
        <v>0</v>
      </c>
      <c r="O25" s="447">
        <f t="shared" si="15"/>
        <v>0</v>
      </c>
      <c r="P25" s="448">
        <f t="shared" si="16"/>
        <v>0</v>
      </c>
      <c r="Q25" s="446">
        <f t="shared" ca="1" si="17"/>
        <v>1797.533248155818</v>
      </c>
    </row>
    <row r="26" spans="1:17">
      <c r="A26" s="446" t="s">
        <v>637</v>
      </c>
      <c r="B26" s="447">
        <f t="shared" ca="1" si="2"/>
        <v>4618.9989261259589</v>
      </c>
      <c r="C26" s="447">
        <f t="shared" ca="1" si="3"/>
        <v>0</v>
      </c>
      <c r="D26" s="447">
        <f t="shared" si="4"/>
        <v>5837.4513211870371</v>
      </c>
      <c r="E26" s="447">
        <f t="shared" si="5"/>
        <v>49.303141738567064</v>
      </c>
      <c r="F26" s="447">
        <f t="shared" si="6"/>
        <v>1331.6626027006639</v>
      </c>
      <c r="G26" s="447">
        <f t="shared" si="7"/>
        <v>0</v>
      </c>
      <c r="H26" s="447">
        <f t="shared" si="8"/>
        <v>0</v>
      </c>
      <c r="I26" s="447">
        <f t="shared" si="9"/>
        <v>0</v>
      </c>
      <c r="J26" s="447">
        <f t="shared" si="10"/>
        <v>54.982056885458384</v>
      </c>
      <c r="K26" s="447">
        <f t="shared" si="11"/>
        <v>0</v>
      </c>
      <c r="L26" s="447">
        <f t="shared" si="12"/>
        <v>0</v>
      </c>
      <c r="M26" s="447">
        <f t="shared" si="13"/>
        <v>0</v>
      </c>
      <c r="N26" s="447">
        <f t="shared" si="14"/>
        <v>0</v>
      </c>
      <c r="O26" s="447">
        <f t="shared" si="15"/>
        <v>0</v>
      </c>
      <c r="P26" s="448">
        <f t="shared" si="16"/>
        <v>0</v>
      </c>
      <c r="Q26" s="446">
        <f t="shared" ca="1" si="17"/>
        <v>11892.398048637684</v>
      </c>
    </row>
    <row r="27" spans="1:17" s="452" customFormat="1">
      <c r="A27" s="450" t="s">
        <v>556</v>
      </c>
      <c r="B27" s="758">
        <f t="shared" ca="1" si="2"/>
        <v>0.2289651699065787</v>
      </c>
      <c r="C27" s="451">
        <f t="shared" ca="1" si="3"/>
        <v>0</v>
      </c>
      <c r="D27" s="451">
        <f t="shared" si="4"/>
        <v>0.82295313015929006</v>
      </c>
      <c r="E27" s="451">
        <f t="shared" si="5"/>
        <v>106.73120441159368</v>
      </c>
      <c r="F27" s="451">
        <f t="shared" si="6"/>
        <v>0</v>
      </c>
      <c r="G27" s="451">
        <f t="shared" si="7"/>
        <v>23271.743600056838</v>
      </c>
      <c r="H27" s="451">
        <f t="shared" si="8"/>
        <v>3433.8624395952097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26813.389162363706</v>
      </c>
    </row>
    <row r="28" spans="1:17">
      <c r="A28" s="446" t="s">
        <v>546</v>
      </c>
      <c r="B28" s="447">
        <f t="shared" ca="1" si="2"/>
        <v>0.73686336872889902</v>
      </c>
      <c r="C28" s="447">
        <f t="shared" ca="1" si="3"/>
        <v>0</v>
      </c>
      <c r="D28" s="447">
        <f t="shared" si="4"/>
        <v>0</v>
      </c>
      <c r="E28" s="447">
        <f t="shared" si="5"/>
        <v>0</v>
      </c>
      <c r="F28" s="447">
        <f t="shared" si="6"/>
        <v>0</v>
      </c>
      <c r="G28" s="447">
        <f t="shared" si="7"/>
        <v>218.28564069206803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219.02250406079693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127.7439692222208</v>
      </c>
      <c r="C32" s="447">
        <f t="shared" ca="1" si="3"/>
        <v>0</v>
      </c>
      <c r="D32" s="447">
        <f t="shared" si="4"/>
        <v>168.12445897745476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295.86842819967558</v>
      </c>
    </row>
    <row r="33" spans="1:17" s="459" customFormat="1">
      <c r="A33" s="456" t="s">
        <v>550</v>
      </c>
      <c r="B33" s="457">
        <f ca="1">SUM(B22:B32)</f>
        <v>11864.71755215693</v>
      </c>
      <c r="C33" s="457">
        <f t="shared" ref="C33:Q33" ca="1" si="19">SUM(C22:C32)</f>
        <v>0</v>
      </c>
      <c r="D33" s="457">
        <f t="shared" ca="1" si="19"/>
        <v>11956.560948545888</v>
      </c>
      <c r="E33" s="457">
        <f t="shared" si="19"/>
        <v>453.04163050897012</v>
      </c>
      <c r="F33" s="457">
        <f t="shared" ca="1" si="19"/>
        <v>14014.44075238555</v>
      </c>
      <c r="G33" s="457">
        <f t="shared" si="19"/>
        <v>23490.029240748907</v>
      </c>
      <c r="H33" s="457">
        <f t="shared" si="19"/>
        <v>3433.8624395952097</v>
      </c>
      <c r="I33" s="457">
        <f t="shared" si="19"/>
        <v>0</v>
      </c>
      <c r="J33" s="457">
        <f t="shared" si="19"/>
        <v>419.47173930102792</v>
      </c>
      <c r="K33" s="457">
        <f t="shared" si="19"/>
        <v>0</v>
      </c>
      <c r="L33" s="457">
        <f t="shared" ca="1" si="19"/>
        <v>0</v>
      </c>
      <c r="M33" s="457">
        <f t="shared" si="19"/>
        <v>0</v>
      </c>
      <c r="N33" s="457">
        <f t="shared" ca="1" si="19"/>
        <v>0</v>
      </c>
      <c r="O33" s="457">
        <f t="shared" si="19"/>
        <v>0</v>
      </c>
      <c r="P33" s="457">
        <f t="shared" si="19"/>
        <v>0</v>
      </c>
      <c r="Q33" s="457">
        <f t="shared" ca="1" si="19"/>
        <v>65632.124303242483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1683.3855680038255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5310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15171.428571428572</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6993.385568003825</v>
      </c>
      <c r="C10" s="1010">
        <f>SUM(C4:C9)</f>
        <v>0</v>
      </c>
      <c r="D10" s="1010">
        <f t="shared" ref="D10:H10" si="0">SUM(D8:D9)</f>
        <v>0</v>
      </c>
      <c r="E10" s="1010">
        <f t="shared" si="0"/>
        <v>0</v>
      </c>
      <c r="F10" s="1010">
        <f t="shared" si="0"/>
        <v>0</v>
      </c>
      <c r="G10" s="1010">
        <f t="shared" si="0"/>
        <v>0</v>
      </c>
      <c r="H10" s="1010">
        <f t="shared" si="0"/>
        <v>0</v>
      </c>
      <c r="I10" s="1010">
        <f>SUM(I8:I9)</f>
        <v>0</v>
      </c>
      <c r="J10" s="1010">
        <f>SUM(J8:J9)</f>
        <v>15171.428571428572</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0.1955296472661408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0.1955296472661408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0.1955296472661408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0.1955296472661408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4024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1446</v>
      </c>
      <c r="C14" s="326"/>
      <c r="D14" s="326"/>
      <c r="E14" s="326"/>
      <c r="F14" s="326"/>
    </row>
    <row r="15" spans="1:6">
      <c r="A15" s="1280" t="s">
        <v>177</v>
      </c>
      <c r="B15" s="1281">
        <v>8</v>
      </c>
      <c r="C15" s="326"/>
      <c r="D15" s="326"/>
      <c r="E15" s="326"/>
      <c r="F15" s="326"/>
    </row>
    <row r="16" spans="1:6">
      <c r="A16" s="1280" t="s">
        <v>6</v>
      </c>
      <c r="B16" s="1281">
        <v>243</v>
      </c>
      <c r="C16" s="326"/>
      <c r="D16" s="326"/>
      <c r="E16" s="326"/>
      <c r="F16" s="326"/>
    </row>
    <row r="17" spans="1:6">
      <c r="A17" s="1280" t="s">
        <v>7</v>
      </c>
      <c r="B17" s="1281">
        <v>353</v>
      </c>
      <c r="C17" s="326"/>
      <c r="D17" s="326"/>
      <c r="E17" s="326"/>
      <c r="F17" s="326"/>
    </row>
    <row r="18" spans="1:6">
      <c r="A18" s="1280" t="s">
        <v>8</v>
      </c>
      <c r="B18" s="1281">
        <v>468</v>
      </c>
      <c r="C18" s="326"/>
      <c r="D18" s="326"/>
      <c r="E18" s="326"/>
      <c r="F18" s="326"/>
    </row>
    <row r="19" spans="1:6">
      <c r="A19" s="1280" t="s">
        <v>9</v>
      </c>
      <c r="B19" s="1281">
        <v>434</v>
      </c>
      <c r="C19" s="326"/>
      <c r="D19" s="326"/>
      <c r="E19" s="326"/>
      <c r="F19" s="326"/>
    </row>
    <row r="20" spans="1:6">
      <c r="A20" s="1280" t="s">
        <v>10</v>
      </c>
      <c r="B20" s="1281">
        <v>501</v>
      </c>
      <c r="C20" s="326"/>
      <c r="D20" s="326"/>
      <c r="E20" s="326"/>
      <c r="F20" s="326"/>
    </row>
    <row r="21" spans="1:6">
      <c r="A21" s="1280" t="s">
        <v>11</v>
      </c>
      <c r="B21" s="1281">
        <v>0</v>
      </c>
      <c r="C21" s="326"/>
      <c r="D21" s="326"/>
      <c r="E21" s="326"/>
      <c r="F21" s="326"/>
    </row>
    <row r="22" spans="1:6">
      <c r="A22" s="1280" t="s">
        <v>12</v>
      </c>
      <c r="B22" s="1281">
        <v>8</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136</v>
      </c>
      <c r="C26" s="326"/>
      <c r="D26" s="326"/>
      <c r="E26" s="326"/>
      <c r="F26" s="326"/>
    </row>
    <row r="27" spans="1:6">
      <c r="A27" s="1280" t="s">
        <v>17</v>
      </c>
      <c r="B27" s="1281">
        <v>262</v>
      </c>
      <c r="C27" s="326"/>
      <c r="D27" s="326"/>
      <c r="E27" s="326"/>
      <c r="F27" s="326"/>
    </row>
    <row r="28" spans="1:6">
      <c r="A28" s="1280" t="s">
        <v>18</v>
      </c>
      <c r="B28" s="1282">
        <v>30055</v>
      </c>
      <c r="C28" s="326"/>
      <c r="D28" s="326"/>
      <c r="E28" s="326"/>
      <c r="F28" s="326"/>
    </row>
    <row r="29" spans="1:6">
      <c r="A29" s="1280" t="s">
        <v>972</v>
      </c>
      <c r="B29" s="1282">
        <v>103</v>
      </c>
      <c r="C29" s="326"/>
      <c r="D29" s="326"/>
      <c r="E29" s="326"/>
      <c r="F29" s="326"/>
    </row>
    <row r="30" spans="1:6">
      <c r="A30" s="1275" t="s">
        <v>973</v>
      </c>
      <c r="B30" s="1283">
        <v>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24563.171846011999</v>
      </c>
    </row>
    <row r="39" spans="1:6">
      <c r="A39" s="1280" t="s">
        <v>29</v>
      </c>
      <c r="B39" s="1280" t="s">
        <v>30</v>
      </c>
      <c r="C39" s="1281">
        <v>1628</v>
      </c>
      <c r="D39" s="1281">
        <v>27292203.2453967</v>
      </c>
      <c r="E39" s="1281">
        <v>3946</v>
      </c>
      <c r="F39" s="1281">
        <v>21353527.829680599</v>
      </c>
    </row>
    <row r="40" spans="1:6">
      <c r="A40" s="1280" t="s">
        <v>29</v>
      </c>
      <c r="B40" s="1280" t="s">
        <v>28</v>
      </c>
      <c r="C40" s="1281">
        <v>0</v>
      </c>
      <c r="D40" s="1281">
        <v>0</v>
      </c>
      <c r="E40" s="1281">
        <v>0</v>
      </c>
      <c r="F40" s="1281">
        <v>0</v>
      </c>
    </row>
    <row r="41" spans="1:6">
      <c r="A41" s="1280" t="s">
        <v>31</v>
      </c>
      <c r="B41" s="1280" t="s">
        <v>32</v>
      </c>
      <c r="C41" s="1281">
        <v>10</v>
      </c>
      <c r="D41" s="1281">
        <v>159477.864785577</v>
      </c>
      <c r="E41" s="1281">
        <v>75</v>
      </c>
      <c r="F41" s="1281">
        <v>473377.83679637499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4</v>
      </c>
      <c r="F45" s="1281">
        <v>19114</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18</v>
      </c>
      <c r="D48" s="1281">
        <v>31878519.770760499</v>
      </c>
      <c r="E48" s="1281">
        <v>39</v>
      </c>
      <c r="F48" s="1281">
        <v>22908443.966808699</v>
      </c>
    </row>
    <row r="49" spans="1:6">
      <c r="A49" s="1280" t="s">
        <v>31</v>
      </c>
      <c r="B49" s="1280" t="s">
        <v>39</v>
      </c>
      <c r="C49" s="1281">
        <v>0</v>
      </c>
      <c r="D49" s="1281">
        <v>0</v>
      </c>
      <c r="E49" s="1281">
        <v>0</v>
      </c>
      <c r="F49" s="1281">
        <v>0</v>
      </c>
    </row>
    <row r="50" spans="1:6">
      <c r="A50" s="1280" t="s">
        <v>31</v>
      </c>
      <c r="B50" s="1280" t="s">
        <v>40</v>
      </c>
      <c r="C50" s="1281">
        <v>0</v>
      </c>
      <c r="D50" s="1281">
        <v>0</v>
      </c>
      <c r="E50" s="1281">
        <v>10</v>
      </c>
      <c r="F50" s="1281">
        <v>222074.776672359</v>
      </c>
    </row>
    <row r="51" spans="1:6">
      <c r="A51" s="1280" t="s">
        <v>41</v>
      </c>
      <c r="B51" s="1280" t="s">
        <v>42</v>
      </c>
      <c r="C51" s="1281">
        <v>4</v>
      </c>
      <c r="D51" s="1281">
        <v>74710.837775451102</v>
      </c>
      <c r="E51" s="1281">
        <v>66</v>
      </c>
      <c r="F51" s="1281">
        <v>1256067.9896060999</v>
      </c>
    </row>
    <row r="52" spans="1:6">
      <c r="A52" s="1280" t="s">
        <v>41</v>
      </c>
      <c r="B52" s="1280" t="s">
        <v>28</v>
      </c>
      <c r="C52" s="1281">
        <v>0</v>
      </c>
      <c r="D52" s="1281">
        <v>0</v>
      </c>
      <c r="E52" s="1281">
        <v>11</v>
      </c>
      <c r="F52" s="1281">
        <v>43706.155340903402</v>
      </c>
    </row>
    <row r="53" spans="1:6">
      <c r="A53" s="1280" t="s">
        <v>43</v>
      </c>
      <c r="B53" s="1280" t="s">
        <v>44</v>
      </c>
      <c r="C53" s="1281">
        <v>48</v>
      </c>
      <c r="D53" s="1281">
        <v>832299.30186858797</v>
      </c>
      <c r="E53" s="1281">
        <v>125</v>
      </c>
      <c r="F53" s="1281">
        <v>653322.762089091</v>
      </c>
    </row>
    <row r="54" spans="1:6">
      <c r="A54" s="1280" t="s">
        <v>45</v>
      </c>
      <c r="B54" s="1280" t="s">
        <v>46</v>
      </c>
      <c r="C54" s="1281">
        <v>0</v>
      </c>
      <c r="D54" s="1281">
        <v>0</v>
      </c>
      <c r="E54" s="1281">
        <v>5</v>
      </c>
      <c r="F54" s="1281">
        <v>624012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14</v>
      </c>
      <c r="D57" s="1281">
        <v>383346.79826460802</v>
      </c>
      <c r="E57" s="1281">
        <v>75</v>
      </c>
      <c r="F57" s="1281">
        <v>1443829.2078682201</v>
      </c>
    </row>
    <row r="58" spans="1:6">
      <c r="A58" s="1280" t="s">
        <v>48</v>
      </c>
      <c r="B58" s="1280" t="s">
        <v>50</v>
      </c>
      <c r="C58" s="1281">
        <v>12</v>
      </c>
      <c r="D58" s="1281">
        <v>238261.89055683499</v>
      </c>
      <c r="E58" s="1281">
        <v>24</v>
      </c>
      <c r="F58" s="1281">
        <v>579060.66580817197</v>
      </c>
    </row>
    <row r="59" spans="1:6">
      <c r="A59" s="1280" t="s">
        <v>48</v>
      </c>
      <c r="B59" s="1280" t="s">
        <v>51</v>
      </c>
      <c r="C59" s="1281">
        <v>10</v>
      </c>
      <c r="D59" s="1281">
        <v>295665.24637179502</v>
      </c>
      <c r="E59" s="1281">
        <v>82</v>
      </c>
      <c r="F59" s="1281">
        <v>2188312.8700268902</v>
      </c>
    </row>
    <row r="60" spans="1:6">
      <c r="A60" s="1280" t="s">
        <v>48</v>
      </c>
      <c r="B60" s="1280" t="s">
        <v>52</v>
      </c>
      <c r="C60" s="1281">
        <v>16</v>
      </c>
      <c r="D60" s="1281">
        <v>415385.36710017303</v>
      </c>
      <c r="E60" s="1281">
        <v>31</v>
      </c>
      <c r="F60" s="1281">
        <v>457573.33164344198</v>
      </c>
    </row>
    <row r="61" spans="1:6">
      <c r="A61" s="1280" t="s">
        <v>48</v>
      </c>
      <c r="B61" s="1280" t="s">
        <v>53</v>
      </c>
      <c r="C61" s="1281">
        <v>30</v>
      </c>
      <c r="D61" s="1281">
        <v>1887444.7551569899</v>
      </c>
      <c r="E61" s="1281">
        <v>87</v>
      </c>
      <c r="F61" s="1281">
        <v>912047.14496522699</v>
      </c>
    </row>
    <row r="62" spans="1:6">
      <c r="A62" s="1280" t="s">
        <v>48</v>
      </c>
      <c r="B62" s="1280" t="s">
        <v>54</v>
      </c>
      <c r="C62" s="1281">
        <v>3</v>
      </c>
      <c r="D62" s="1281">
        <v>170877.321554953</v>
      </c>
      <c r="E62" s="1281">
        <v>3</v>
      </c>
      <c r="F62" s="1281">
        <v>36108.129716149597</v>
      </c>
    </row>
    <row r="63" spans="1:6">
      <c r="A63" s="1280" t="s">
        <v>48</v>
      </c>
      <c r="B63" s="1280" t="s">
        <v>28</v>
      </c>
      <c r="C63" s="1281">
        <v>56</v>
      </c>
      <c r="D63" s="1281">
        <v>1898699.4273487299</v>
      </c>
      <c r="E63" s="1281">
        <v>101</v>
      </c>
      <c r="F63" s="1281">
        <v>1314366.34596674</v>
      </c>
    </row>
    <row r="64" spans="1:6">
      <c r="A64" s="1280" t="s">
        <v>55</v>
      </c>
      <c r="B64" s="1280" t="s">
        <v>56</v>
      </c>
      <c r="C64" s="1281">
        <v>0</v>
      </c>
      <c r="D64" s="1281">
        <v>0</v>
      </c>
      <c r="E64" s="1281">
        <v>0</v>
      </c>
      <c r="F64" s="1281">
        <v>0</v>
      </c>
    </row>
    <row r="65" spans="1:6">
      <c r="A65" s="1280" t="s">
        <v>55</v>
      </c>
      <c r="B65" s="1280" t="s">
        <v>28</v>
      </c>
      <c r="C65" s="1281">
        <v>1</v>
      </c>
      <c r="D65" s="1281">
        <v>17132.601230661199</v>
      </c>
      <c r="E65" s="1281">
        <v>2</v>
      </c>
      <c r="F65" s="1281">
        <v>34800.983228012003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521758.60738447902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10750616</v>
      </c>
      <c r="E73" s="445"/>
      <c r="F73" s="326"/>
    </row>
    <row r="74" spans="1:6">
      <c r="A74" s="1280" t="s">
        <v>63</v>
      </c>
      <c r="B74" s="1280" t="s">
        <v>754</v>
      </c>
      <c r="C74" s="1293" t="s">
        <v>755</v>
      </c>
      <c r="D74" s="1281">
        <v>681521.77552638308</v>
      </c>
      <c r="E74" s="445"/>
      <c r="F74" s="326"/>
    </row>
    <row r="75" spans="1:6">
      <c r="A75" s="1280" t="s">
        <v>64</v>
      </c>
      <c r="B75" s="1280" t="s">
        <v>752</v>
      </c>
      <c r="C75" s="1293" t="s">
        <v>756</v>
      </c>
      <c r="D75" s="1281">
        <v>25409479</v>
      </c>
      <c r="E75" s="445"/>
      <c r="F75" s="326"/>
    </row>
    <row r="76" spans="1:6">
      <c r="A76" s="1280" t="s">
        <v>64</v>
      </c>
      <c r="B76" s="1280" t="s">
        <v>754</v>
      </c>
      <c r="C76" s="1293" t="s">
        <v>757</v>
      </c>
      <c r="D76" s="1281">
        <v>993127.77552638308</v>
      </c>
      <c r="E76" s="445"/>
      <c r="F76" s="326"/>
    </row>
    <row r="77" spans="1:6">
      <c r="A77" s="1280" t="s">
        <v>65</v>
      </c>
      <c r="B77" s="1280" t="s">
        <v>752</v>
      </c>
      <c r="C77" s="1293" t="s">
        <v>758</v>
      </c>
      <c r="D77" s="1281">
        <v>68946866</v>
      </c>
      <c r="E77" s="445"/>
      <c r="F77" s="326"/>
    </row>
    <row r="78" spans="1:6">
      <c r="A78" s="1275" t="s">
        <v>65</v>
      </c>
      <c r="B78" s="1275" t="s">
        <v>754</v>
      </c>
      <c r="C78" s="1275" t="s">
        <v>759</v>
      </c>
      <c r="D78" s="1283">
        <v>8970748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224230.44894723393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880.00576555057501</v>
      </c>
      <c r="C91" s="326"/>
      <c r="D91" s="326"/>
      <c r="E91" s="326"/>
      <c r="F91" s="326"/>
    </row>
    <row r="92" spans="1:6">
      <c r="A92" s="1275" t="s">
        <v>68</v>
      </c>
      <c r="B92" s="1276">
        <v>803.37980245325048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484</v>
      </c>
      <c r="C97" s="326"/>
      <c r="D97" s="326"/>
      <c r="E97" s="326"/>
      <c r="F97" s="326"/>
    </row>
    <row r="98" spans="1:6">
      <c r="A98" s="1280" t="s">
        <v>71</v>
      </c>
      <c r="B98" s="1281">
        <v>1</v>
      </c>
      <c r="C98" s="326"/>
      <c r="D98" s="326"/>
      <c r="E98" s="326"/>
      <c r="F98" s="326"/>
    </row>
    <row r="99" spans="1:6">
      <c r="A99" s="1280" t="s">
        <v>72</v>
      </c>
      <c r="B99" s="1281">
        <v>64</v>
      </c>
      <c r="C99" s="326"/>
      <c r="D99" s="326"/>
      <c r="E99" s="326"/>
      <c r="F99" s="326"/>
    </row>
    <row r="100" spans="1:6">
      <c r="A100" s="1280" t="s">
        <v>73</v>
      </c>
      <c r="B100" s="1281">
        <v>466</v>
      </c>
      <c r="C100" s="326"/>
      <c r="D100" s="326"/>
      <c r="E100" s="326"/>
      <c r="F100" s="326"/>
    </row>
    <row r="101" spans="1:6">
      <c r="A101" s="1280" t="s">
        <v>74</v>
      </c>
      <c r="B101" s="1281">
        <v>58</v>
      </c>
      <c r="C101" s="326"/>
      <c r="D101" s="326"/>
      <c r="E101" s="326"/>
      <c r="F101" s="326"/>
    </row>
    <row r="102" spans="1:6">
      <c r="A102" s="1280" t="s">
        <v>75</v>
      </c>
      <c r="B102" s="1281">
        <v>82</v>
      </c>
      <c r="C102" s="326"/>
      <c r="D102" s="326"/>
      <c r="E102" s="326"/>
      <c r="F102" s="326"/>
    </row>
    <row r="103" spans="1:6">
      <c r="A103" s="1280" t="s">
        <v>76</v>
      </c>
      <c r="B103" s="1281">
        <v>363</v>
      </c>
      <c r="C103" s="326"/>
      <c r="D103" s="326"/>
      <c r="E103" s="326"/>
      <c r="F103" s="326"/>
    </row>
    <row r="104" spans="1:6">
      <c r="A104" s="1280" t="s">
        <v>77</v>
      </c>
      <c r="B104" s="1281">
        <v>2072</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60679.8903288949</v>
      </c>
      <c r="C3" s="43" t="s">
        <v>163</v>
      </c>
      <c r="D3" s="43"/>
      <c r="E3" s="156"/>
      <c r="F3" s="43"/>
      <c r="G3" s="43"/>
      <c r="H3" s="43"/>
      <c r="I3" s="43"/>
      <c r="J3" s="43"/>
      <c r="K3" s="96"/>
    </row>
    <row r="4" spans="1:11">
      <c r="A4" s="352" t="s">
        <v>164</v>
      </c>
      <c r="B4" s="49">
        <f>IF(ISERROR('SEAP template'!B78+'SEAP template'!C78),0,'SEAP template'!B78+'SEAP template'!C78)</f>
        <v>6993.385568003825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0.1955296472661408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624.01199999999994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624.01199999999994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0.1955296472661408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122.01284624983904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21353.527829680599</v>
      </c>
      <c r="C5" s="17">
        <f>IF(ISERROR('Eigen informatie GS &amp; warmtenet'!B57),0,'Eigen informatie GS &amp; warmtenet'!B57)</f>
        <v>0</v>
      </c>
      <c r="D5" s="30">
        <f>(SUM(HH_hh_gas_kWh,HH_rest_gas_kWh)/1000)*0.902</f>
        <v>24617.567327347824</v>
      </c>
      <c r="E5" s="17">
        <f>B32*B41</f>
        <v>1188.5591467257432</v>
      </c>
      <c r="F5" s="17">
        <f>B36*B45</f>
        <v>40570.748157640133</v>
      </c>
      <c r="G5" s="18"/>
      <c r="H5" s="17"/>
      <c r="I5" s="17"/>
      <c r="J5" s="17">
        <f>B35*B44+C35*C44</f>
        <v>913.55039001224759</v>
      </c>
      <c r="K5" s="17"/>
      <c r="L5" s="17"/>
      <c r="M5" s="17"/>
      <c r="N5" s="17">
        <f>B34*B43+C34*C43</f>
        <v>5133.0074854736449</v>
      </c>
      <c r="O5" s="17">
        <f>B52*B53*B54</f>
        <v>64.096666666666678</v>
      </c>
      <c r="P5" s="17">
        <f>B60*B61*B62/1000-B60*B61*B62/1000/B63</f>
        <v>286</v>
      </c>
    </row>
    <row r="6" spans="1:16">
      <c r="A6" s="16" t="s">
        <v>615</v>
      </c>
      <c r="B6" s="766">
        <f>kWh_PV_kleiner_dan_10kW</f>
        <v>880.00576555057501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22233.533595231173</v>
      </c>
      <c r="C8" s="21">
        <f>C5</f>
        <v>0</v>
      </c>
      <c r="D8" s="21">
        <f>D5</f>
        <v>24617.567327347824</v>
      </c>
      <c r="E8" s="21">
        <f>E5</f>
        <v>1188.5591467257432</v>
      </c>
      <c r="F8" s="21">
        <f>F5</f>
        <v>40570.748157640133</v>
      </c>
      <c r="G8" s="21"/>
      <c r="H8" s="21"/>
      <c r="I8" s="21"/>
      <c r="J8" s="21">
        <f>J5</f>
        <v>913.55039001224759</v>
      </c>
      <c r="K8" s="21"/>
      <c r="L8" s="21">
        <f>L5</f>
        <v>0</v>
      </c>
      <c r="M8" s="21">
        <f>M5</f>
        <v>0</v>
      </c>
      <c r="N8" s="21">
        <f>N5</f>
        <v>5133.0074854736449</v>
      </c>
      <c r="O8" s="21">
        <f>O5</f>
        <v>64.096666666666678</v>
      </c>
      <c r="P8" s="21">
        <f>P5</f>
        <v>286</v>
      </c>
    </row>
    <row r="9" spans="1:16">
      <c r="B9" s="19"/>
      <c r="C9" s="19"/>
      <c r="D9" s="256"/>
      <c r="E9" s="19"/>
      <c r="F9" s="19"/>
      <c r="G9" s="19"/>
      <c r="H9" s="19"/>
      <c r="I9" s="19"/>
      <c r="J9" s="19"/>
      <c r="K9" s="19"/>
      <c r="L9" s="19"/>
      <c r="M9" s="19"/>
      <c r="N9" s="19"/>
      <c r="O9" s="19"/>
      <c r="P9" s="19"/>
    </row>
    <row r="10" spans="1:16">
      <c r="A10" s="24" t="s">
        <v>207</v>
      </c>
      <c r="B10" s="25">
        <f ca="1">'EF ele_warmte'!B12</f>
        <v>0.1955296472661408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4347.3149813554428</v>
      </c>
      <c r="C12" s="23">
        <f ca="1">C10*C8</f>
        <v>0</v>
      </c>
      <c r="D12" s="23">
        <f>D8*D10</f>
        <v>4972.7486001242605</v>
      </c>
      <c r="E12" s="23">
        <f>E10*E8</f>
        <v>269.8029263067437</v>
      </c>
      <c r="F12" s="23">
        <f>F10*F8</f>
        <v>10832.389758089916</v>
      </c>
      <c r="G12" s="23"/>
      <c r="H12" s="23"/>
      <c r="I12" s="23"/>
      <c r="J12" s="23">
        <f>J10*J8</f>
        <v>323.39683806433561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4024</v>
      </c>
      <c r="C26" s="36"/>
      <c r="D26" s="226"/>
    </row>
    <row r="27" spans="1:5" s="15" customFormat="1">
      <c r="A27" s="228" t="s">
        <v>695</v>
      </c>
      <c r="B27" s="37">
        <f>SUM(HH_hh_gas_aantal,HH_rest_gas_aantal)</f>
        <v>1628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1546.6</v>
      </c>
      <c r="C31" s="34" t="s">
        <v>104</v>
      </c>
      <c r="D31" s="172"/>
    </row>
    <row r="32" spans="1:5">
      <c r="A32" s="169" t="s">
        <v>72</v>
      </c>
      <c r="B32" s="33">
        <f>IF((B21*($B$26-($B$27-0.05*$B$27)-$B$60))&lt;0,0,B21*($B$26-($B$27-0.05*$B$27)-$B$60))</f>
        <v>17.457353847005109</v>
      </c>
      <c r="C32" s="34" t="s">
        <v>104</v>
      </c>
      <c r="D32" s="172"/>
    </row>
    <row r="33" spans="1:6">
      <c r="A33" s="169" t="s">
        <v>73</v>
      </c>
      <c r="B33" s="33">
        <f>IF((B22*($B$26-($B$27-0.05*$B$27)-$B$60))&lt;0,0,B22*($B$26-($B$27-0.05*$B$27)-$B$60))</f>
        <v>500.32538610498329</v>
      </c>
      <c r="C33" s="34" t="s">
        <v>104</v>
      </c>
      <c r="D33" s="172"/>
    </row>
    <row r="34" spans="1:6">
      <c r="A34" s="169" t="s">
        <v>74</v>
      </c>
      <c r="B34" s="33">
        <f>IF((B24*($B$26-($B$27-0.05*$B$27)-$B$60))&lt;0,0,B24*($B$26-($B$27-0.05*$B$27)-$B$60))</f>
        <v>99.770169587669884</v>
      </c>
      <c r="C34" s="33">
        <f>B26*C24</f>
        <v>822.81792167351693</v>
      </c>
      <c r="D34" s="231"/>
    </row>
    <row r="35" spans="1:6">
      <c r="A35" s="169" t="s">
        <v>76</v>
      </c>
      <c r="B35" s="33">
        <f>IF((B19*($B$26-($B$27-0.05*$B$27)-$B$60))&lt;0,0,B19*($B$26-($B$27-0.05*$B$27)-$B$60))</f>
        <v>51.956410258943784</v>
      </c>
      <c r="C35" s="33">
        <f>B35/2</f>
        <v>25.978205129471892</v>
      </c>
      <c r="D35" s="231"/>
    </row>
    <row r="36" spans="1:6">
      <c r="A36" s="169" t="s">
        <v>77</v>
      </c>
      <c r="B36" s="33">
        <f>IF((B18*($B$26-($B$27-0.05*$B$27)-$B$60))&lt;0,0,B18*($B$26-($B$27-0.05*$B$27)-$B$60))</f>
        <v>1792.890680201398</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6931.297695994841</v>
      </c>
      <c r="C5" s="17">
        <f>IF(ISERROR('Eigen informatie GS &amp; warmtenet'!B58),0,'Eigen informatie GS &amp; warmtenet'!B58)</f>
        <v>0</v>
      </c>
      <c r="D5" s="30">
        <f>SUM(D6:D12)</f>
        <v>4771.2920873313833</v>
      </c>
      <c r="E5" s="17">
        <f>SUM(E6:E12)</f>
        <v>106.23147077799285</v>
      </c>
      <c r="F5" s="17">
        <f>SUM(F6:F12)</f>
        <v>1366.2726425057078</v>
      </c>
      <c r="G5" s="18"/>
      <c r="H5" s="17"/>
      <c r="I5" s="17"/>
      <c r="J5" s="17">
        <f>SUM(J6:J12)</f>
        <v>0</v>
      </c>
      <c r="K5" s="17"/>
      <c r="L5" s="17"/>
      <c r="M5" s="17"/>
      <c r="N5" s="17">
        <f>SUM(N6:N12)</f>
        <v>383.23472043969241</v>
      </c>
      <c r="O5" s="17">
        <f>B38*B39*B40</f>
        <v>0</v>
      </c>
      <c r="P5" s="17">
        <f>B46*B47*B48/1000-B46*B47*B48/1000/B49</f>
        <v>0</v>
      </c>
      <c r="R5" s="32"/>
    </row>
    <row r="6" spans="1:18">
      <c r="A6" s="32" t="s">
        <v>53</v>
      </c>
      <c r="B6" s="37">
        <f>B26</f>
        <v>912.04714496522695</v>
      </c>
      <c r="C6" s="33"/>
      <c r="D6" s="37">
        <f>IF(ISERROR(TER_kantoor_gas_kWh/1000),0,TER_kantoor_gas_kWh/1000)*0.902</f>
        <v>1702.4751691516049</v>
      </c>
      <c r="E6" s="33">
        <f>$C$26*'E Balans VL '!I12/100/3.6*1000000</f>
        <v>31.925237836170634</v>
      </c>
      <c r="F6" s="33">
        <f>$C$26*('E Balans VL '!L12+'E Balans VL '!N12)/100/3.6*1000000</f>
        <v>138.28592863705009</v>
      </c>
      <c r="G6" s="34"/>
      <c r="H6" s="33"/>
      <c r="I6" s="33"/>
      <c r="J6" s="33">
        <f>$C$26*('E Balans VL '!D12+'E Balans VL '!E12)/100/3.6*1000000</f>
        <v>0</v>
      </c>
      <c r="K6" s="33"/>
      <c r="L6" s="33"/>
      <c r="M6" s="33"/>
      <c r="N6" s="33">
        <f>$C$26*'E Balans VL '!Y12/100/3.6*1000000</f>
        <v>7.0498389676811222</v>
      </c>
      <c r="O6" s="33"/>
      <c r="P6" s="33"/>
      <c r="R6" s="32"/>
    </row>
    <row r="7" spans="1:18">
      <c r="A7" s="32" t="s">
        <v>52</v>
      </c>
      <c r="B7" s="37">
        <f t="shared" ref="B7:B12" si="0">B27</f>
        <v>457.57333164344197</v>
      </c>
      <c r="C7" s="33"/>
      <c r="D7" s="37">
        <f>IF(ISERROR(TER_horeca_gas_kWh/1000),0,TER_horeca_gas_kWh/1000)*0.902</f>
        <v>374.6776011243561</v>
      </c>
      <c r="E7" s="33">
        <f>$C$27*'E Balans VL '!I9/100/3.6*1000000</f>
        <v>25.813220148236613</v>
      </c>
      <c r="F7" s="33">
        <f>$C$27*('E Balans VL '!L9+'E Balans VL '!N9)/100/3.6*1000000</f>
        <v>79.711806615617391</v>
      </c>
      <c r="G7" s="34"/>
      <c r="H7" s="33"/>
      <c r="I7" s="33"/>
      <c r="J7" s="33">
        <f>$C$27*('E Balans VL '!D9+'E Balans VL '!E9)/100/3.6*1000000</f>
        <v>0</v>
      </c>
      <c r="K7" s="33"/>
      <c r="L7" s="33"/>
      <c r="M7" s="33"/>
      <c r="N7" s="33">
        <f>$C$27*'E Balans VL '!Y9/100/3.6*1000000</f>
        <v>0</v>
      </c>
      <c r="O7" s="33"/>
      <c r="P7" s="33"/>
      <c r="R7" s="32"/>
    </row>
    <row r="8" spans="1:18">
      <c r="A8" s="6" t="s">
        <v>51</v>
      </c>
      <c r="B8" s="37">
        <f t="shared" si="0"/>
        <v>2188.3128700268903</v>
      </c>
      <c r="C8" s="33"/>
      <c r="D8" s="37">
        <f>IF(ISERROR(TER_handel_gas_kWh/1000),0,TER_handel_gas_kWh/1000)*0.902</f>
        <v>266.6900522273591</v>
      </c>
      <c r="E8" s="33">
        <f>$C$28*'E Balans VL '!I13/100/3.6*1000000</f>
        <v>11.234575945354987</v>
      </c>
      <c r="F8" s="33">
        <f>$C$28*('E Balans VL '!L13+'E Balans VL '!N13)/100/3.6*1000000</f>
        <v>337.4040316532583</v>
      </c>
      <c r="G8" s="34"/>
      <c r="H8" s="33"/>
      <c r="I8" s="33"/>
      <c r="J8" s="33">
        <f>$C$28*('E Balans VL '!D13+'E Balans VL '!E13)/100/3.6*1000000</f>
        <v>0</v>
      </c>
      <c r="K8" s="33"/>
      <c r="L8" s="33"/>
      <c r="M8" s="33"/>
      <c r="N8" s="33">
        <f>$C$28*'E Balans VL '!Y13/100/3.6*1000000</f>
        <v>1.0235006412656844</v>
      </c>
      <c r="O8" s="33"/>
      <c r="P8" s="33"/>
      <c r="R8" s="32"/>
    </row>
    <row r="9" spans="1:18">
      <c r="A9" s="32" t="s">
        <v>50</v>
      </c>
      <c r="B9" s="37">
        <f t="shared" si="0"/>
        <v>579.06066580817196</v>
      </c>
      <c r="C9" s="33"/>
      <c r="D9" s="37">
        <f>IF(ISERROR(TER_gezond_gas_kWh/1000),0,TER_gezond_gas_kWh/1000)*0.902</f>
        <v>214.91222528226518</v>
      </c>
      <c r="E9" s="33">
        <f>$C$29*'E Balans VL '!I10/100/3.6*1000000</f>
        <v>0.24001652205522583</v>
      </c>
      <c r="F9" s="33">
        <f>$C$29*('E Balans VL '!L10+'E Balans VL '!N10)/100/3.6*1000000</f>
        <v>142.61433715080176</v>
      </c>
      <c r="G9" s="34"/>
      <c r="H9" s="33"/>
      <c r="I9" s="33"/>
      <c r="J9" s="33">
        <f>$C$29*('E Balans VL '!D10+'E Balans VL '!E10)/100/3.6*1000000</f>
        <v>0</v>
      </c>
      <c r="K9" s="33"/>
      <c r="L9" s="33"/>
      <c r="M9" s="33"/>
      <c r="N9" s="33">
        <f>$C$29*'E Balans VL '!Y10/100/3.6*1000000</f>
        <v>5.0045174001813031</v>
      </c>
      <c r="O9" s="33"/>
      <c r="P9" s="33"/>
      <c r="R9" s="32"/>
    </row>
    <row r="10" spans="1:18">
      <c r="A10" s="32" t="s">
        <v>49</v>
      </c>
      <c r="B10" s="37">
        <f t="shared" si="0"/>
        <v>1443.82920786822</v>
      </c>
      <c r="C10" s="33"/>
      <c r="D10" s="37">
        <f>IF(ISERROR(TER_ander_gas_kWh/1000),0,TER_ander_gas_kWh/1000)*0.902</f>
        <v>345.77881203467643</v>
      </c>
      <c r="E10" s="33">
        <f>$C$30*'E Balans VL '!I14/100/3.6*1000000</f>
        <v>8.8016184743258865</v>
      </c>
      <c r="F10" s="33">
        <f>$C$30*('E Balans VL '!L14+'E Balans VL '!N14)/100/3.6*1000000</f>
        <v>382.77890122247237</v>
      </c>
      <c r="G10" s="34"/>
      <c r="H10" s="33"/>
      <c r="I10" s="33"/>
      <c r="J10" s="33">
        <f>$C$30*('E Balans VL '!D14+'E Balans VL '!E14)/100/3.6*1000000</f>
        <v>0</v>
      </c>
      <c r="K10" s="33"/>
      <c r="L10" s="33"/>
      <c r="M10" s="33"/>
      <c r="N10" s="33">
        <f>$C$30*'E Balans VL '!Y14/100/3.6*1000000</f>
        <v>332.7714335608099</v>
      </c>
      <c r="O10" s="33"/>
      <c r="P10" s="33"/>
      <c r="R10" s="32"/>
    </row>
    <row r="11" spans="1:18">
      <c r="A11" s="32" t="s">
        <v>54</v>
      </c>
      <c r="B11" s="37">
        <f t="shared" si="0"/>
        <v>36.108129716149598</v>
      </c>
      <c r="C11" s="33"/>
      <c r="D11" s="37">
        <f>IF(ISERROR(TER_onderwijs_gas_kWh/1000),0,TER_onderwijs_gas_kWh/1000)*0.902</f>
        <v>154.1313440425676</v>
      </c>
      <c r="E11" s="33">
        <f>$C$31*'E Balans VL '!I11/100/3.6*1000000</f>
        <v>2.7516275013883058E-2</v>
      </c>
      <c r="F11" s="33">
        <f>$C$31*('E Balans VL '!L11+'E Balans VL '!N11)/100/3.6*1000000</f>
        <v>26.129821470448185</v>
      </c>
      <c r="G11" s="34"/>
      <c r="H11" s="33"/>
      <c r="I11" s="33"/>
      <c r="J11" s="33">
        <f>$C$31*('E Balans VL '!D11+'E Balans VL '!E11)/100/3.6*1000000</f>
        <v>0</v>
      </c>
      <c r="K11" s="33"/>
      <c r="L11" s="33"/>
      <c r="M11" s="33"/>
      <c r="N11" s="33">
        <f>$C$31*'E Balans VL '!Y11/100/3.6*1000000</f>
        <v>0.10641928795924517</v>
      </c>
      <c r="O11" s="33"/>
      <c r="P11" s="33"/>
      <c r="R11" s="32"/>
    </row>
    <row r="12" spans="1:18">
      <c r="A12" s="32" t="s">
        <v>249</v>
      </c>
      <c r="B12" s="37">
        <f t="shared" si="0"/>
        <v>1314.36634596674</v>
      </c>
      <c r="C12" s="33"/>
      <c r="D12" s="37">
        <f>IF(ISERROR(TER_rest_gas_kWh/1000),0,TER_rest_gas_kWh/1000)*0.902</f>
        <v>1712.6268834685543</v>
      </c>
      <c r="E12" s="33">
        <f>$C$32*'E Balans VL '!I8/100/3.6*1000000</f>
        <v>28.189285576835609</v>
      </c>
      <c r="F12" s="33">
        <f>$C$32*('E Balans VL '!L8+'E Balans VL '!N8)/100/3.6*1000000</f>
        <v>259.34781575605979</v>
      </c>
      <c r="G12" s="34"/>
      <c r="H12" s="33"/>
      <c r="I12" s="33"/>
      <c r="J12" s="33">
        <f>$C$32*('E Balans VL '!D8+'E Balans VL '!E8)/100/3.6*1000000</f>
        <v>0</v>
      </c>
      <c r="K12" s="33"/>
      <c r="L12" s="33"/>
      <c r="M12" s="33"/>
      <c r="N12" s="33">
        <f>$C$32*'E Balans VL '!Y8/100/3.6*1000000</f>
        <v>37.27901058179512</v>
      </c>
      <c r="O12" s="33"/>
      <c r="P12" s="33"/>
      <c r="R12" s="32"/>
    </row>
    <row r="13" spans="1:18">
      <c r="A13" s="16" t="s">
        <v>483</v>
      </c>
      <c r="B13" s="244">
        <f ca="1">'lokale energieproductie'!N38+'lokale energieproductie'!N31</f>
        <v>5310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-15171.428571428572</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12241.297695994841</v>
      </c>
      <c r="C16" s="21">
        <f ca="1">C5+C13+C14</f>
        <v>0</v>
      </c>
      <c r="D16" s="21">
        <f t="shared" ref="D16:N16" ca="1" si="1">MAX((D5+D13+D14),0)</f>
        <v>4771.2920873313833</v>
      </c>
      <c r="E16" s="21">
        <f t="shared" si="1"/>
        <v>106.23147077799285</v>
      </c>
      <c r="F16" s="21">
        <f t="shared" ca="1" si="1"/>
        <v>1366.2726425057078</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0.1955296472661408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2393.5366205776936</v>
      </c>
      <c r="C20" s="23">
        <f t="shared" ref="C20:P20" ca="1" si="2">C16*C18</f>
        <v>0</v>
      </c>
      <c r="D20" s="23">
        <f t="shared" ca="1" si="2"/>
        <v>963.80100164093949</v>
      </c>
      <c r="E20" s="23">
        <f t="shared" si="2"/>
        <v>24.114543866604379</v>
      </c>
      <c r="F20" s="23">
        <f t="shared" ca="1" si="2"/>
        <v>364.794795549024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912.04714496522695</v>
      </c>
      <c r="C26" s="39">
        <f>IF(ISERROR(B26*3.6/1000000/'E Balans VL '!Z12*100),0,B26*3.6/1000000/'E Balans VL '!Z12*100)</f>
        <v>1.9192519649454034E-2</v>
      </c>
      <c r="D26" s="234" t="s">
        <v>700</v>
      </c>
      <c r="F26" s="6"/>
    </row>
    <row r="27" spans="1:18">
      <c r="A27" s="229" t="s">
        <v>52</v>
      </c>
      <c r="B27" s="33">
        <f>IF(ISERROR(TER_horeca_ele_kWh/1000),0,TER_horeca_ele_kWh/1000)</f>
        <v>457.57333164344197</v>
      </c>
      <c r="C27" s="39">
        <f>IF(ISERROR(B27*3.6/1000000/'E Balans VL '!Z9*100),0,B27*3.6/1000000/'E Balans VL '!Z9*100)</f>
        <v>3.8741448221095348E-2</v>
      </c>
      <c r="D27" s="234" t="s">
        <v>700</v>
      </c>
      <c r="F27" s="6"/>
    </row>
    <row r="28" spans="1:18">
      <c r="A28" s="169" t="s">
        <v>51</v>
      </c>
      <c r="B28" s="33">
        <f>IF(ISERROR(TER_handel_ele_kWh/1000),0,TER_handel_ele_kWh/1000)</f>
        <v>2188.3128700268903</v>
      </c>
      <c r="C28" s="39">
        <f>IF(ISERROR(B28*3.6/1000000/'E Balans VL '!Z13*100),0,B28*3.6/1000000/'E Balans VL '!Z13*100)</f>
        <v>6.0583139208879082E-2</v>
      </c>
      <c r="D28" s="234" t="s">
        <v>700</v>
      </c>
      <c r="F28" s="6"/>
    </row>
    <row r="29" spans="1:18">
      <c r="A29" s="229" t="s">
        <v>50</v>
      </c>
      <c r="B29" s="33">
        <f>IF(ISERROR(TER_gezond_ele_kWh/1000),0,TER_gezond_ele_kWh/1000)</f>
        <v>579.06066580817196</v>
      </c>
      <c r="C29" s="39">
        <f>IF(ISERROR(B29*3.6/1000000/'E Balans VL '!Z10*100),0,B29*3.6/1000000/'E Balans VL '!Z10*100)</f>
        <v>7.5271466919118304E-2</v>
      </c>
      <c r="D29" s="234" t="s">
        <v>700</v>
      </c>
      <c r="F29" s="6"/>
    </row>
    <row r="30" spans="1:18">
      <c r="A30" s="229" t="s">
        <v>49</v>
      </c>
      <c r="B30" s="33">
        <f>IF(ISERROR(TER_ander_ele_kWh/1000),0,TER_ander_ele_kWh/1000)</f>
        <v>1443.82920786822</v>
      </c>
      <c r="C30" s="39">
        <f>IF(ISERROR(B30*3.6/1000000/'E Balans VL '!Z14*100),0,B30*3.6/1000000/'E Balans VL '!Z14*100)</f>
        <v>0.11191000453511099</v>
      </c>
      <c r="D30" s="234" t="s">
        <v>700</v>
      </c>
      <c r="F30" s="6"/>
    </row>
    <row r="31" spans="1:18">
      <c r="A31" s="229" t="s">
        <v>54</v>
      </c>
      <c r="B31" s="33">
        <f>IF(ISERROR(TER_onderwijs_ele_kWh/1000),0,TER_onderwijs_ele_kWh/1000)</f>
        <v>36.108129716149598</v>
      </c>
      <c r="C31" s="39">
        <f>IF(ISERROR(B31*3.6/1000000/'E Balans VL '!Z11*100),0,B31*3.6/1000000/'E Balans VL '!Z11*100)</f>
        <v>6.9081004842093587E-3</v>
      </c>
      <c r="D31" s="234" t="s">
        <v>700</v>
      </c>
    </row>
    <row r="32" spans="1:18">
      <c r="A32" s="229" t="s">
        <v>249</v>
      </c>
      <c r="B32" s="33">
        <f>IF(ISERROR(TER_rest_ele_kWh/1000),0,TER_rest_ele_kWh/1000)</f>
        <v>1314.36634596674</v>
      </c>
      <c r="C32" s="39">
        <f>IF(ISERROR(B32*3.6/1000000/'E Balans VL '!Z8*100),0,B32*3.6/1000000/'E Balans VL '!Z8*100)</f>
        <v>1.0837959844868643E-2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23623.010580277434</v>
      </c>
      <c r="C5" s="17">
        <f>IF(ISERROR('Eigen informatie GS &amp; warmtenet'!B59),0,'Eigen informatie GS &amp; warmtenet'!B59)</f>
        <v>0</v>
      </c>
      <c r="D5" s="30">
        <f>SUM(D6:D15)</f>
        <v>28898.27386726256</v>
      </c>
      <c r="E5" s="17">
        <f>SUM(E6:E15)</f>
        <v>217.19445699809279</v>
      </c>
      <c r="F5" s="17">
        <f>SUM(F6:F15)</f>
        <v>4987.5003846466807</v>
      </c>
      <c r="G5" s="18"/>
      <c r="H5" s="17"/>
      <c r="I5" s="17"/>
      <c r="J5" s="17">
        <f>SUM(J6:J15)</f>
        <v>155.31654487417623</v>
      </c>
      <c r="K5" s="17"/>
      <c r="L5" s="17"/>
      <c r="M5" s="17"/>
      <c r="N5" s="17">
        <f>SUM(N6:N15)</f>
        <v>450.59075128408017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473.37783679637499</v>
      </c>
      <c r="C9" s="33"/>
      <c r="D9" s="37">
        <f>IF( ISERROR(IND_andere_gas_kWh/1000),0,IND_andere_gas_kWh/1000)*0.902</f>
        <v>143.84903403659047</v>
      </c>
      <c r="E9" s="33">
        <f>C31*'E Balans VL '!I19/100/3.6*1000000</f>
        <v>7.950960675360573</v>
      </c>
      <c r="F9" s="33">
        <f>C31*'E Balans VL '!L19/100/3.6*1000000+C31*'E Balans VL '!N19/100/3.6*1000000</f>
        <v>370.05983121897845</v>
      </c>
      <c r="G9" s="34"/>
      <c r="H9" s="33"/>
      <c r="I9" s="33"/>
      <c r="J9" s="40">
        <f>C31*'E Balans VL '!D19/100/3.6*1000000+C31*'E Balans VL '!E19/100/3.6*1000000</f>
        <v>4.2694502190657999E-2</v>
      </c>
      <c r="K9" s="33"/>
      <c r="L9" s="33"/>
      <c r="M9" s="33"/>
      <c r="N9" s="33">
        <f>C31*'E Balans VL '!Y19/100/3.6*1000000</f>
        <v>35.084892385388017</v>
      </c>
      <c r="O9" s="33"/>
      <c r="P9" s="33"/>
      <c r="R9" s="32"/>
    </row>
    <row r="10" spans="1:18">
      <c r="A10" s="6" t="s">
        <v>40</v>
      </c>
      <c r="B10" s="37">
        <f t="shared" si="0"/>
        <v>222.07477667235901</v>
      </c>
      <c r="C10" s="33"/>
      <c r="D10" s="37">
        <f>IF( ISERROR(IND_voed_gas_kWh/1000),0,IND_voed_gas_kWh/1000)*0.902</f>
        <v>0</v>
      </c>
      <c r="E10" s="33">
        <f>C32*'E Balans VL '!I20/100/3.6*1000000</f>
        <v>2.026117979189594</v>
      </c>
      <c r="F10" s="33">
        <f>C32*'E Balans VL '!L20/100/3.6*1000000+C32*'E Balans VL '!N20/100/3.6*1000000</f>
        <v>35.827607569766329</v>
      </c>
      <c r="G10" s="34"/>
      <c r="H10" s="33"/>
      <c r="I10" s="33"/>
      <c r="J10" s="40">
        <f>C32*'E Balans VL '!D20/100/3.6*1000000+C32*'E Balans VL '!E20/100/3.6*1000000</f>
        <v>0.91464952960810497</v>
      </c>
      <c r="K10" s="33"/>
      <c r="L10" s="33"/>
      <c r="M10" s="33"/>
      <c r="N10" s="33">
        <f>C32*'E Balans VL '!Y20/100/3.6*1000000</f>
        <v>3.2487788718405319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19.114000000000001</v>
      </c>
      <c r="C12" s="33"/>
      <c r="D12" s="37">
        <f>IF( ISERROR(IND_min_gas_kWh/1000),0,IND_min_gas_kWh/1000)*0.902</f>
        <v>0</v>
      </c>
      <c r="E12" s="33">
        <f>C34*'E Balans VL '!I22/100/3.6*1000000</f>
        <v>0.47408934053751151</v>
      </c>
      <c r="F12" s="33">
        <f>C34*'E Balans VL '!L22/100/3.6*1000000+C34*'E Balans VL '!N22/100/3.6*1000000</f>
        <v>2.0310455164785197</v>
      </c>
      <c r="G12" s="34"/>
      <c r="H12" s="33"/>
      <c r="I12" s="33"/>
      <c r="J12" s="40">
        <f>C34*'E Balans VL '!D22/100/3.6*1000000+C34*'E Balans VL '!E22/100/3.6*1000000</f>
        <v>0.10857873537273184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22908.4439668087</v>
      </c>
      <c r="C15" s="33"/>
      <c r="D15" s="37">
        <f>IF( ISERROR(IND_rest_gas_kWh/1000),0,IND_rest_gas_kWh/1000)*0.902</f>
        <v>28754.42483322597</v>
      </c>
      <c r="E15" s="33">
        <f>C37*'E Balans VL '!I15/100/3.6*1000000</f>
        <v>206.74328900300512</v>
      </c>
      <c r="F15" s="33">
        <f>C37*'E Balans VL '!L15/100/3.6*1000000+C37*'E Balans VL '!N15/100/3.6*1000000</f>
        <v>4579.5819003414572</v>
      </c>
      <c r="G15" s="34"/>
      <c r="H15" s="33"/>
      <c r="I15" s="33"/>
      <c r="J15" s="40">
        <f>C37*'E Balans VL '!D15/100/3.6*1000000+C37*'E Balans VL '!E15/100/3.6*1000000</f>
        <v>154.25062210700474</v>
      </c>
      <c r="K15" s="33"/>
      <c r="L15" s="33"/>
      <c r="M15" s="33"/>
      <c r="N15" s="33">
        <f>C37*'E Balans VL '!Y15/100/3.6*1000000</f>
        <v>412.25708002685161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23623.010580277434</v>
      </c>
      <c r="C18" s="21">
        <f>C5+C16</f>
        <v>0</v>
      </c>
      <c r="D18" s="21">
        <f>MAX((D5+D16),0)</f>
        <v>28898.27386726256</v>
      </c>
      <c r="E18" s="21">
        <f>MAX((E5+E16),0)</f>
        <v>217.19445699809279</v>
      </c>
      <c r="F18" s="21">
        <f>MAX((F5+F16),0)</f>
        <v>4987.5003846466807</v>
      </c>
      <c r="G18" s="21"/>
      <c r="H18" s="21"/>
      <c r="I18" s="21"/>
      <c r="J18" s="21">
        <f>MAX((J5+J16),0)</f>
        <v>155.31654487417623</v>
      </c>
      <c r="K18" s="21"/>
      <c r="L18" s="21">
        <f>MAX((L5+L16),0)</f>
        <v>0</v>
      </c>
      <c r="M18" s="21"/>
      <c r="N18" s="21">
        <f>MAX((N5+N16),0)</f>
        <v>450.59075128408017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0.1955296472661408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4618.9989261259589</v>
      </c>
      <c r="C22" s="23">
        <f ca="1">C18*C20</f>
        <v>0</v>
      </c>
      <c r="D22" s="23">
        <f>D18*D20</f>
        <v>5837.4513211870371</v>
      </c>
      <c r="E22" s="23">
        <f>E18*E20</f>
        <v>49.303141738567064</v>
      </c>
      <c r="F22" s="23">
        <f>F18*F20</f>
        <v>1331.6626027006639</v>
      </c>
      <c r="G22" s="23"/>
      <c r="H22" s="23"/>
      <c r="I22" s="23"/>
      <c r="J22" s="23">
        <f>J18*J20</f>
        <v>54.982056885458384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473.37783679637499</v>
      </c>
      <c r="C31" s="39">
        <f>IF(ISERROR(B31*3.6/1000000/'E Balans VL '!Z19*100),0,B31*3.6/1000000/'E Balans VL '!Z19*100)</f>
        <v>2.0982963533975264E-2</v>
      </c>
      <c r="D31" s="234" t="s">
        <v>700</v>
      </c>
    </row>
    <row r="32" spans="1:18">
      <c r="A32" s="169" t="s">
        <v>40</v>
      </c>
      <c r="B32" s="37">
        <f>IF( ISERROR(IND_voed_ele_kWh/1000),0,IND_voed_ele_kWh/1000)</f>
        <v>222.07477667235901</v>
      </c>
      <c r="C32" s="39">
        <f>IF(ISERROR(B32*3.6/1000000/'E Balans VL '!Z20*100),0,B32*3.6/1000000/'E Balans VL '!Z20*100)</f>
        <v>7.417934590940669E-3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19.114000000000001</v>
      </c>
      <c r="C34" s="39">
        <f>IF(ISERROR(B34*3.6/1000000/'E Balans VL '!Z22*100),0,B34*3.6/1000000/'E Balans VL '!Z22*100)</f>
        <v>3.7174630446445843E-3</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22908.4439668087</v>
      </c>
      <c r="C37" s="39">
        <f>IF(ISERROR(B37*3.6/1000000/'E Balans VL '!Z15*100),0,B37*3.6/1000000/'E Balans VL '!Z15*100)</f>
        <v>0.1704015020654206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1299.7741449470034</v>
      </c>
      <c r="C5" s="17">
        <f>'Eigen informatie GS &amp; warmtenet'!B60</f>
        <v>0</v>
      </c>
      <c r="D5" s="30">
        <f>IF(ISERROR(SUM(LB_lb_gas_kWh,LB_rest_gas_kWh)/1000),0,SUM(LB_lb_gas_kWh,LB_rest_gas_kWh)/1000)*0.902</f>
        <v>67.38917567345689</v>
      </c>
      <c r="E5" s="17">
        <f>B17*'E Balans VL '!I25/3.6*1000000/100</f>
        <v>13.611516235512399</v>
      </c>
      <c r="F5" s="17">
        <f>B17*('E Balans VL '!L25/3.6*1000000+'E Balans VL '!N25/3.6*1000000)/100</f>
        <v>5564.0209589735841</v>
      </c>
      <c r="G5" s="18"/>
      <c r="H5" s="17"/>
      <c r="I5" s="17"/>
      <c r="J5" s="17">
        <f>('E Balans VL '!D25+'E Balans VL '!E25)/3.6*1000000*landbouw!B17/100</f>
        <v>116.08148121817489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1299.7741449470034</v>
      </c>
      <c r="C8" s="21">
        <f>C5+C6</f>
        <v>0</v>
      </c>
      <c r="D8" s="21">
        <f>MAX((D5+D6),0)</f>
        <v>67.38917567345689</v>
      </c>
      <c r="E8" s="21">
        <f>MAX((E5+E6),0)</f>
        <v>13.611516235512399</v>
      </c>
      <c r="F8" s="21">
        <f>MAX((F5+F6),0)</f>
        <v>5564.0209589735841</v>
      </c>
      <c r="G8" s="21"/>
      <c r="H8" s="21"/>
      <c r="I8" s="21"/>
      <c r="J8" s="21">
        <f>MAX((J5+J6),0)</f>
        <v>116.08148121817489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0.1955296472661408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254.14438008713734</v>
      </c>
      <c r="C12" s="23">
        <f ca="1">C8*C10</f>
        <v>0</v>
      </c>
      <c r="D12" s="23">
        <f>D8*D10</f>
        <v>13.612613486038292</v>
      </c>
      <c r="E12" s="23">
        <f>E8*E10</f>
        <v>3.0898141854613148</v>
      </c>
      <c r="F12" s="23">
        <f>F8*F10</f>
        <v>1485.5935960459472</v>
      </c>
      <c r="G12" s="23"/>
      <c r="H12" s="23"/>
      <c r="I12" s="23"/>
      <c r="J12" s="23">
        <f>J8*J10</f>
        <v>41.092844351233907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0.20006033118498542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115.07206738023795</v>
      </c>
      <c r="C26" s="244">
        <f>B26*'GWP N2O_CH4'!B5</f>
        <v>2416.5134149849969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13.425676021229879</v>
      </c>
      <c r="C27" s="244">
        <f>B27*'GWP N2O_CH4'!B5</f>
        <v>281.93919644582746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1.8976296325099595</v>
      </c>
      <c r="C28" s="244">
        <f>B28*'GWP N2O_CH4'!B4</f>
        <v>588.26518607808748</v>
      </c>
      <c r="D28" s="50"/>
    </row>
    <row r="29" spans="1:4">
      <c r="A29" s="41" t="s">
        <v>266</v>
      </c>
      <c r="B29" s="244">
        <f>B34*'ha_N2O bodem landbouw'!B4</f>
        <v>13.009752180959575</v>
      </c>
      <c r="C29" s="244">
        <f>B29*'GWP N2O_CH4'!B4</f>
        <v>4033.0231760974684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2.1500324140433101E-3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4.215599133883469E-6</v>
      </c>
      <c r="C5" s="433" t="s">
        <v>204</v>
      </c>
      <c r="D5" s="418">
        <f>SUM(D6:D11)</f>
        <v>1.4666491428581407E-5</v>
      </c>
      <c r="E5" s="418">
        <f>SUM(E6:E11)</f>
        <v>1.6926534620340847E-3</v>
      </c>
      <c r="F5" s="431" t="s">
        <v>204</v>
      </c>
      <c r="G5" s="418">
        <f>SUM(G6:G11)</f>
        <v>0.31377631820301355</v>
      </c>
      <c r="H5" s="418">
        <f>SUM(H6:H11)</f>
        <v>4.9646203945954835E-2</v>
      </c>
      <c r="I5" s="433" t="s">
        <v>204</v>
      </c>
      <c r="J5" s="433" t="s">
        <v>204</v>
      </c>
      <c r="K5" s="433" t="s">
        <v>204</v>
      </c>
      <c r="L5" s="433" t="s">
        <v>204</v>
      </c>
      <c r="M5" s="418">
        <f>SUM(M6:M11)</f>
        <v>1.5802194992256956E-2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4.0853952711882206E-7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1.293526419224598E-6</v>
      </c>
      <c r="E6" s="421">
        <f>vkm_GW_PW*SUMIFS(TableVerdeelsleutelVkm[LPG],TableVerdeelsleutelVkm[Voertuigtype],"Lichte voertuigen")*SUMIFS(TableECFTransport[EnergieConsumptieFactor (PJ per km)],TableECFTransport[Index],CONCATENATE($A6,"_LPG_LPG"))</f>
        <v>1.3479670090898248E-4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1.7954954164877711E-2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4.3073547347857065E-3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9.7173096981437146E-4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1.4172628157250597E-8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6.3886971164757878E-3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1.7297385509252406E-7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2.7522772843971156E-4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9.6559830013420993E-7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5.1958386334850646E-6</v>
      </c>
      <c r="E8" s="421">
        <f>vkm_NGW_PW*SUMIFS(TableVerdeelsleutelVkm[LPG],TableVerdeelsleutelVkm[Voertuigtype],"Lichte voertuigen")*SUMIFS(TableECFTransport[EnergieConsumptieFactor (PJ per km)],TableECFTransport[Index],CONCATENATE($A8,"_LPG_LPG"))</f>
        <v>5.1097764567727231E-4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6.4442422966841037E-2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1.6360263911435007E-2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3.5291089332949478E-3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2.065264996749614E-8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1.2895456087787034E-2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3.0424419635943383E-7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5.5553954415145086E-4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2.6200842846553903E-6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8.177126375871744E-6</v>
      </c>
      <c r="E10" s="421">
        <f>vkm_SW_PW*SUMIFS(TableVerdeelsleutelVkm[LPG],TableVerdeelsleutelVkm[Voertuigtype],"Lichte voertuigen")*SUMIFS(TableECFTransport[EnergieConsumptieFactor (PJ per km)],TableECFTransport[Index],CONCATENATE($A10,"_LPG_LPG"))</f>
        <v>1.0468791154478298E-3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0.13095179715144006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2.8975764609383559E-2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6.9749072902675277E-3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1.8655174385030002E-7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8.1142990715591903E-2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2.3434722991134242E-6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3.4956805262889462E-3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1.1709997594120747</v>
      </c>
      <c r="C14" s="21"/>
      <c r="D14" s="21">
        <f t="shared" ref="D14:M14" si="0">((D5)*10^9/3600)+D12</f>
        <v>4.0740253968281683</v>
      </c>
      <c r="E14" s="21">
        <f t="shared" si="0"/>
        <v>470.18151723169024</v>
      </c>
      <c r="F14" s="21"/>
      <c r="G14" s="21">
        <f t="shared" si="0"/>
        <v>87160.088389725977</v>
      </c>
      <c r="H14" s="21">
        <f t="shared" si="0"/>
        <v>13790.612207209677</v>
      </c>
      <c r="I14" s="21"/>
      <c r="J14" s="21"/>
      <c r="K14" s="21"/>
      <c r="L14" s="21"/>
      <c r="M14" s="21">
        <f t="shared" si="0"/>
        <v>4389.4986089602653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0.1955296472661408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0.2289651699065787</v>
      </c>
      <c r="C18" s="23"/>
      <c r="D18" s="23">
        <f t="shared" ref="D18:M18" si="1">D14*D16</f>
        <v>0.82295313015929006</v>
      </c>
      <c r="E18" s="23">
        <f t="shared" si="1"/>
        <v>106.73120441159368</v>
      </c>
      <c r="F18" s="23"/>
      <c r="G18" s="23">
        <f t="shared" si="1"/>
        <v>23271.743600056838</v>
      </c>
      <c r="H18" s="23">
        <f t="shared" si="1"/>
        <v>3433.8624395952097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1.3566782145386691E-5</v>
      </c>
      <c r="C50" s="315">
        <f t="shared" ref="C50:P50" si="2">SUM(C51:C52)</f>
        <v>0</v>
      </c>
      <c r="D50" s="315">
        <f t="shared" si="2"/>
        <v>0</v>
      </c>
      <c r="E50" s="315">
        <f t="shared" si="2"/>
        <v>0</v>
      </c>
      <c r="F50" s="315">
        <f t="shared" si="2"/>
        <v>0</v>
      </c>
      <c r="G50" s="315">
        <f t="shared" si="2"/>
        <v>2.9431771778705802E-3</v>
      </c>
      <c r="H50" s="315">
        <f t="shared" si="2"/>
        <v>0</v>
      </c>
      <c r="I50" s="315">
        <f t="shared" si="2"/>
        <v>0</v>
      </c>
      <c r="J50" s="315">
        <f t="shared" si="2"/>
        <v>0</v>
      </c>
      <c r="K50" s="315">
        <f t="shared" si="2"/>
        <v>0</v>
      </c>
      <c r="L50" s="315">
        <f t="shared" si="2"/>
        <v>0</v>
      </c>
      <c r="M50" s="315">
        <f t="shared" si="2"/>
        <v>1.2601554127994531E-4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1.3566782145386691E-5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2.9431771778705802E-3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1.2601554127994531E-4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3.7685505959407473</v>
      </c>
      <c r="C54" s="21">
        <f t="shared" ref="C54:P54" si="3">(C50)*10^9/3600</f>
        <v>0</v>
      </c>
      <c r="D54" s="21">
        <f t="shared" si="3"/>
        <v>0</v>
      </c>
      <c r="E54" s="21">
        <f t="shared" si="3"/>
        <v>0</v>
      </c>
      <c r="F54" s="21">
        <f t="shared" si="3"/>
        <v>0</v>
      </c>
      <c r="G54" s="21">
        <f t="shared" si="3"/>
        <v>817.5492160751611</v>
      </c>
      <c r="H54" s="21">
        <f t="shared" si="3"/>
        <v>0</v>
      </c>
      <c r="I54" s="21">
        <f t="shared" si="3"/>
        <v>0</v>
      </c>
      <c r="J54" s="21">
        <f t="shared" si="3"/>
        <v>0</v>
      </c>
      <c r="K54" s="21">
        <f t="shared" si="3"/>
        <v>0</v>
      </c>
      <c r="L54" s="21">
        <f t="shared" si="3"/>
        <v>0</v>
      </c>
      <c r="M54" s="21">
        <f t="shared" si="3"/>
        <v>35.004317022207026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0.1955296472661408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0.73686336872889902</v>
      </c>
      <c r="C58" s="23">
        <f t="shared" ref="C58:P58" ca="1" si="4">C54*C56</f>
        <v>0</v>
      </c>
      <c r="D58" s="23">
        <f t="shared" si="4"/>
        <v>0</v>
      </c>
      <c r="E58" s="23">
        <f t="shared" si="4"/>
        <v>0</v>
      </c>
      <c r="F58" s="23">
        <f t="shared" si="4"/>
        <v>0</v>
      </c>
      <c r="G58" s="23">
        <f t="shared" si="4"/>
        <v>218.28564069206803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1683.3855680038255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5310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6993.385568003825</v>
      </c>
      <c r="C10" s="556">
        <f t="shared" ref="C10:L10" si="0">SUM(C8:C9)</f>
        <v>0</v>
      </c>
      <c r="D10" s="556">
        <f t="shared" si="0"/>
        <v>0</v>
      </c>
      <c r="E10" s="556">
        <f t="shared" si="0"/>
        <v>0</v>
      </c>
      <c r="F10" s="556">
        <f t="shared" si="0"/>
        <v>0</v>
      </c>
      <c r="G10" s="556">
        <f t="shared" si="0"/>
        <v>0</v>
      </c>
      <c r="H10" s="556">
        <f t="shared" si="0"/>
        <v>0</v>
      </c>
      <c r="I10" s="556">
        <f t="shared" si="0"/>
        <v>0</v>
      </c>
      <c r="J10" s="556">
        <f t="shared" si="0"/>
        <v>15171.428571428572</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41063</v>
      </c>
      <c r="C35" s="775">
        <v>9520</v>
      </c>
      <c r="D35" s="630"/>
      <c r="E35" s="630"/>
      <c r="F35" s="630"/>
      <c r="G35" s="630" t="s">
        <v>977</v>
      </c>
      <c r="H35" s="630" t="s">
        <v>978</v>
      </c>
      <c r="I35" s="630"/>
      <c r="J35" s="774"/>
      <c r="K35" s="774"/>
      <c r="L35" s="630" t="s">
        <v>979</v>
      </c>
      <c r="M35" s="630">
        <v>1180</v>
      </c>
      <c r="N35" s="630">
        <v>5310</v>
      </c>
      <c r="O35" s="630">
        <v>0</v>
      </c>
      <c r="P35" s="630">
        <v>0</v>
      </c>
      <c r="Q35" s="630">
        <v>0</v>
      </c>
      <c r="R35" s="630">
        <v>15171.428571428572</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1180</v>
      </c>
      <c r="N36" s="585">
        <f>SUM(N35:N35)</f>
        <v>5310</v>
      </c>
      <c r="O36" s="585">
        <f>SUM(O35:O35)</f>
        <v>0</v>
      </c>
      <c r="P36" s="585">
        <f>SUM(P35:P35)</f>
        <v>0</v>
      </c>
      <c r="Q36" s="585">
        <f>SUM(Q35:Q35)</f>
        <v>0</v>
      </c>
      <c r="R36" s="585">
        <f>SUM(R35:R35)</f>
        <v>15171.428571428572</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1180</v>
      </c>
      <c r="N38" s="585">
        <f>SUMIF($Z$35:$Z$36,"tertiair",N35:N36)</f>
        <v>5310</v>
      </c>
      <c r="O38" s="585">
        <f>SUMIF($Z$35:$Z$36,"tertiair",O35:O36)</f>
        <v>0</v>
      </c>
      <c r="P38" s="585">
        <f>SUMIF($Z$35:$Z$36,"tertiair",P35:P36)</f>
        <v>0</v>
      </c>
      <c r="Q38" s="585">
        <f>SUMIF($Z$35:$Z$36,"tertiair",Q35:Q36)</f>
        <v>0</v>
      </c>
      <c r="R38" s="585">
        <f>SUMIF($Z$35:$Z$36,"tertiair",R35:R36)</f>
        <v>15171.428571428572</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2021-11-11T13:47:30Z</dcterms:modified>
</cp:coreProperties>
</file>