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5CD0C9DC-69D4-49E0-AC04-E37D00DAA33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24" i="48" l="1"/>
  <c r="P31" i="48"/>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<sst xmlns="http://schemas.openxmlformats.org/spreadsheetml/2006/main" count="2574" uniqueCount="980">
  <si>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</si>
  <si>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</si>
  <si>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</si>
  <si>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</si>
  <si>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</si>
  <si>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</si>
  <si>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</si>
  <si>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</si>
  <si>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</si>
  <si>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</si>
  <si>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</si>
  <si>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</si>
  <si>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</si>
  <si>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</si>
  <si>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</si>
  <si>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</si>
  <si>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</si>
  <si>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</si>
  <si>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</si>
  <si>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</si>
  <si>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</si>
  <si>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</si>
  <si>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</si>
  <si>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</si>
  <si>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</si>
  <si>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</si>
  <si>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</si>
  <si>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</si>
  <si>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</si>
  <si>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</si>
  <si>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</si>
  <si>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</si>
  <si>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</si>
  <si>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</si>
  <si>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</si>
  <si>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</si>
  <si>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</si>
  <si>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</si>
  <si>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</si>
  <si>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</si>
  <si>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</si>
  <si>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</si>
  <si>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</si>
  <si>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</si>
  <si>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</si>
  <si>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</si>
  <si>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</si>
  <si>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</si>
  <si>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</si>
  <si>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</si>
  <si>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</si>
  <si>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</si>
  <si>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</si>
  <si>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</si>
  <si>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</si>
  <si>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</si>
  <si>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</si>
  <si>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</si>
  <si>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</si>
  <si>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</si>
  <si>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</si>
  <si>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</si>
  <si>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</si>
  <si>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</si>
  <si>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</si>
  <si>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</si>
  <si>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</si>
  <si>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</si>
  <si>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</si>
  <si>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</si>
  <si>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</si>
  <si>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</si>
  <si>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</si>
  <si>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</si>
  <si>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</si>
  <si>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</si>
  <si>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</si>
  <si>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</si>
  <si>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</si>
  <si>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</si>
  <si>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</si>
  <si>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</si>
  <si>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</si>
  <si>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</si>
  <si>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</si>
  <si>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</si>
  <si>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</si>
  <si>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</si>
  <si>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</si>
  <si>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</si>
  <si>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</si>
  <si>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</si>
  <si>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</si>
  <si>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</si>
  <si>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</si>
  <si>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</si>
  <si>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</si>
  <si>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</si>
  <si>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</si>
  <si>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</si>
  <si>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</si>
  <si>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</si>
  <si>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</si>
  <si>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</si>
  <si>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</si>
  <si>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</si>
  <si>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</si>
  <si>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</si>
  <si>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</si>
  <si>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</si>
  <si>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</si>
  <si>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</si>
  <si>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</si>
  <si>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</si>
  <si>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</si>
  <si>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</si>
  <si>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</si>
  <si>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</si>
  <si>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</si>
  <si>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</si>
  <si>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</si>
  <si>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</si>
  <si>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</si>
  <si>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</si>
  <si>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</si>
  <si>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</si>
  <si>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</si>
  <si>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</si>
  <si>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</si>
  <si>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</si>
  <si>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</si>
  <si>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</si>
  <si>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</si>
  <si>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</si>
  <si>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</si>
  <si>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</si>
  <si>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</si>
  <si>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</si>
  <si>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</si>
  <si>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</si>
  <si>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</si>
  <si>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</si>
  <si>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</si>
  <si>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</si>
  <si>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</si>
  <si>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</si>
  <si>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</si>
  <si>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</si>
  <si>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</si>
  <si>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</si>
  <si>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</si>
  <si>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</si>
  <si>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</si>
  <si>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</si>
  <si>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</si>
  <si>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</si>
  <si>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</si>
  <si>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</si>
  <si>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</si>
  <si>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</si>
  <si>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</si>
  <si>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</si>
  <si>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</si>
  <si>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</si>
  <si>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</si>
  <si>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</si>
  <si>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</si>
  <si>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</si>
  <si>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</si>
  <si>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</si>
  <si>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</si>
  <si>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</si>
  <si>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</si>
  <si>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</si>
  <si>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</si>
  <si>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</si>
  <si>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</si>
  <si>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</si>
  <si>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</si>
  <si>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</si>
  <si>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</si>
  <si>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</si>
  <si>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</si>
  <si>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</si>
  <si>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</si>
  <si>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</si>
  <si>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</si>
  <si>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</si>
  <si>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</si>
  <si>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</si>
  <si>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</si>
  <si>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</si>
  <si>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</si>
  <si>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</si>
  <si>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</si>
  <si>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</si>
  <si>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</si>
  <si>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</si>
  <si>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</si>
  <si>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</si>
  <si>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</si>
  <si>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</si>
  <si>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</si>
  <si>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</si>
  <si>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</si>
  <si>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</si>
  <si>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</si>
  <si>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</si>
  <si>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</si>
  <si>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</si>
  <si>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</si>
  <si>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</si>
  <si>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</si>
  <si>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</si>
  <si>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</si>
  <si>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</si>
  <si>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</si>
  <si>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</si>
  <si>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</si>
  <si>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</si>
  <si>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</si>
  <si>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</si>
  <si>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</si>
  <si>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</si>
  <si>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</si>
  <si>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</si>
  <si>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</si>
  <si>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</si>
  <si>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</si>
  <si>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</si>
  <si>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</si>
  <si>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</si>
  <si>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</si>
  <si>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</si>
  <si>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</si>
  <si>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</si>
  <si>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</si>
  <si>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</si>
  <si>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</si>
  <si>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</si>
  <si>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</si>
  <si>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</si>
  <si>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</si>
  <si>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</si>
  <si>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</si>
  <si>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</si>
  <si>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</si>
  <si>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</si>
  <si>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</si>
  <si>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</si>
  <si>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</si>
  <si>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</si>
  <si>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</si>
  <si>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</si>
  <si>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</si>
  <si>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</si>
  <si>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</si>
  <si>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</si>
  <si>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</si>
  <si>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</si>
  <si>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</si>
  <si>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</si>
  <si>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</si>
  <si>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</si>
  <si>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</si>
  <si>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</si>
  <si>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</si>
  <si>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</si>
  <si>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</si>
  <si>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</si>
  <si>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</si>
  <si>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</si>
  <si>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</si>
  <si>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</si>
  <si>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</si>
  <si>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</si>
  <si>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</si>
  <si>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</si>
  <si>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</si>
  <si>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</si>
  <si>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</si>
  <si>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</si>
  <si>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</si>
  <si>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</si>
  <si>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</si>
  <si>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</si>
  <si>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</si>
  <si>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</si>
  <si>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</si>
  <si>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</si>
  <si>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</si>
  <si>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</si>
  <si>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</si>
  <si>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</si>
  <si>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</si>
  <si>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</si>
  <si>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</si>
  <si>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</si>
  <si>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</si>
  <si>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</si>
  <si>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</si>
  <si>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</si>
  <si>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</si>
  <si>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</si>
  <si>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</si>
  <si>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</si>
  <si>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</si>
  <si>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</si>
  <si>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</si>
  <si>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</si>
  <si>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</si>
  <si>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</si>
  <si>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</si>
  <si>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</si>
  <si>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</si>
  <si>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</si>
  <si>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</si>
  <si>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</si>
  <si>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</si>
  <si>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</si>
  <si>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</si>
  <si>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</si>
  <si>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</si>
  <si>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</si>
  <si>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</si>
  <si>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</si>
  <si>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</si>
  <si>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</si>
  <si>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</si>
  <si>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</si>
  <si>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</si>
  <si>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</si>
  <si>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</si>
  <si>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</si>
  <si>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</si>
  <si>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</si>
  <si>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</si>
  <si>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</si>
  <si>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</si>
  <si>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</si>
  <si>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</si>
  <si>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</si>
  <si>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</si>
  <si>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</si>
  <si>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</si>
  <si>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</si>
  <si>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</si>
  <si>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</si>
  <si>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</si>
  <si>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</si>
  <si>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</si>
  <si>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</si>
  <si>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</si>
  <si>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</si>
  <si>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</si>
  <si>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</si>
  <si>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</si>
  <si>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</si>
  <si>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</si>
  <si>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</si>
  <si>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</si>
  <si>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</si>
  <si>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</si>
  <si>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</si>
  <si>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</si>
  <si>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</si>
  <si>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</si>
  <si>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</si>
  <si>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</si>
  <si>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</si>
  <si>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</si>
  <si>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</si>
  <si>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</si>
  <si>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</si>
  <si>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</si>
  <si>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</si>
  <si>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</si>
  <si>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</si>
  <si>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</si>
  <si>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</si>
  <si>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</si>
  <si>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</si>
  <si>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</si>
  <si>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</si>
  <si>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</si>
  <si>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</si>
  <si>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</si>
  <si>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</si>
  <si>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</si>
  <si>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</si>
  <si>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</si>
  <si>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</si>
  <si>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</si>
  <si>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</si>
  <si>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</si>
  <si>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</si>
  <si>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</si>
  <si>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</si>
  <si>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</si>
  <si>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</si>
  <si>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</si>
  <si>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</si>
  <si>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</si>
  <si>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</si>
  <si>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</si>
  <si>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</si>
  <si>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</si>
  <si>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</si>
  <si>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</si>
  <si>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</si>
  <si>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</si>
  <si>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</si>
  <si>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</si>
  <si>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</si>
  <si>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</si>
  <si>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</si>
  <si>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</si>
  <si>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</si>
  <si>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</si>
  <si>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</si>
  <si>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</si>
  <si>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</si>
  <si>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</si>
  <si>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</si>
  <si>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</si>
  <si>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</si>
  <si>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</si>
  <si>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</si>
  <si>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</si>
  <si>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</si>
  <si>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</si>
  <si>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</si>
  <si>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</si>
  <si>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</si>
  <si>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</si>
  <si>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</si>
  <si>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</si>
  <si>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</si>
  <si>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</si>
  <si>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</si>
  <si>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</si>
  <si>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</si>
  <si>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</si>
  <si>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</si>
  <si>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</si>
  <si>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</si>
  <si>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</si>
  <si>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</si>
  <si>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</si>
  <si>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</si>
  <si>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</si>
  <si>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</si>
  <si>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</si>
  <si>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</si>
  <si>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</si>
  <si>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</si>
  <si>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</si>
  <si>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</si>
  <si>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</si>
  <si>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</si>
  <si>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</si>
  <si>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</si>
  <si>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</si>
  <si>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</si>
  <si>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</si>
  <si>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</si>
  <si>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</si>
  <si>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</si>
  <si>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</si>
  <si>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</si>
  <si>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</si>
  <si>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</si>
  <si>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</si>
  <si>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</si>
  <si>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</si>
  <si>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</si>
  <si>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</si>
  <si>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</si>
  <si>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</si>
  <si>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</si>
  <si>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</si>
  <si>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</si>
  <si>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</si>
  <si>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</si>
  <si>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</si>
  <si>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</si>
  <si>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</si>
  <si>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</si>
  <si>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</si>
  <si>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</si>
  <si>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</si>
  <si>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</si>
  <si>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</si>
  <si>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</si>
  <si>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</si>
  <si>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</si>
  <si>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</si>
  <si>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</si>
  <si>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</si>
  <si>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</si>
  <si>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</si>
  <si>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</si>
  <si>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</si>
  <si>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</si>
  <si>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</si>
  <si>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</si>
  <si>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</si>
  <si>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</si>
  <si>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</si>
  <si>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</si>
  <si>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</si>
  <si>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</si>
  <si>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</si>
  <si>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</si>
  <si>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</si>
  <si>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</si>
  <si>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</si>
  <si>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</si>
  <si>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</si>
  <si>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</si>
  <si>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</si>
  <si>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</si>
  <si>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</si>
  <si>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</si>
  <si>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</si>
  <si>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</si>
  <si>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</si>
  <si>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</si>
  <si>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</si>
  <si>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</si>
  <si>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</si>
  <si>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</si>
  <si>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</si>
  <si>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</si>
  <si>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</si>
  <si>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</si>
  <si>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</si>
  <si>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</si>
  <si>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</si>
  <si>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</si>
  <si>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</si>
  <si>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</si>
  <si>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</si>
  <si>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</si>
  <si>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</si>
  <si>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</si>
  <si>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</si>
  <si>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</si>
  <si>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</si>
  <si>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</si>
  <si>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</si>
  <si>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</si>
  <si>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</si>
  <si>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</si>
  <si>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</si>
  <si>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</si>
  <si>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</si>
  <si>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</si>
  <si>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</si>
  <si>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</si>
  <si>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</si>
  <si>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</si>
  <si>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</si>
  <si>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</si>
  <si>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</si>
  <si>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</si>
  <si>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</si>
  <si>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</si>
  <si>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</si>
  <si>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</si>
  <si>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</si>
  <si>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</si>
  <si>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</si>
  <si>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</si>
  <si>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</si>
  <si>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</si>
  <si>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</si>
  <si>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</si>
  <si>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</si>
  <si>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</si>
  <si>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</si>
  <si>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</si>
  <si>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</si>
  <si>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</si>
  <si>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</si>
  <si>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</si>
  <si>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</si>
  <si>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</si>
  <si>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</si>
  <si>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</si>
  <si>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</si>
  <si>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</si>
  <si>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</si>
  <si>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</si>
  <si>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</si>
  <si>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</si>
  <si>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</si>
  <si>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</si>
  <si>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</si>
  <si>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</si>
  <si>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</si>
  <si>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</si>
  <si>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</si>
  <si>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</si>
  <si>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</si>
  <si>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</si>
  <si>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</si>
  <si>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</si>
  <si>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</si>
  <si>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</si>
  <si>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</si>
  <si>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</si>
  <si>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</si>
  <si>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</si>
  <si>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</si>
  <si>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</si>
  <si>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</si>
  <si>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</si>
  <si>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</si>
  <si>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</si>
  <si>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</si>
  <si>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</si>
  <si>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</si>
  <si>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</si>
  <si>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</si>
  <si>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</si>
  <si>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</si>
  <si>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</si>
  <si>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</si>
  <si>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</si>
  <si>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</si>
  <si>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</si>
  <si>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</si>
  <si>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</si>
  <si>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</si>
  <si>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</si>
  <si>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</si>
  <si>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</si>
  <si>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</si>
  <si>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</si>
  <si>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</si>
  <si>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</si>
  <si>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</si>
  <si>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</si>
  <si>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</si>
  <si>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</si>
  <si>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</si>
  <si>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</si>
  <si>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</si>
  <si>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</si>
  <si>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</si>
  <si>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</si>
  <si>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</si>
  <si>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</si>
  <si>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</si>
  <si>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</si>
  <si>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</si>
  <si>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</si>
  <si>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</si>
  <si>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</si>
  <si>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</si>
  <si>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</si>
  <si>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</si>
  <si>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</si>
  <si>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</si>
  <si>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</si>
  <si>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</si>
  <si>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</si>
  <si>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</si>
  <si>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</si>
  <si>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</si>
  <si>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</si>
  <si>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</si>
  <si>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</si>
  <si>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</si>
  <si>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</si>
  <si>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</si>
  <si>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</si>
  <si>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</si>
  <si>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</si>
  <si>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</si>
  <si>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</si>
  <si>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</si>
  <si>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</si>
  <si>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</si>
  <si>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</si>
  <si>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</si>
  <si>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</si>
  <si>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</si>
  <si>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</si>
  <si>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</si>
  <si>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</si>
  <si>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</si>
  <si>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</si>
  <si>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</si>
  <si>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</si>
  <si>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</si>
  <si>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</si>
  <si>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</si>
  <si>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</si>
  <si>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</si>
  <si>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</si>
  <si>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</si>
  <si>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</si>
  <si>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</si>
  <si>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</si>
  <si>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</si>
  <si>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</si>
  <si>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</si>
  <si>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</si>
  <si>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</si>
  <si>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</si>
  <si>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</si>
  <si>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</si>
  <si>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</si>
  <si>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</si>
  <si>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</si>
  <si>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</si>
  <si>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</si>
  <si>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</si>
  <si>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</si>
  <si>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</si>
  <si>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</si>
  <si>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</si>
  <si>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</si>
  <si>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</si>
  <si>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</si>
  <si>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</si>
  <si>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</si>
  <si>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</si>
  <si>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</si>
  <si>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</si>
  <si>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</si>
  <si>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</si>
  <si>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</si>
  <si>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</si>
  <si>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</si>
  <si>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</si>
  <si>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</si>
  <si>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</si>
  <si>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</si>
  <si>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</si>
  <si>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</si>
  <si>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</si>
  <si>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</si>
  <si>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</si>
  <si>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</si>
  <si>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</si>
  <si>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</si>
  <si>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</si>
  <si>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</si>
  <si>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</si>
  <si>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</si>
  <si>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</si>
  <si>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</si>
  <si>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</si>
  <si>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</si>
  <si>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</si>
  <si>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</si>
  <si>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</si>
  <si>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</si>
  <si>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</si>
  <si>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</si>
  <si>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</si>
  <si>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</si>
  <si>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</si>
  <si>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</si>
  <si>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</si>
  <si>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</si>
  <si>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</si>
  <si>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</si>
  <si>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</si>
  <si>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</si>
  <si>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</si>
  <si>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</si>
  <si>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</si>
  <si>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</si>
  <si>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</si>
  <si>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</si>
  <si>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</si>
  <si>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</si>
  <si>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</si>
  <si>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</si>
  <si>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</si>
  <si>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</si>
  <si>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</si>
  <si>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</si>
  <si>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</si>
  <si>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</si>
  <si>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</si>
  <si>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</si>
  <si>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</si>
  <si>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</si>
  <si>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</si>
  <si>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</si>
  <si>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</si>
  <si>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</si>
  <si>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</si>
  <si>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</si>
  <si>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</si>
  <si>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</si>
  <si>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</si>
  <si>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</si>
  <si>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</si>
  <si>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</si>
  <si>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</si>
  <si>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</si>
  <si>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</si>
  <si>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</si>
  <si>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</si>
  <si>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</si>
  <si>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</si>
  <si>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</si>
  <si>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</si>
  <si>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</si>
  <si>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</si>
  <si>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</si>
  <si>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</si>
  <si>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</si>
  <si>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</si>
  <si>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</si>
  <si>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</si>
  <si>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</si>
  <si>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</si>
  <si>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</si>
  <si>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</si>
  <si>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</si>
  <si>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</si>
  <si>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</si>
  <si>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</si>
  <si>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</si>
  <si>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</si>
  <si>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</si>
  <si>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</si>
  <si>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</si>
  <si>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</si>
  <si>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</si>
  <si>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</si>
  <si>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</si>
  <si>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</si>
  <si>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</si>
  <si>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</si>
  <si>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</si>
  <si>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</si>
  <si>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</si>
  <si>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</si>
  <si>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</si>
  <si>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</si>
  <si>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</si>
  <si>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</si>
  <si>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</si>
  <si>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</si>
  <si>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</si>
  <si>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</si>
  <si>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</si>
  <si>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</si>
  <si>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</si>
  <si>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</si>
  <si>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</si>
  <si>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</si>
  <si>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</si>
  <si>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</si>
  <si>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</si>
  <si>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</si>
  <si>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</si>
  <si>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</si>
  <si>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</si>
  <si>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</si>
  <si>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</si>
  <si>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</si>
  <si>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</si>
  <si>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</si>
  <si>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</si>
  <si>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</si>
  <si>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</si>
  <si>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</si>
  <si>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</si>
  <si>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</si>
  <si>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</si>
  <si>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</si>
  <si>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</si>
  <si>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</si>
  <si>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</si>
  <si>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</si>
  <si>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</si>
  <si>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</si>
  <si>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</si>
  <si>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</si>
  <si>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</si>
  <si>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</si>
  <si>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</si>
  <si>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</si>
  <si>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</si>
  <si>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</si>
  <si>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</si>
  <si>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</si>
  <si>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</si>
  <si>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</si>
  <si>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</si>
  <si>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</si>
  <si>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</si>
  <si>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</si>
  <si>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</si>
  <si>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</si>
  <si>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</si>
  <si>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</si>
  <si>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</si>
  <si>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</si>
  <si>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</si>
  <si>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</si>
  <si>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</si>
  <si>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</si>
  <si>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</si>
  <si>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</si>
  <si>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</si>
  <si>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</si>
  <si>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</si>
  <si>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</si>
  <si>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</si>
  <si>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</si>
  <si>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</si>
  <si>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</si>
  <si>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</si>
  <si>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</si>
  <si>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</si>
  <si>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</si>
  <si>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</si>
  <si>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</si>
  <si>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</si>
  <si>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</si>
  <si>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</si>
  <si>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</si>
  <si>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</si>
  <si>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</si>
  <si>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</si>
  <si>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</si>
  <si>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</si>
  <si>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</si>
  <si>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</si>
  <si>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</si>
  <si>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</si>
  <si>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</si>
  <si>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</si>
  <si>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</si>
  <si>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</si>
  <si>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</si>
  <si>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</si>
  <si>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</si>
  <si>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</si>
  <si>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</si>
  <si>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</si>
  <si>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</si>
  <si>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</si>
  <si>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</si>
  <si>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</si>
  <si>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</si>
  <si>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</si>
  <si>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</si>
  <si>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</si>
  <si>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</si>
  <si>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</si>
  <si>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</si>
  <si>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</si>
  <si>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</si>
  <si>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</si>
  <si>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</si>
  <si>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</si>
  <si>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</si>
  <si>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</si>
  <si>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</si>
  <si>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41048</t>
  </si>
  <si>
    <t>NINOVE</t>
  </si>
  <si>
    <t>Paarden&amp;pony's 200 - 600 kg</t>
  </si>
  <si>
    <t>Paarden&amp;pony's &lt; 200 kg</t>
  </si>
  <si>
    <t>Fluvius</t>
  </si>
  <si>
    <t xml:space="preserve">Bron: </t>
  </si>
  <si>
    <t>referentietaak LNE (2017); Jaarverslag De Lijn</t>
  </si>
  <si>
    <t>biogas - stortgas</t>
  </si>
  <si>
    <t>niet WKK interne verbrandingsmotor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</si>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</sst>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1B061D95-19C8-405F-92D2-B67C03BB294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41048</v>
      </c>
      <c r="B6" s="384"/>
      <c r="C6" s="385"/>
    </row>
    <row r="7" spans="1:7" s="382" customFormat="1" ht="15.75" customHeight="1">
      <c r="A7" s="386" t="str">
        <f>txtMunicipality</f>
        <v>NINOVE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52804.844542438994</v>
      </c>
      <c r="D10" s="674">
        <f ca="1">tertiair!C16</f>
        <v>0</v>
      </c>
      <c r="E10" s="674">
        <f ca="1">tertiair!D16</f>
        <v>34910.030331299648</v>
      </c>
      <c r="F10" s="674">
        <f>tertiair!E16</f>
        <v>813.50367845292772</v>
      </c>
      <c r="G10" s="674">
        <f ca="1">tertiair!F16</f>
        <v>8588.6151566033441</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3.1266666666666669</v>
      </c>
      <c r="Q10" s="675">
        <f>tertiair!P16</f>
        <v>19.066666666666666</v>
      </c>
      <c r="R10" s="677">
        <f ca="1">SUM(C10:Q10)</f>
        <v>97139.187042128236</v>
      </c>
      <c r="S10" s="67"/>
    </row>
    <row r="11" spans="1:19" s="443" customFormat="1">
      <c r="A11" s="789" t="s">
        <v>214</v>
      </c>
      <c r="B11" s="794"/>
      <c r="C11" s="674">
        <f>huishoudens!B8</f>
        <v>70784.987969317604</v>
      </c>
      <c r="D11" s="674">
        <f>huishoudens!C8</f>
        <v>0</v>
      </c>
      <c r="E11" s="674">
        <f>huishoudens!D8</f>
        <v>97334.476915136591</v>
      </c>
      <c r="F11" s="674">
        <f>huishoudens!E8</f>
        <v>4335.3882277528501</v>
      </c>
      <c r="G11" s="674">
        <f>huishoudens!F8</f>
        <v>147985.85702554419</v>
      </c>
      <c r="H11" s="674">
        <f>huishoudens!G8</f>
        <v>0</v>
      </c>
      <c r="I11" s="674">
        <f>huishoudens!H8</f>
        <v>0</v>
      </c>
      <c r="J11" s="674">
        <f>huishoudens!I8</f>
        <v>0</v>
      </c>
      <c r="K11" s="674">
        <f>huishoudens!J8</f>
        <v>3332.2663135686757</v>
      </c>
      <c r="L11" s="674">
        <f>huishoudens!K8</f>
        <v>0</v>
      </c>
      <c r="M11" s="674">
        <f>huishoudens!L8</f>
        <v>0</v>
      </c>
      <c r="N11" s="674">
        <f>huishoudens!M8</f>
        <v>0</v>
      </c>
      <c r="O11" s="674">
        <f>huishoudens!N8</f>
        <v>19737.983304786463</v>
      </c>
      <c r="P11" s="674">
        <f>huishoudens!O8</f>
        <v>115.68666666666667</v>
      </c>
      <c r="Q11" s="675">
        <f>huishoudens!P8</f>
        <v>495.73333333333335</v>
      </c>
      <c r="R11" s="677">
        <f>SUM(C11:Q11)</f>
        <v>344122.37975610635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52969.234510782459</v>
      </c>
      <c r="D13" s="674">
        <f>industrie!C18</f>
        <v>0</v>
      </c>
      <c r="E13" s="674">
        <f>industrie!D18</f>
        <v>55752.927465645349</v>
      </c>
      <c r="F13" s="674">
        <f>industrie!E18</f>
        <v>517.75124077838223</v>
      </c>
      <c r="G13" s="674">
        <f>industrie!F18</f>
        <v>12224.379178867159</v>
      </c>
      <c r="H13" s="674">
        <f>industrie!G18</f>
        <v>0</v>
      </c>
      <c r="I13" s="674">
        <f>industrie!H18</f>
        <v>0</v>
      </c>
      <c r="J13" s="674">
        <f>industrie!I18</f>
        <v>0</v>
      </c>
      <c r="K13" s="674">
        <f>industrie!J18</f>
        <v>320.15177799517545</v>
      </c>
      <c r="L13" s="674">
        <f>industrie!K18</f>
        <v>0</v>
      </c>
      <c r="M13" s="674">
        <f>industrie!L18</f>
        <v>0</v>
      </c>
      <c r="N13" s="674">
        <f>industrie!M18</f>
        <v>0</v>
      </c>
      <c r="O13" s="674">
        <f>industrie!N18</f>
        <v>1096.9968184480108</v>
      </c>
      <c r="P13" s="674">
        <f>industrie!O18</f>
        <v>0</v>
      </c>
      <c r="Q13" s="675">
        <f>industrie!P18</f>
        <v>0</v>
      </c>
      <c r="R13" s="677">
        <f>SUM(C13:Q13)</f>
        <v>122881.44099251652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176559.06702253906</v>
      </c>
      <c r="D16" s="707">
        <f t="shared" ref="D16:R16" ca="1" si="0">SUM(D9:D15)</f>
        <v>0</v>
      </c>
      <c r="E16" s="707">
        <f t="shared" ca="1" si="0"/>
        <v>187997.43471208157</v>
      </c>
      <c r="F16" s="707">
        <f t="shared" si="0"/>
        <v>5666.64314698416</v>
      </c>
      <c r="G16" s="707">
        <f t="shared" ca="1" si="0"/>
        <v>168798.85136101468</v>
      </c>
      <c r="H16" s="707">
        <f t="shared" si="0"/>
        <v>0</v>
      </c>
      <c r="I16" s="707">
        <f t="shared" si="0"/>
        <v>0</v>
      </c>
      <c r="J16" s="707">
        <f t="shared" si="0"/>
        <v>0</v>
      </c>
      <c r="K16" s="707">
        <f t="shared" si="0"/>
        <v>3652.4180915638512</v>
      </c>
      <c r="L16" s="707">
        <f t="shared" si="0"/>
        <v>0</v>
      </c>
      <c r="M16" s="707">
        <f t="shared" ca="1" si="0"/>
        <v>0</v>
      </c>
      <c r="N16" s="707">
        <f t="shared" si="0"/>
        <v>0</v>
      </c>
      <c r="O16" s="707">
        <f t="shared" ca="1" si="0"/>
        <v>20834.980123234473</v>
      </c>
      <c r="P16" s="707">
        <f t="shared" si="0"/>
        <v>118.81333333333333</v>
      </c>
      <c r="Q16" s="707">
        <f t="shared" si="0"/>
        <v>514.80000000000007</v>
      </c>
      <c r="R16" s="707">
        <f t="shared" ca="1" si="0"/>
        <v>564143.00779075106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14.887250249205115</v>
      </c>
      <c r="D19" s="674">
        <f>transport!C54</f>
        <v>0</v>
      </c>
      <c r="E19" s="674">
        <f>transport!D54</f>
        <v>0</v>
      </c>
      <c r="F19" s="674">
        <f>transport!E54</f>
        <v>0</v>
      </c>
      <c r="G19" s="674">
        <f>transport!F54</f>
        <v>0</v>
      </c>
      <c r="H19" s="674">
        <f>transport!G54</f>
        <v>3229.6394756812633</v>
      </c>
      <c r="I19" s="674">
        <f>transport!H54</f>
        <v>0</v>
      </c>
      <c r="J19" s="674">
        <f>transport!I54</f>
        <v>0</v>
      </c>
      <c r="K19" s="674">
        <f>transport!J54</f>
        <v>0</v>
      </c>
      <c r="L19" s="674">
        <f>transport!K54</f>
        <v>0</v>
      </c>
      <c r="M19" s="674">
        <f>transport!L54</f>
        <v>0</v>
      </c>
      <c r="N19" s="674">
        <f>transport!M54</f>
        <v>138.28075649917582</v>
      </c>
      <c r="O19" s="674">
        <f>transport!N54</f>
        <v>0</v>
      </c>
      <c r="P19" s="674">
        <f>transport!O54</f>
        <v>0</v>
      </c>
      <c r="Q19" s="675">
        <f>transport!P54</f>
        <v>0</v>
      </c>
      <c r="R19" s="677">
        <f>SUM(C19:Q19)</f>
        <v>3382.8074824296441</v>
      </c>
      <c r="S19" s="67"/>
    </row>
    <row r="20" spans="1:19" s="443" customFormat="1">
      <c r="A20" s="789" t="s">
        <v>296</v>
      </c>
      <c r="B20" s="794"/>
      <c r="C20" s="674">
        <f>transport!B14</f>
        <v>2.2720835347108865</v>
      </c>
      <c r="D20" s="674">
        <f>transport!C14</f>
        <v>0</v>
      </c>
      <c r="E20" s="674">
        <f>transport!D14</f>
        <v>8.0676757548606091</v>
      </c>
      <c r="F20" s="674">
        <f>transport!E14</f>
        <v>822.2206557033868</v>
      </c>
      <c r="G20" s="674">
        <f>transport!F14</f>
        <v>0</v>
      </c>
      <c r="H20" s="674">
        <f>transport!G14</f>
        <v>170292.9913684841</v>
      </c>
      <c r="I20" s="674">
        <f>transport!H14</f>
        <v>26294.865518298921</v>
      </c>
      <c r="J20" s="674">
        <f>transport!I14</f>
        <v>0</v>
      </c>
      <c r="K20" s="674">
        <f>transport!J14</f>
        <v>0</v>
      </c>
      <c r="L20" s="674">
        <f>transport!K14</f>
        <v>0</v>
      </c>
      <c r="M20" s="674">
        <f>transport!L14</f>
        <v>0</v>
      </c>
      <c r="N20" s="674">
        <f>transport!M14</f>
        <v>8546.3046114016015</v>
      </c>
      <c r="O20" s="674">
        <f>transport!N14</f>
        <v>0</v>
      </c>
      <c r="P20" s="674">
        <f>transport!O14</f>
        <v>0</v>
      </c>
      <c r="Q20" s="675">
        <f>transport!P14</f>
        <v>0</v>
      </c>
      <c r="R20" s="677">
        <f>SUM(C20:Q20)</f>
        <v>205966.72191317761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17.159333783916001</v>
      </c>
      <c r="D22" s="792">
        <f t="shared" ref="D22:R22" si="1">SUM(D18:D21)</f>
        <v>0</v>
      </c>
      <c r="E22" s="792">
        <f t="shared" si="1"/>
        <v>8.0676757548606091</v>
      </c>
      <c r="F22" s="792">
        <f t="shared" si="1"/>
        <v>822.2206557033868</v>
      </c>
      <c r="G22" s="792">
        <f t="shared" si="1"/>
        <v>0</v>
      </c>
      <c r="H22" s="792">
        <f t="shared" si="1"/>
        <v>173522.63084416537</v>
      </c>
      <c r="I22" s="792">
        <f t="shared" si="1"/>
        <v>26294.865518298921</v>
      </c>
      <c r="J22" s="792">
        <f t="shared" si="1"/>
        <v>0</v>
      </c>
      <c r="K22" s="792">
        <f t="shared" si="1"/>
        <v>0</v>
      </c>
      <c r="L22" s="792">
        <f t="shared" si="1"/>
        <v>0</v>
      </c>
      <c r="M22" s="792">
        <f t="shared" si="1"/>
        <v>0</v>
      </c>
      <c r="N22" s="792">
        <f t="shared" si="1"/>
        <v>8684.5853679007778</v>
      </c>
      <c r="O22" s="792">
        <f t="shared" si="1"/>
        <v>0</v>
      </c>
      <c r="P22" s="792">
        <f t="shared" si="1"/>
        <v>0</v>
      </c>
      <c r="Q22" s="792">
        <f t="shared" si="1"/>
        <v>0</v>
      </c>
      <c r="R22" s="792">
        <f t="shared" si="1"/>
        <v>209349.52939560724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1361.4436535541629</v>
      </c>
      <c r="D24" s="674">
        <f>+landbouw!C8</f>
        <v>0</v>
      </c>
      <c r="E24" s="674">
        <f>+landbouw!D8</f>
        <v>204.49234103536341</v>
      </c>
      <c r="F24" s="674">
        <f>+landbouw!E8</f>
        <v>14.257332680550741</v>
      </c>
      <c r="G24" s="674">
        <f>+landbouw!F8</f>
        <v>5828.0133146869139</v>
      </c>
      <c r="H24" s="674">
        <f>+landbouw!G8</f>
        <v>0</v>
      </c>
      <c r="I24" s="674">
        <f>+landbouw!H8</f>
        <v>0</v>
      </c>
      <c r="J24" s="674">
        <f>+landbouw!I8</f>
        <v>0</v>
      </c>
      <c r="K24" s="674">
        <f>+landbouw!J8</f>
        <v>121.58912109002968</v>
      </c>
      <c r="L24" s="674">
        <f>+landbouw!K8</f>
        <v>0</v>
      </c>
      <c r="M24" s="674">
        <f>+landbouw!L8</f>
        <v>0</v>
      </c>
      <c r="N24" s="674">
        <f>+landbouw!M8</f>
        <v>0</v>
      </c>
      <c r="O24" s="674">
        <f>+landbouw!N8</f>
        <v>0</v>
      </c>
      <c r="P24" s="674">
        <f>+landbouw!O8</f>
        <v>0</v>
      </c>
      <c r="Q24" s="675">
        <f>+landbouw!P8</f>
        <v>0</v>
      </c>
      <c r="R24" s="677">
        <f>SUM(C24:Q24)</f>
        <v>7529.795763047021</v>
      </c>
      <c r="S24" s="67"/>
    </row>
    <row r="25" spans="1:19" s="443" customFormat="1" ht="15" thickBot="1">
      <c r="A25" s="811" t="s">
        <v>889</v>
      </c>
      <c r="B25" s="966"/>
      <c r="C25" s="967">
        <f>IF(Onbekend_ele_kWh="---",0,Onbekend_ele_kWh)/1000+IF(REST_rest_ele_kWh="---",0,REST_rest_ele_kWh)/1000</f>
        <v>4050.4489655822904</v>
      </c>
      <c r="D25" s="967"/>
      <c r="E25" s="967">
        <f>IF(onbekend_gas_kWh="---",0,onbekend_gas_kWh)/1000+IF(REST_rest_gas_kWh="---",0,REST_rest_gas_kWh)/1000</f>
        <v>7225.6999509103998</v>
      </c>
      <c r="F25" s="967"/>
      <c r="G25" s="967"/>
      <c r="H25" s="967"/>
      <c r="I25" s="967"/>
      <c r="J25" s="967"/>
      <c r="K25" s="967"/>
      <c r="L25" s="967"/>
      <c r="M25" s="967"/>
      <c r="N25" s="967"/>
      <c r="O25" s="967"/>
      <c r="P25" s="967"/>
      <c r="Q25" s="968"/>
      <c r="R25" s="677">
        <f>SUM(C25:Q25)</f>
        <v>11276.14891649269</v>
      </c>
      <c r="S25" s="67"/>
    </row>
    <row r="26" spans="1:19" s="443" customFormat="1" ht="15.75" thickBot="1">
      <c r="A26" s="680" t="s">
        <v>890</v>
      </c>
      <c r="B26" s="797"/>
      <c r="C26" s="792">
        <f>SUM(C24:C25)</f>
        <v>5411.8926191364535</v>
      </c>
      <c r="D26" s="792">
        <f t="shared" ref="D26:R26" si="2">SUM(D24:D25)</f>
        <v>0</v>
      </c>
      <c r="E26" s="792">
        <f t="shared" si="2"/>
        <v>7430.1922919457629</v>
      </c>
      <c r="F26" s="792">
        <f t="shared" si="2"/>
        <v>14.257332680550741</v>
      </c>
      <c r="G26" s="792">
        <f t="shared" si="2"/>
        <v>5828.0133146869139</v>
      </c>
      <c r="H26" s="792">
        <f t="shared" si="2"/>
        <v>0</v>
      </c>
      <c r="I26" s="792">
        <f t="shared" si="2"/>
        <v>0</v>
      </c>
      <c r="J26" s="792">
        <f t="shared" si="2"/>
        <v>0</v>
      </c>
      <c r="K26" s="792">
        <f t="shared" si="2"/>
        <v>121.58912109002968</v>
      </c>
      <c r="L26" s="792">
        <f t="shared" si="2"/>
        <v>0</v>
      </c>
      <c r="M26" s="792">
        <f t="shared" si="2"/>
        <v>0</v>
      </c>
      <c r="N26" s="792">
        <f t="shared" si="2"/>
        <v>0</v>
      </c>
      <c r="O26" s="792">
        <f t="shared" si="2"/>
        <v>0</v>
      </c>
      <c r="P26" s="792">
        <f t="shared" si="2"/>
        <v>0</v>
      </c>
      <c r="Q26" s="792">
        <f t="shared" si="2"/>
        <v>0</v>
      </c>
      <c r="R26" s="792">
        <f t="shared" si="2"/>
        <v>18805.944679539709</v>
      </c>
      <c r="S26" s="67"/>
    </row>
    <row r="27" spans="1:19" s="443" customFormat="1" ht="17.25" thickTop="1" thickBot="1">
      <c r="A27" s="681" t="s">
        <v>109</v>
      </c>
      <c r="B27" s="784"/>
      <c r="C27" s="682">
        <f ca="1">C22+C16+C26</f>
        <v>181988.11897545945</v>
      </c>
      <c r="D27" s="682">
        <f t="shared" ref="D27:R27" ca="1" si="3">D22+D16+D26</f>
        <v>0</v>
      </c>
      <c r="E27" s="682">
        <f t="shared" ca="1" si="3"/>
        <v>195435.6946797822</v>
      </c>
      <c r="F27" s="682">
        <f t="shared" si="3"/>
        <v>6503.1211353680974</v>
      </c>
      <c r="G27" s="682">
        <f t="shared" ca="1" si="3"/>
        <v>174626.8646757016</v>
      </c>
      <c r="H27" s="682">
        <f t="shared" si="3"/>
        <v>173522.63084416537</v>
      </c>
      <c r="I27" s="682">
        <f t="shared" si="3"/>
        <v>26294.865518298921</v>
      </c>
      <c r="J27" s="682">
        <f t="shared" si="3"/>
        <v>0</v>
      </c>
      <c r="K27" s="682">
        <f t="shared" si="3"/>
        <v>3774.0072126538807</v>
      </c>
      <c r="L27" s="682">
        <f t="shared" si="3"/>
        <v>0</v>
      </c>
      <c r="M27" s="682">
        <f t="shared" ca="1" si="3"/>
        <v>0</v>
      </c>
      <c r="N27" s="682">
        <f t="shared" si="3"/>
        <v>8684.5853679007778</v>
      </c>
      <c r="O27" s="682">
        <f t="shared" ca="1" si="3"/>
        <v>20834.980123234473</v>
      </c>
      <c r="P27" s="682">
        <f t="shared" si="3"/>
        <v>118.81333333333333</v>
      </c>
      <c r="Q27" s="682">
        <f t="shared" si="3"/>
        <v>514.80000000000007</v>
      </c>
      <c r="R27" s="682">
        <f t="shared" ca="1" si="3"/>
        <v>792298.48186589801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11276.405416392294</v>
      </c>
      <c r="D40" s="674">
        <f ca="1">tertiair!C20</f>
        <v>0</v>
      </c>
      <c r="E40" s="674">
        <f ca="1">tertiair!D20</f>
        <v>7051.8261269225295</v>
      </c>
      <c r="F40" s="674">
        <f>tertiair!E20</f>
        <v>184.66533500881459</v>
      </c>
      <c r="G40" s="674">
        <f ca="1">tertiair!F20</f>
        <v>2293.1602468130932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20806.057125136736</v>
      </c>
    </row>
    <row r="41" spans="1:18">
      <c r="A41" s="802" t="s">
        <v>214</v>
      </c>
      <c r="B41" s="809"/>
      <c r="C41" s="674">
        <f ca="1">huishoudens!B12</f>
        <v>15116.041504392024</v>
      </c>
      <c r="D41" s="674">
        <f ca="1">huishoudens!C12</f>
        <v>0</v>
      </c>
      <c r="E41" s="674">
        <f>huishoudens!D12</f>
        <v>19661.564336857591</v>
      </c>
      <c r="F41" s="674">
        <f>huishoudens!E12</f>
        <v>984.13312769989705</v>
      </c>
      <c r="G41" s="674">
        <f>huishoudens!F12</f>
        <v>39512.2238258203</v>
      </c>
      <c r="H41" s="674">
        <f>huishoudens!G12</f>
        <v>0</v>
      </c>
      <c r="I41" s="674">
        <f>huishoudens!H12</f>
        <v>0</v>
      </c>
      <c r="J41" s="674">
        <f>huishoudens!I12</f>
        <v>0</v>
      </c>
      <c r="K41" s="674">
        <f>huishoudens!J12</f>
        <v>1179.6222750033112</v>
      </c>
      <c r="L41" s="674">
        <f>huishoudens!K12</f>
        <v>0</v>
      </c>
      <c r="M41" s="674">
        <f>huishoudens!L12</f>
        <v>0</v>
      </c>
      <c r="N41" s="674">
        <f>huishoudens!M12</f>
        <v>0</v>
      </c>
      <c r="O41" s="674">
        <f>huishoudens!N12</f>
        <v>0</v>
      </c>
      <c r="P41" s="674">
        <f>huishoudens!O12</f>
        <v>0</v>
      </c>
      <c r="Q41" s="749">
        <f>huishoudens!P12</f>
        <v>0</v>
      </c>
      <c r="R41" s="830">
        <f t="shared" ca="1" si="4"/>
        <v>76453.585069773122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11311.510678901665</v>
      </c>
      <c r="D43" s="674">
        <f ca="1">industrie!C22</f>
        <v>0</v>
      </c>
      <c r="E43" s="674">
        <f>industrie!D22</f>
        <v>11262.091348060361</v>
      </c>
      <c r="F43" s="674">
        <f>industrie!E22</f>
        <v>117.52953165669277</v>
      </c>
      <c r="G43" s="674">
        <f>industrie!F22</f>
        <v>3263.9092407575317</v>
      </c>
      <c r="H43" s="674">
        <f>industrie!G22</f>
        <v>0</v>
      </c>
      <c r="I43" s="674">
        <f>industrie!H22</f>
        <v>0</v>
      </c>
      <c r="J43" s="674">
        <f>industrie!I22</f>
        <v>0</v>
      </c>
      <c r="K43" s="674">
        <f>industrie!J22</f>
        <v>113.33372941029211</v>
      </c>
      <c r="L43" s="674">
        <f>industrie!K22</f>
        <v>0</v>
      </c>
      <c r="M43" s="674">
        <f>industrie!L22</f>
        <v>0</v>
      </c>
      <c r="N43" s="674">
        <f>industrie!M22</f>
        <v>0</v>
      </c>
      <c r="O43" s="674">
        <f>industrie!N22</f>
        <v>0</v>
      </c>
      <c r="P43" s="674">
        <f>industrie!O22</f>
        <v>0</v>
      </c>
      <c r="Q43" s="749">
        <f>industrie!P22</f>
        <v>0</v>
      </c>
      <c r="R43" s="829">
        <f t="shared" ca="1" si="4"/>
        <v>26068.374528786542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37703.957599685978</v>
      </c>
      <c r="D46" s="707">
        <f t="shared" ref="D46:Q46" ca="1" si="5">SUM(D39:D45)</f>
        <v>0</v>
      </c>
      <c r="E46" s="707">
        <f t="shared" ca="1" si="5"/>
        <v>37975.48181184048</v>
      </c>
      <c r="F46" s="707">
        <f t="shared" si="5"/>
        <v>1286.3279943654045</v>
      </c>
      <c r="G46" s="707">
        <f t="shared" ca="1" si="5"/>
        <v>45069.293313390925</v>
      </c>
      <c r="H46" s="707">
        <f t="shared" si="5"/>
        <v>0</v>
      </c>
      <c r="I46" s="707">
        <f t="shared" si="5"/>
        <v>0</v>
      </c>
      <c r="J46" s="707">
        <f t="shared" si="5"/>
        <v>0</v>
      </c>
      <c r="K46" s="707">
        <f t="shared" si="5"/>
        <v>1292.9560044136033</v>
      </c>
      <c r="L46" s="707">
        <f t="shared" si="5"/>
        <v>0</v>
      </c>
      <c r="M46" s="707">
        <f t="shared" ca="1" si="5"/>
        <v>0</v>
      </c>
      <c r="N46" s="707">
        <f t="shared" si="5"/>
        <v>0</v>
      </c>
      <c r="O46" s="707">
        <f t="shared" ca="1" si="5"/>
        <v>0</v>
      </c>
      <c r="P46" s="707">
        <f t="shared" si="5"/>
        <v>0</v>
      </c>
      <c r="Q46" s="707">
        <f t="shared" si="5"/>
        <v>0</v>
      </c>
      <c r="R46" s="707">
        <f ca="1">SUM(R39:R45)</f>
        <v>123328.0167236964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3.1791527993308275</v>
      </c>
      <c r="D49" s="674">
        <f ca="1">transport!C58</f>
        <v>0</v>
      </c>
      <c r="E49" s="674">
        <f>transport!D58</f>
        <v>0</v>
      </c>
      <c r="F49" s="674">
        <f>transport!E58</f>
        <v>0</v>
      </c>
      <c r="G49" s="674">
        <f>transport!F58</f>
        <v>0</v>
      </c>
      <c r="H49" s="674">
        <f>transport!G58</f>
        <v>862.31374000689732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865.49289280622816</v>
      </c>
    </row>
    <row r="50" spans="1:18">
      <c r="A50" s="805" t="s">
        <v>296</v>
      </c>
      <c r="B50" s="815"/>
      <c r="C50" s="973">
        <f ca="1">transport!B18</f>
        <v>0.48520046407329487</v>
      </c>
      <c r="D50" s="973">
        <f>transport!C18</f>
        <v>0</v>
      </c>
      <c r="E50" s="973">
        <f>transport!D18</f>
        <v>1.6296705024818432</v>
      </c>
      <c r="F50" s="973">
        <f>transport!E18</f>
        <v>186.6440888446688</v>
      </c>
      <c r="G50" s="973">
        <f>transport!F18</f>
        <v>0</v>
      </c>
      <c r="H50" s="973">
        <f>transport!G18</f>
        <v>45468.22869538526</v>
      </c>
      <c r="I50" s="973">
        <f>transport!H18</f>
        <v>6547.4215140564311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52204.409169252918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3.6643532634041223</v>
      </c>
      <c r="D52" s="707">
        <f t="shared" ref="D52:Q52" ca="1" si="6">SUM(D48:D51)</f>
        <v>0</v>
      </c>
      <c r="E52" s="707">
        <f t="shared" si="6"/>
        <v>1.6296705024818432</v>
      </c>
      <c r="F52" s="707">
        <f t="shared" si="6"/>
        <v>186.6440888446688</v>
      </c>
      <c r="G52" s="707">
        <f t="shared" si="6"/>
        <v>0</v>
      </c>
      <c r="H52" s="707">
        <f t="shared" si="6"/>
        <v>46330.542435392155</v>
      </c>
      <c r="I52" s="707">
        <f t="shared" si="6"/>
        <v>6547.4215140564311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53069.902062059147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290.7345097231107</v>
      </c>
      <c r="D54" s="973">
        <f ca="1">+landbouw!C12</f>
        <v>0</v>
      </c>
      <c r="E54" s="973">
        <f>+landbouw!D12</f>
        <v>41.307452889143413</v>
      </c>
      <c r="F54" s="973">
        <f>+landbouw!E12</f>
        <v>3.2364145184850184</v>
      </c>
      <c r="G54" s="973">
        <f>+landbouw!F12</f>
        <v>1556.0795550214061</v>
      </c>
      <c r="H54" s="973">
        <f>+landbouw!G12</f>
        <v>0</v>
      </c>
      <c r="I54" s="973">
        <f>+landbouw!H12</f>
        <v>0</v>
      </c>
      <c r="J54" s="973">
        <f>+landbouw!I12</f>
        <v>0</v>
      </c>
      <c r="K54" s="973">
        <f>+landbouw!J12</f>
        <v>43.042548865870501</v>
      </c>
      <c r="L54" s="973">
        <f>+landbouw!K12</f>
        <v>0</v>
      </c>
      <c r="M54" s="973">
        <f>+landbouw!L12</f>
        <v>0</v>
      </c>
      <c r="N54" s="973">
        <f>+landbouw!M12</f>
        <v>0</v>
      </c>
      <c r="O54" s="973">
        <f>+landbouw!N12</f>
        <v>0</v>
      </c>
      <c r="P54" s="973">
        <f>+landbouw!O12</f>
        <v>0</v>
      </c>
      <c r="Q54" s="974">
        <f>+landbouw!P12</f>
        <v>0</v>
      </c>
      <c r="R54" s="706">
        <f ca="1">SUM(C54:Q54)</f>
        <v>1934.4004810180156</v>
      </c>
    </row>
    <row r="55" spans="1:18" ht="15" thickBot="1">
      <c r="A55" s="805" t="s">
        <v>889</v>
      </c>
      <c r="B55" s="815"/>
      <c r="C55" s="973">
        <f ca="1">C25*'EF ele_warmte'!B12</f>
        <v>864.96807348053699</v>
      </c>
      <c r="D55" s="973"/>
      <c r="E55" s="973">
        <f>E25*EF_CO2_aardgas</f>
        <v>1459.5913900839009</v>
      </c>
      <c r="F55" s="973"/>
      <c r="G55" s="973"/>
      <c r="H55" s="973"/>
      <c r="I55" s="973"/>
      <c r="J55" s="973"/>
      <c r="K55" s="973"/>
      <c r="L55" s="973"/>
      <c r="M55" s="973"/>
      <c r="N55" s="973"/>
      <c r="O55" s="973"/>
      <c r="P55" s="973"/>
      <c r="Q55" s="974"/>
      <c r="R55" s="706">
        <f ca="1">SUM(C55:Q55)</f>
        <v>2324.5594635644379</v>
      </c>
    </row>
    <row r="56" spans="1:18" ht="15.75" thickBot="1">
      <c r="A56" s="803" t="s">
        <v>890</v>
      </c>
      <c r="B56" s="816"/>
      <c r="C56" s="707">
        <f ca="1">SUM(C54:C55)</f>
        <v>1155.7025832036477</v>
      </c>
      <c r="D56" s="707">
        <f t="shared" ref="D56:Q56" ca="1" si="7">SUM(D54:D55)</f>
        <v>0</v>
      </c>
      <c r="E56" s="707">
        <f t="shared" si="7"/>
        <v>1500.8988429730443</v>
      </c>
      <c r="F56" s="707">
        <f t="shared" si="7"/>
        <v>3.2364145184850184</v>
      </c>
      <c r="G56" s="707">
        <f t="shared" si="7"/>
        <v>1556.0795550214061</v>
      </c>
      <c r="H56" s="707">
        <f t="shared" si="7"/>
        <v>0</v>
      </c>
      <c r="I56" s="707">
        <f t="shared" si="7"/>
        <v>0</v>
      </c>
      <c r="J56" s="707">
        <f t="shared" si="7"/>
        <v>0</v>
      </c>
      <c r="K56" s="707">
        <f t="shared" si="7"/>
        <v>43.042548865870501</v>
      </c>
      <c r="L56" s="707">
        <f t="shared" si="7"/>
        <v>0</v>
      </c>
      <c r="M56" s="707">
        <f t="shared" si="7"/>
        <v>0</v>
      </c>
      <c r="N56" s="707">
        <f t="shared" si="7"/>
        <v>0</v>
      </c>
      <c r="O56" s="707">
        <f t="shared" si="7"/>
        <v>0</v>
      </c>
      <c r="P56" s="707">
        <f t="shared" si="7"/>
        <v>0</v>
      </c>
      <c r="Q56" s="708">
        <f t="shared" si="7"/>
        <v>0</v>
      </c>
      <c r="R56" s="709">
        <f ca="1">SUM(R54:R55)</f>
        <v>4258.9599445824533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38863.324536153028</v>
      </c>
      <c r="D61" s="715">
        <f t="shared" ref="D61:Q61" ca="1" si="8">D46+D52+D56</f>
        <v>0</v>
      </c>
      <c r="E61" s="715">
        <f t="shared" ca="1" si="8"/>
        <v>39478.010325316005</v>
      </c>
      <c r="F61" s="715">
        <f t="shared" si="8"/>
        <v>1476.2084977285583</v>
      </c>
      <c r="G61" s="715">
        <f t="shared" ca="1" si="8"/>
        <v>46625.372868412334</v>
      </c>
      <c r="H61" s="715">
        <f t="shared" si="8"/>
        <v>46330.542435392155</v>
      </c>
      <c r="I61" s="715">
        <f t="shared" si="8"/>
        <v>6547.4215140564311</v>
      </c>
      <c r="J61" s="715">
        <f t="shared" si="8"/>
        <v>0</v>
      </c>
      <c r="K61" s="715">
        <f t="shared" si="8"/>
        <v>1335.9985532794738</v>
      </c>
      <c r="L61" s="715">
        <f t="shared" si="8"/>
        <v>0</v>
      </c>
      <c r="M61" s="715">
        <f t="shared" ca="1" si="8"/>
        <v>0</v>
      </c>
      <c r="N61" s="715">
        <f t="shared" si="8"/>
        <v>0</v>
      </c>
      <c r="O61" s="715">
        <f t="shared" ca="1" si="8"/>
        <v>0</v>
      </c>
      <c r="P61" s="715">
        <f t="shared" si="8"/>
        <v>0</v>
      </c>
      <c r="Q61" s="715">
        <f t="shared" si="8"/>
        <v>0</v>
      </c>
      <c r="R61" s="715">
        <f ca="1">R46+R52+R56</f>
        <v>180656.87873033801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0.21354869073290234</v>
      </c>
      <c r="D63" s="759">
        <f t="shared" ca="1" si="9"/>
        <v>0</v>
      </c>
      <c r="E63" s="975">
        <f t="shared" ca="1" si="9"/>
        <v>0.20200000000000001</v>
      </c>
      <c r="F63" s="759">
        <f t="shared" si="9"/>
        <v>0.22700000000000004</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3948.9717530474936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2187</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6248.5714285714294</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6135.9717530474936</v>
      </c>
      <c r="C78" s="730">
        <f>SUM(C72:C77)</f>
        <v>0</v>
      </c>
      <c r="D78" s="731">
        <f t="shared" ref="D78:H78" si="10">SUM(D76:D77)</f>
        <v>0</v>
      </c>
      <c r="E78" s="731">
        <f t="shared" si="10"/>
        <v>0</v>
      </c>
      <c r="F78" s="731">
        <f t="shared" si="10"/>
        <v>0</v>
      </c>
      <c r="G78" s="731">
        <f t="shared" si="10"/>
        <v>0</v>
      </c>
      <c r="H78" s="731">
        <f t="shared" si="10"/>
        <v>0</v>
      </c>
      <c r="I78" s="731">
        <f>SUM(I76:I77)</f>
        <v>0</v>
      </c>
      <c r="J78" s="731">
        <f>SUM(J76:J77)</f>
        <v>6248.5714285714294</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70784.987969317604</v>
      </c>
      <c r="C4" s="447">
        <f>huishoudens!C8</f>
        <v>0</v>
      </c>
      <c r="D4" s="447">
        <f>huishoudens!D8</f>
        <v>97334.476915136591</v>
      </c>
      <c r="E4" s="447">
        <f>huishoudens!E8</f>
        <v>4335.3882277528501</v>
      </c>
      <c r="F4" s="447">
        <f>huishoudens!F8</f>
        <v>147985.85702554419</v>
      </c>
      <c r="G4" s="447">
        <f>huishoudens!G8</f>
        <v>0</v>
      </c>
      <c r="H4" s="447">
        <f>huishoudens!H8</f>
        <v>0</v>
      </c>
      <c r="I4" s="447">
        <f>huishoudens!I8</f>
        <v>0</v>
      </c>
      <c r="J4" s="447">
        <f>huishoudens!J8</f>
        <v>3332.2663135686757</v>
      </c>
      <c r="K4" s="447">
        <f>huishoudens!K8</f>
        <v>0</v>
      </c>
      <c r="L4" s="447">
        <f>huishoudens!L8</f>
        <v>0</v>
      </c>
      <c r="M4" s="447">
        <f>huishoudens!M8</f>
        <v>0</v>
      </c>
      <c r="N4" s="447">
        <f>huishoudens!N8</f>
        <v>19737.983304786463</v>
      </c>
      <c r="O4" s="447">
        <f>huishoudens!O8</f>
        <v>115.68666666666667</v>
      </c>
      <c r="P4" s="448">
        <f>huishoudens!P8</f>
        <v>495.73333333333335</v>
      </c>
      <c r="Q4" s="449">
        <f>SUM(B4:P4)</f>
        <v>344122.37975610635</v>
      </c>
    </row>
    <row r="5" spans="1:17">
      <c r="A5" s="446" t="s">
        <v>149</v>
      </c>
      <c r="B5" s="447">
        <f ca="1">tertiair!B16</f>
        <v>50202.41754243899</v>
      </c>
      <c r="C5" s="447">
        <f ca="1">tertiair!C16</f>
        <v>0</v>
      </c>
      <c r="D5" s="447">
        <f ca="1">tertiair!D16</f>
        <v>34910.030331299648</v>
      </c>
      <c r="E5" s="447">
        <f>tertiair!E16</f>
        <v>813.50367845292772</v>
      </c>
      <c r="F5" s="447">
        <f ca="1">tertiair!F16</f>
        <v>8588.6151566033441</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3.1266666666666669</v>
      </c>
      <c r="P5" s="448">
        <f>tertiair!P16</f>
        <v>19.066666666666666</v>
      </c>
      <c r="Q5" s="446">
        <f t="shared" ref="Q5:Q14" ca="1" si="0">SUM(B5:P5)</f>
        <v>94536.76004212824</v>
      </c>
    </row>
    <row r="6" spans="1:17">
      <c r="A6" s="446" t="s">
        <v>187</v>
      </c>
      <c r="B6" s="447">
        <f>'openbare verlichting'!B8</f>
        <v>2602.4270000000001</v>
      </c>
      <c r="C6" s="447"/>
      <c r="D6" s="447"/>
      <c r="E6" s="447"/>
      <c r="F6" s="447"/>
      <c r="G6" s="447"/>
      <c r="H6" s="447"/>
      <c r="I6" s="447"/>
      <c r="J6" s="447"/>
      <c r="K6" s="447"/>
      <c r="L6" s="447"/>
      <c r="M6" s="447"/>
      <c r="N6" s="447"/>
      <c r="O6" s="447"/>
      <c r="P6" s="448"/>
      <c r="Q6" s="446">
        <f t="shared" si="0"/>
        <v>2602.4270000000001</v>
      </c>
    </row>
    <row r="7" spans="1:17">
      <c r="A7" s="446" t="s">
        <v>105</v>
      </c>
      <c r="B7" s="447">
        <f>landbouw!B8</f>
        <v>1361.4436535541629</v>
      </c>
      <c r="C7" s="447">
        <f>landbouw!C8</f>
        <v>0</v>
      </c>
      <c r="D7" s="447">
        <f>landbouw!D8</f>
        <v>204.49234103536341</v>
      </c>
      <c r="E7" s="447">
        <f>landbouw!E8</f>
        <v>14.257332680550741</v>
      </c>
      <c r="F7" s="447">
        <f>landbouw!F8</f>
        <v>5828.0133146869139</v>
      </c>
      <c r="G7" s="447">
        <f>landbouw!G8</f>
        <v>0</v>
      </c>
      <c r="H7" s="447">
        <f>landbouw!H8</f>
        <v>0</v>
      </c>
      <c r="I7" s="447">
        <f>landbouw!I8</f>
        <v>0</v>
      </c>
      <c r="J7" s="447">
        <f>landbouw!J8</f>
        <v>121.58912109002968</v>
      </c>
      <c r="K7" s="447">
        <f>landbouw!K8</f>
        <v>0</v>
      </c>
      <c r="L7" s="447">
        <f>landbouw!L8</f>
        <v>0</v>
      </c>
      <c r="M7" s="447">
        <f>landbouw!M8</f>
        <v>0</v>
      </c>
      <c r="N7" s="447">
        <f>landbouw!N8</f>
        <v>0</v>
      </c>
      <c r="O7" s="447">
        <f>landbouw!O8</f>
        <v>0</v>
      </c>
      <c r="P7" s="448">
        <f>landbouw!P8</f>
        <v>0</v>
      </c>
      <c r="Q7" s="446">
        <f t="shared" si="0"/>
        <v>7529.795763047021</v>
      </c>
    </row>
    <row r="8" spans="1:17">
      <c r="A8" s="446" t="s">
        <v>637</v>
      </c>
      <c r="B8" s="447">
        <f>industrie!B18</f>
        <v>52969.234510782459</v>
      </c>
      <c r="C8" s="447">
        <f>industrie!C18</f>
        <v>0</v>
      </c>
      <c r="D8" s="447">
        <f>industrie!D18</f>
        <v>55752.927465645349</v>
      </c>
      <c r="E8" s="447">
        <f>industrie!E18</f>
        <v>517.75124077838223</v>
      </c>
      <c r="F8" s="447">
        <f>industrie!F18</f>
        <v>12224.379178867159</v>
      </c>
      <c r="G8" s="447">
        <f>industrie!G18</f>
        <v>0</v>
      </c>
      <c r="H8" s="447">
        <f>industrie!H18</f>
        <v>0</v>
      </c>
      <c r="I8" s="447">
        <f>industrie!I18</f>
        <v>0</v>
      </c>
      <c r="J8" s="447">
        <f>industrie!J18</f>
        <v>320.15177799517545</v>
      </c>
      <c r="K8" s="447">
        <f>industrie!K18</f>
        <v>0</v>
      </c>
      <c r="L8" s="447">
        <f>industrie!L18</f>
        <v>0</v>
      </c>
      <c r="M8" s="447">
        <f>industrie!M18</f>
        <v>0</v>
      </c>
      <c r="N8" s="447">
        <f>industrie!N18</f>
        <v>1096.9968184480108</v>
      </c>
      <c r="O8" s="447">
        <f>industrie!O18</f>
        <v>0</v>
      </c>
      <c r="P8" s="448">
        <f>industrie!P18</f>
        <v>0</v>
      </c>
      <c r="Q8" s="446">
        <f t="shared" si="0"/>
        <v>122881.44099251652</v>
      </c>
    </row>
    <row r="9" spans="1:17" s="452" customFormat="1">
      <c r="A9" s="450" t="s">
        <v>556</v>
      </c>
      <c r="B9" s="451">
        <f>transport!B14</f>
        <v>2.2720835347108865</v>
      </c>
      <c r="C9" s="451">
        <f>transport!C14</f>
        <v>0</v>
      </c>
      <c r="D9" s="451">
        <f>transport!D14</f>
        <v>8.0676757548606091</v>
      </c>
      <c r="E9" s="451">
        <f>transport!E14</f>
        <v>822.2206557033868</v>
      </c>
      <c r="F9" s="451">
        <f>transport!F14</f>
        <v>0</v>
      </c>
      <c r="G9" s="451">
        <f>transport!G14</f>
        <v>170292.9913684841</v>
      </c>
      <c r="H9" s="451">
        <f>transport!H14</f>
        <v>26294.865518298921</v>
      </c>
      <c r="I9" s="451">
        <f>transport!I14</f>
        <v>0</v>
      </c>
      <c r="J9" s="451">
        <f>transport!J14</f>
        <v>0</v>
      </c>
      <c r="K9" s="451">
        <f>transport!K14</f>
        <v>0</v>
      </c>
      <c r="L9" s="451">
        <f>transport!L14</f>
        <v>0</v>
      </c>
      <c r="M9" s="451">
        <f>transport!M14</f>
        <v>8546.3046114016015</v>
      </c>
      <c r="N9" s="451">
        <f>transport!N14</f>
        <v>0</v>
      </c>
      <c r="O9" s="451">
        <f>transport!O14</f>
        <v>0</v>
      </c>
      <c r="P9" s="451">
        <f>transport!P14</f>
        <v>0</v>
      </c>
      <c r="Q9" s="450">
        <f>SUM(B9:P9)</f>
        <v>205966.72191317761</v>
      </c>
    </row>
    <row r="10" spans="1:17">
      <c r="A10" s="446" t="s">
        <v>546</v>
      </c>
      <c r="B10" s="447">
        <f>transport!B54</f>
        <v>14.887250249205115</v>
      </c>
      <c r="C10" s="447">
        <f>transport!C54</f>
        <v>0</v>
      </c>
      <c r="D10" s="447">
        <f>transport!D54</f>
        <v>0</v>
      </c>
      <c r="E10" s="447">
        <f>transport!E54</f>
        <v>0</v>
      </c>
      <c r="F10" s="447">
        <f>transport!F54</f>
        <v>0</v>
      </c>
      <c r="G10" s="447">
        <f>transport!G54</f>
        <v>3229.6394756812633</v>
      </c>
      <c r="H10" s="447">
        <f>transport!H54</f>
        <v>0</v>
      </c>
      <c r="I10" s="447">
        <f>transport!I54</f>
        <v>0</v>
      </c>
      <c r="J10" s="447">
        <f>transport!J54</f>
        <v>0</v>
      </c>
      <c r="K10" s="447">
        <f>transport!K54</f>
        <v>0</v>
      </c>
      <c r="L10" s="447">
        <f>transport!L54</f>
        <v>0</v>
      </c>
      <c r="M10" s="447">
        <f>transport!M54</f>
        <v>138.28075649917582</v>
      </c>
      <c r="N10" s="447">
        <f>transport!N54</f>
        <v>0</v>
      </c>
      <c r="O10" s="447">
        <f>transport!O54</f>
        <v>0</v>
      </c>
      <c r="P10" s="448">
        <f>transport!P54</f>
        <v>0</v>
      </c>
      <c r="Q10" s="446">
        <f t="shared" si="0"/>
        <v>3382.8074824296441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4050.4489655822904</v>
      </c>
      <c r="C14" s="454"/>
      <c r="D14" s="454">
        <f>'SEAP template'!E25</f>
        <v>7225.6999509103998</v>
      </c>
      <c r="E14" s="454"/>
      <c r="F14" s="454"/>
      <c r="G14" s="454"/>
      <c r="H14" s="454"/>
      <c r="I14" s="454"/>
      <c r="J14" s="454"/>
      <c r="K14" s="454"/>
      <c r="L14" s="454"/>
      <c r="M14" s="454"/>
      <c r="N14" s="454"/>
      <c r="O14" s="454"/>
      <c r="P14" s="455"/>
      <c r="Q14" s="446">
        <f t="shared" si="0"/>
        <v>11276.14891649269</v>
      </c>
    </row>
    <row r="15" spans="1:17" s="459" customFormat="1">
      <c r="A15" s="456" t="s">
        <v>550</v>
      </c>
      <c r="B15" s="457">
        <f ca="1">SUM(B4:B14)</f>
        <v>181988.11897545945</v>
      </c>
      <c r="C15" s="457">
        <f t="shared" ref="C15:Q15" ca="1" si="1">SUM(C4:C14)</f>
        <v>0</v>
      </c>
      <c r="D15" s="457">
        <f t="shared" ca="1" si="1"/>
        <v>195435.69467978223</v>
      </c>
      <c r="E15" s="457">
        <f t="shared" si="1"/>
        <v>6503.1211353680974</v>
      </c>
      <c r="F15" s="457">
        <f t="shared" ca="1" si="1"/>
        <v>174626.8646757016</v>
      </c>
      <c r="G15" s="457">
        <f t="shared" si="1"/>
        <v>173522.63084416537</v>
      </c>
      <c r="H15" s="457">
        <f t="shared" si="1"/>
        <v>26294.865518298921</v>
      </c>
      <c r="I15" s="457">
        <f t="shared" si="1"/>
        <v>0</v>
      </c>
      <c r="J15" s="457">
        <f t="shared" si="1"/>
        <v>3774.0072126538807</v>
      </c>
      <c r="K15" s="457">
        <f t="shared" si="1"/>
        <v>0</v>
      </c>
      <c r="L15" s="457">
        <f t="shared" ca="1" si="1"/>
        <v>0</v>
      </c>
      <c r="M15" s="457">
        <f t="shared" si="1"/>
        <v>8684.5853679007778</v>
      </c>
      <c r="N15" s="457">
        <f t="shared" ca="1" si="1"/>
        <v>20834.980123234473</v>
      </c>
      <c r="O15" s="457">
        <f t="shared" si="1"/>
        <v>118.81333333333333</v>
      </c>
      <c r="P15" s="457">
        <f t="shared" si="1"/>
        <v>514.80000000000007</v>
      </c>
      <c r="Q15" s="457">
        <f t="shared" ca="1" si="1"/>
        <v>792298.48186589812</v>
      </c>
    </row>
    <row r="17" spans="1:17">
      <c r="A17" s="460" t="s">
        <v>551</v>
      </c>
      <c r="B17" s="764">
        <f ca="1">huishoudens!B10</f>
        <v>0.21354869073290242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15116.041504392024</v>
      </c>
      <c r="C22" s="447">
        <f t="shared" ref="C22:C32" ca="1" si="3">C4*$C$17</f>
        <v>0</v>
      </c>
      <c r="D22" s="447">
        <f t="shared" ref="D22:D32" si="4">D4*$D$17</f>
        <v>19661.564336857591</v>
      </c>
      <c r="E22" s="447">
        <f t="shared" ref="E22:E32" si="5">E4*$E$17</f>
        <v>984.13312769989705</v>
      </c>
      <c r="F22" s="447">
        <f t="shared" ref="F22:F32" si="6">F4*$F$17</f>
        <v>39512.2238258203</v>
      </c>
      <c r="G22" s="447">
        <f t="shared" ref="G22:G32" si="7">G4*$G$17</f>
        <v>0</v>
      </c>
      <c r="H22" s="447">
        <f t="shared" ref="H22:H32" si="8">H4*$H$17</f>
        <v>0</v>
      </c>
      <c r="I22" s="447">
        <f t="shared" ref="I22:I32" si="9">I4*$I$17</f>
        <v>0</v>
      </c>
      <c r="J22" s="447">
        <f t="shared" ref="J22:J32" si="10">J4*$J$17</f>
        <v>1179.6222750033112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76453.585069773122</v>
      </c>
    </row>
    <row r="23" spans="1:17">
      <c r="A23" s="446" t="s">
        <v>149</v>
      </c>
      <c r="B23" s="447">
        <f t="shared" ca="1" si="2"/>
        <v>10720.660537814339</v>
      </c>
      <c r="C23" s="447">
        <f t="shared" ca="1" si="3"/>
        <v>0</v>
      </c>
      <c r="D23" s="447">
        <f t="shared" ca="1" si="4"/>
        <v>7051.8261269225295</v>
      </c>
      <c r="E23" s="447">
        <f t="shared" si="5"/>
        <v>184.66533500881459</v>
      </c>
      <c r="F23" s="447">
        <f t="shared" ca="1" si="6"/>
        <v>2293.1602468130932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20250.31224655878</v>
      </c>
    </row>
    <row r="24" spans="1:17">
      <c r="A24" s="446" t="s">
        <v>187</v>
      </c>
      <c r="B24" s="447">
        <f t="shared" ca="1" si="2"/>
        <v>555.74487857795509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555.74487857795509</v>
      </c>
    </row>
    <row r="25" spans="1:17">
      <c r="A25" s="446" t="s">
        <v>105</v>
      </c>
      <c r="B25" s="447">
        <f t="shared" ca="1" si="2"/>
        <v>290.7345097231107</v>
      </c>
      <c r="C25" s="447">
        <f t="shared" ca="1" si="3"/>
        <v>0</v>
      </c>
      <c r="D25" s="447">
        <f t="shared" si="4"/>
        <v>41.307452889143413</v>
      </c>
      <c r="E25" s="447">
        <f t="shared" si="5"/>
        <v>3.2364145184850184</v>
      </c>
      <c r="F25" s="447">
        <f t="shared" si="6"/>
        <v>1556.0795550214061</v>
      </c>
      <c r="G25" s="447">
        <f t="shared" si="7"/>
        <v>0</v>
      </c>
      <c r="H25" s="447">
        <f t="shared" si="8"/>
        <v>0</v>
      </c>
      <c r="I25" s="447">
        <f t="shared" si="9"/>
        <v>0</v>
      </c>
      <c r="J25" s="447">
        <f t="shared" si="10"/>
        <v>43.042548865870501</v>
      </c>
      <c r="K25" s="447">
        <f t="shared" si="11"/>
        <v>0</v>
      </c>
      <c r="L25" s="447">
        <f t="shared" si="12"/>
        <v>0</v>
      </c>
      <c r="M25" s="447">
        <f t="shared" si="13"/>
        <v>0</v>
      </c>
      <c r="N25" s="447">
        <f t="shared" si="14"/>
        <v>0</v>
      </c>
      <c r="O25" s="447">
        <f t="shared" si="15"/>
        <v>0</v>
      </c>
      <c r="P25" s="448">
        <f t="shared" si="16"/>
        <v>0</v>
      </c>
      <c r="Q25" s="446">
        <f t="shared" ca="1" si="17"/>
        <v>1934.4004810180156</v>
      </c>
    </row>
    <row r="26" spans="1:17">
      <c r="A26" s="446" t="s">
        <v>637</v>
      </c>
      <c r="B26" s="447">
        <f t="shared" ca="1" si="2"/>
        <v>11311.510678901665</v>
      </c>
      <c r="C26" s="447">
        <f t="shared" ca="1" si="3"/>
        <v>0</v>
      </c>
      <c r="D26" s="447">
        <f t="shared" si="4"/>
        <v>11262.091348060361</v>
      </c>
      <c r="E26" s="447">
        <f t="shared" si="5"/>
        <v>117.52953165669277</v>
      </c>
      <c r="F26" s="447">
        <f t="shared" si="6"/>
        <v>3263.9092407575317</v>
      </c>
      <c r="G26" s="447">
        <f t="shared" si="7"/>
        <v>0</v>
      </c>
      <c r="H26" s="447">
        <f t="shared" si="8"/>
        <v>0</v>
      </c>
      <c r="I26" s="447">
        <f t="shared" si="9"/>
        <v>0</v>
      </c>
      <c r="J26" s="447">
        <f t="shared" si="10"/>
        <v>113.33372941029211</v>
      </c>
      <c r="K26" s="447">
        <f t="shared" si="11"/>
        <v>0</v>
      </c>
      <c r="L26" s="447">
        <f t="shared" si="12"/>
        <v>0</v>
      </c>
      <c r="M26" s="447">
        <f t="shared" si="13"/>
        <v>0</v>
      </c>
      <c r="N26" s="447">
        <f t="shared" si="14"/>
        <v>0</v>
      </c>
      <c r="O26" s="447">
        <f t="shared" si="15"/>
        <v>0</v>
      </c>
      <c r="P26" s="448">
        <f t="shared" si="16"/>
        <v>0</v>
      </c>
      <c r="Q26" s="446">
        <f t="shared" ca="1" si="17"/>
        <v>26068.374528786542</v>
      </c>
    </row>
    <row r="27" spans="1:17" s="452" customFormat="1">
      <c r="A27" s="450" t="s">
        <v>556</v>
      </c>
      <c r="B27" s="758">
        <f t="shared" ca="1" si="2"/>
        <v>0.48520046407329487</v>
      </c>
      <c r="C27" s="451">
        <f t="shared" ca="1" si="3"/>
        <v>0</v>
      </c>
      <c r="D27" s="451">
        <f t="shared" si="4"/>
        <v>1.6296705024818432</v>
      </c>
      <c r="E27" s="451">
        <f t="shared" si="5"/>
        <v>186.6440888446688</v>
      </c>
      <c r="F27" s="451">
        <f t="shared" si="6"/>
        <v>0</v>
      </c>
      <c r="G27" s="451">
        <f t="shared" si="7"/>
        <v>45468.22869538526</v>
      </c>
      <c r="H27" s="451">
        <f t="shared" si="8"/>
        <v>6547.4215140564311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52204.409169252918</v>
      </c>
    </row>
    <row r="28" spans="1:17">
      <c r="A28" s="446" t="s">
        <v>546</v>
      </c>
      <c r="B28" s="447">
        <f t="shared" ca="1" si="2"/>
        <v>3.1791527993308275</v>
      </c>
      <c r="C28" s="447">
        <f t="shared" ca="1" si="3"/>
        <v>0</v>
      </c>
      <c r="D28" s="447">
        <f t="shared" si="4"/>
        <v>0</v>
      </c>
      <c r="E28" s="447">
        <f t="shared" si="5"/>
        <v>0</v>
      </c>
      <c r="F28" s="447">
        <f t="shared" si="6"/>
        <v>0</v>
      </c>
      <c r="G28" s="447">
        <f t="shared" si="7"/>
        <v>862.31374000689732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865.49289280622816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864.96807348053699</v>
      </c>
      <c r="C32" s="447">
        <f t="shared" ca="1" si="3"/>
        <v>0</v>
      </c>
      <c r="D32" s="447">
        <f t="shared" si="4"/>
        <v>1459.5913900839009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2324.5594635644379</v>
      </c>
    </row>
    <row r="33" spans="1:17" s="459" customFormat="1">
      <c r="A33" s="456" t="s">
        <v>550</v>
      </c>
      <c r="B33" s="457">
        <f ca="1">SUM(B22:B32)</f>
        <v>38863.324536153035</v>
      </c>
      <c r="C33" s="457">
        <f t="shared" ref="C33:Q33" ca="1" si="19">SUM(C22:C32)</f>
        <v>0</v>
      </c>
      <c r="D33" s="457">
        <f t="shared" ca="1" si="19"/>
        <v>39478.010325316005</v>
      </c>
      <c r="E33" s="457">
        <f t="shared" si="19"/>
        <v>1476.2084977285583</v>
      </c>
      <c r="F33" s="457">
        <f t="shared" ca="1" si="19"/>
        <v>46625.372868412327</v>
      </c>
      <c r="G33" s="457">
        <f t="shared" si="19"/>
        <v>46330.542435392155</v>
      </c>
      <c r="H33" s="457">
        <f t="shared" si="19"/>
        <v>6547.4215140564311</v>
      </c>
      <c r="I33" s="457">
        <f t="shared" si="19"/>
        <v>0</v>
      </c>
      <c r="J33" s="457">
        <f t="shared" si="19"/>
        <v>1335.9985532794738</v>
      </c>
      <c r="K33" s="457">
        <f t="shared" si="19"/>
        <v>0</v>
      </c>
      <c r="L33" s="457">
        <f t="shared" ca="1" si="19"/>
        <v>0</v>
      </c>
      <c r="M33" s="457">
        <f t="shared" si="19"/>
        <v>0</v>
      </c>
      <c r="N33" s="457">
        <f t="shared" ca="1" si="19"/>
        <v>0</v>
      </c>
      <c r="O33" s="457">
        <f t="shared" si="19"/>
        <v>0</v>
      </c>
      <c r="P33" s="457">
        <f t="shared" si="19"/>
        <v>0</v>
      </c>
      <c r="Q33" s="457">
        <f t="shared" ca="1" si="19"/>
        <v>180656.87873033801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3948.9717530474936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2187</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6248.5714285714294</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6135.9717530474936</v>
      </c>
      <c r="C10" s="1010">
        <f>SUM(C4:C9)</f>
        <v>0</v>
      </c>
      <c r="D10" s="1010">
        <f t="shared" ref="D10:H10" si="0">SUM(D8:D9)</f>
        <v>0</v>
      </c>
      <c r="E10" s="1010">
        <f t="shared" si="0"/>
        <v>0</v>
      </c>
      <c r="F10" s="1010">
        <f t="shared" si="0"/>
        <v>0</v>
      </c>
      <c r="G10" s="1010">
        <f t="shared" si="0"/>
        <v>0</v>
      </c>
      <c r="H10" s="1010">
        <f t="shared" si="0"/>
        <v>0</v>
      </c>
      <c r="I10" s="1010">
        <f>SUM(I8:I9)</f>
        <v>0</v>
      </c>
      <c r="J10" s="1010">
        <f>SUM(J8:J9)</f>
        <v>6248.5714285714294</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0.21354869073290242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0.21354869073290242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0.21354869073290242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0.21354869073290242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15636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3854</v>
      </c>
      <c r="C14" s="326"/>
      <c r="D14" s="326"/>
      <c r="E14" s="326"/>
      <c r="F14" s="326"/>
    </row>
    <row r="15" spans="1:6">
      <c r="A15" s="1280" t="s">
        <v>177</v>
      </c>
      <c r="B15" s="1281">
        <v>237</v>
      </c>
      <c r="C15" s="326"/>
      <c r="D15" s="326"/>
      <c r="E15" s="326"/>
      <c r="F15" s="326"/>
    </row>
    <row r="16" spans="1:6">
      <c r="A16" s="1280" t="s">
        <v>6</v>
      </c>
      <c r="B16" s="1281">
        <v>1385</v>
      </c>
      <c r="C16" s="326"/>
      <c r="D16" s="326"/>
      <c r="E16" s="326"/>
      <c r="F16" s="326"/>
    </row>
    <row r="17" spans="1:6">
      <c r="A17" s="1280" t="s">
        <v>7</v>
      </c>
      <c r="B17" s="1281">
        <v>1238</v>
      </c>
      <c r="C17" s="326"/>
      <c r="D17" s="326"/>
      <c r="E17" s="326"/>
      <c r="F17" s="326"/>
    </row>
    <row r="18" spans="1:6">
      <c r="A18" s="1280" t="s">
        <v>8</v>
      </c>
      <c r="B18" s="1281">
        <v>1812</v>
      </c>
      <c r="C18" s="326"/>
      <c r="D18" s="326"/>
      <c r="E18" s="326"/>
      <c r="F18" s="326"/>
    </row>
    <row r="19" spans="1:6">
      <c r="A19" s="1280" t="s">
        <v>9</v>
      </c>
      <c r="B19" s="1281">
        <v>1787</v>
      </c>
      <c r="C19" s="326"/>
      <c r="D19" s="326"/>
      <c r="E19" s="326"/>
      <c r="F19" s="326"/>
    </row>
    <row r="20" spans="1:6">
      <c r="A20" s="1280" t="s">
        <v>10</v>
      </c>
      <c r="B20" s="1281">
        <v>1698</v>
      </c>
      <c r="C20" s="326"/>
      <c r="D20" s="326"/>
      <c r="E20" s="326"/>
      <c r="F20" s="326"/>
    </row>
    <row r="21" spans="1:6">
      <c r="A21" s="1280" t="s">
        <v>11</v>
      </c>
      <c r="B21" s="1281">
        <v>409</v>
      </c>
      <c r="C21" s="326"/>
      <c r="D21" s="326"/>
      <c r="E21" s="326"/>
      <c r="F21" s="326"/>
    </row>
    <row r="22" spans="1:6">
      <c r="A22" s="1280" t="s">
        <v>12</v>
      </c>
      <c r="B22" s="1281">
        <v>1916</v>
      </c>
      <c r="C22" s="326"/>
      <c r="D22" s="326"/>
      <c r="E22" s="326"/>
      <c r="F22" s="326"/>
    </row>
    <row r="23" spans="1:6">
      <c r="A23" s="1280" t="s">
        <v>13</v>
      </c>
      <c r="B23" s="1281">
        <v>17</v>
      </c>
      <c r="C23" s="326"/>
      <c r="D23" s="326"/>
      <c r="E23" s="326"/>
      <c r="F23" s="326"/>
    </row>
    <row r="24" spans="1:6">
      <c r="A24" s="1280" t="s">
        <v>14</v>
      </c>
      <c r="B24" s="1281">
        <v>2</v>
      </c>
      <c r="C24" s="326"/>
      <c r="D24" s="326"/>
      <c r="E24" s="326"/>
      <c r="F24" s="326"/>
    </row>
    <row r="25" spans="1:6">
      <c r="A25" s="1280" t="s">
        <v>15</v>
      </c>
      <c r="B25" s="1281">
        <v>203</v>
      </c>
      <c r="C25" s="326"/>
      <c r="D25" s="326"/>
      <c r="E25" s="326"/>
      <c r="F25" s="326"/>
    </row>
    <row r="26" spans="1:6">
      <c r="A26" s="1280" t="s">
        <v>16</v>
      </c>
      <c r="B26" s="1281">
        <v>378</v>
      </c>
      <c r="C26" s="326"/>
      <c r="D26" s="326"/>
      <c r="E26" s="326"/>
      <c r="F26" s="326"/>
    </row>
    <row r="27" spans="1:6">
      <c r="A27" s="1280" t="s">
        <v>17</v>
      </c>
      <c r="B27" s="1281">
        <v>8</v>
      </c>
      <c r="C27" s="326"/>
      <c r="D27" s="326"/>
      <c r="E27" s="326"/>
      <c r="F27" s="326"/>
    </row>
    <row r="28" spans="1:6">
      <c r="A28" s="1280" t="s">
        <v>18</v>
      </c>
      <c r="B28" s="1282">
        <v>0</v>
      </c>
      <c r="C28" s="326"/>
      <c r="D28" s="326"/>
      <c r="E28" s="326"/>
      <c r="F28" s="326"/>
    </row>
    <row r="29" spans="1:6">
      <c r="A29" s="1280" t="s">
        <v>972</v>
      </c>
      <c r="B29" s="1282">
        <v>162</v>
      </c>
      <c r="C29" s="326"/>
      <c r="D29" s="326"/>
      <c r="E29" s="326"/>
      <c r="F29" s="326"/>
    </row>
    <row r="30" spans="1:6">
      <c r="A30" s="1275" t="s">
        <v>973</v>
      </c>
      <c r="B30" s="1283">
        <v>41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156709.40711711301</v>
      </c>
      <c r="E38" s="1281">
        <v>6</v>
      </c>
      <c r="F38" s="1281">
        <v>37201.846408767502</v>
      </c>
    </row>
    <row r="39" spans="1:6">
      <c r="A39" s="1280" t="s">
        <v>29</v>
      </c>
      <c r="B39" s="1280" t="s">
        <v>30</v>
      </c>
      <c r="C39" s="1281">
        <v>6977</v>
      </c>
      <c r="D39" s="1281">
        <v>107909619.63984101</v>
      </c>
      <c r="E39" s="1281">
        <v>15212</v>
      </c>
      <c r="F39" s="1281">
        <v>68294119.013657793</v>
      </c>
    </row>
    <row r="40" spans="1:6">
      <c r="A40" s="1280" t="s">
        <v>29</v>
      </c>
      <c r="B40" s="1280" t="s">
        <v>28</v>
      </c>
      <c r="C40" s="1281">
        <v>0</v>
      </c>
      <c r="D40" s="1281">
        <v>0</v>
      </c>
      <c r="E40" s="1281">
        <v>0</v>
      </c>
      <c r="F40" s="1281">
        <v>0</v>
      </c>
    </row>
    <row r="41" spans="1:6">
      <c r="A41" s="1280" t="s">
        <v>31</v>
      </c>
      <c r="B41" s="1280" t="s">
        <v>32</v>
      </c>
      <c r="C41" s="1281">
        <v>73</v>
      </c>
      <c r="D41" s="1281">
        <v>7608911.5933616599</v>
      </c>
      <c r="E41" s="1281">
        <v>338</v>
      </c>
      <c r="F41" s="1281">
        <v>4320592.6593379602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386639.18773125397</v>
      </c>
      <c r="E44" s="1281">
        <v>19</v>
      </c>
      <c r="F44" s="1281">
        <v>2471258.24646171</v>
      </c>
    </row>
    <row r="45" spans="1:6">
      <c r="A45" s="1280" t="s">
        <v>31</v>
      </c>
      <c r="B45" s="1280" t="s">
        <v>36</v>
      </c>
      <c r="C45" s="1281">
        <v>0</v>
      </c>
      <c r="D45" s="1281">
        <v>0</v>
      </c>
      <c r="E45" s="1281">
        <v>4</v>
      </c>
      <c r="F45" s="1281">
        <v>519881.91969941999</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60554.101640569999</v>
      </c>
    </row>
    <row r="48" spans="1:6">
      <c r="A48" s="1280" t="s">
        <v>31</v>
      </c>
      <c r="B48" s="1280" t="s">
        <v>28</v>
      </c>
      <c r="C48" s="1281">
        <v>45</v>
      </c>
      <c r="D48" s="1281">
        <v>25118628.811633799</v>
      </c>
      <c r="E48" s="1281">
        <v>106</v>
      </c>
      <c r="F48" s="1281">
        <v>29840309.3804955</v>
      </c>
    </row>
    <row r="49" spans="1:6">
      <c r="A49" s="1280" t="s">
        <v>31</v>
      </c>
      <c r="B49" s="1280" t="s">
        <v>39</v>
      </c>
      <c r="C49" s="1281">
        <v>0</v>
      </c>
      <c r="D49" s="1281">
        <v>0</v>
      </c>
      <c r="E49" s="1281">
        <v>0</v>
      </c>
      <c r="F49" s="1281">
        <v>0</v>
      </c>
    </row>
    <row r="50" spans="1:6">
      <c r="A50" s="1280" t="s">
        <v>31</v>
      </c>
      <c r="B50" s="1280" t="s">
        <v>40</v>
      </c>
      <c r="C50" s="1281">
        <v>20</v>
      </c>
      <c r="D50" s="1281">
        <v>28696161.278276999</v>
      </c>
      <c r="E50" s="1281">
        <v>35</v>
      </c>
      <c r="F50" s="1281">
        <v>15756638.2031473</v>
      </c>
    </row>
    <row r="51" spans="1:6">
      <c r="A51" s="1280" t="s">
        <v>41</v>
      </c>
      <c r="B51" s="1280" t="s">
        <v>42</v>
      </c>
      <c r="C51" s="1281">
        <v>0</v>
      </c>
      <c r="D51" s="1281">
        <v>0</v>
      </c>
      <c r="E51" s="1281">
        <v>92</v>
      </c>
      <c r="F51" s="1281">
        <v>1067419.9228936899</v>
      </c>
    </row>
    <row r="52" spans="1:6">
      <c r="A52" s="1280" t="s">
        <v>41</v>
      </c>
      <c r="B52" s="1280" t="s">
        <v>28</v>
      </c>
      <c r="C52" s="1281">
        <v>10</v>
      </c>
      <c r="D52" s="1281">
        <v>226709.91245605701</v>
      </c>
      <c r="E52" s="1281">
        <v>23</v>
      </c>
      <c r="F52" s="1281">
        <v>294023.730660473</v>
      </c>
    </row>
    <row r="53" spans="1:6">
      <c r="A53" s="1280" t="s">
        <v>43</v>
      </c>
      <c r="B53" s="1280" t="s">
        <v>44</v>
      </c>
      <c r="C53" s="1281">
        <v>313</v>
      </c>
      <c r="D53" s="1281">
        <v>7225699.9509103997</v>
      </c>
      <c r="E53" s="1281">
        <v>692</v>
      </c>
      <c r="F53" s="1281">
        <v>4050448.9655822902</v>
      </c>
    </row>
    <row r="54" spans="1:6">
      <c r="A54" s="1280" t="s">
        <v>45</v>
      </c>
      <c r="B54" s="1280" t="s">
        <v>46</v>
      </c>
      <c r="C54" s="1281">
        <v>0</v>
      </c>
      <c r="D54" s="1281">
        <v>0</v>
      </c>
      <c r="E54" s="1281">
        <v>1</v>
      </c>
      <c r="F54" s="1281">
        <v>2602427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64</v>
      </c>
      <c r="D57" s="1281">
        <v>1947848.16158314</v>
      </c>
      <c r="E57" s="1281">
        <v>173</v>
      </c>
      <c r="F57" s="1281">
        <v>3882605.93829023</v>
      </c>
    </row>
    <row r="58" spans="1:6">
      <c r="A58" s="1280" t="s">
        <v>48</v>
      </c>
      <c r="B58" s="1280" t="s">
        <v>50</v>
      </c>
      <c r="C58" s="1281">
        <v>19</v>
      </c>
      <c r="D58" s="1281">
        <v>863524.15312485304</v>
      </c>
      <c r="E58" s="1281">
        <v>43</v>
      </c>
      <c r="F58" s="1281">
        <v>450329.351731534</v>
      </c>
    </row>
    <row r="59" spans="1:6">
      <c r="A59" s="1280" t="s">
        <v>48</v>
      </c>
      <c r="B59" s="1280" t="s">
        <v>51</v>
      </c>
      <c r="C59" s="1281">
        <v>176</v>
      </c>
      <c r="D59" s="1281">
        <v>14252202.1206297</v>
      </c>
      <c r="E59" s="1281">
        <v>488</v>
      </c>
      <c r="F59" s="1281">
        <v>23751654.753867701</v>
      </c>
    </row>
    <row r="60" spans="1:6">
      <c r="A60" s="1280" t="s">
        <v>48</v>
      </c>
      <c r="B60" s="1280" t="s">
        <v>52</v>
      </c>
      <c r="C60" s="1281">
        <v>94</v>
      </c>
      <c r="D60" s="1281">
        <v>3453213.04013546</v>
      </c>
      <c r="E60" s="1281">
        <v>164</v>
      </c>
      <c r="F60" s="1281">
        <v>3909416.8979825201</v>
      </c>
    </row>
    <row r="61" spans="1:6">
      <c r="A61" s="1280" t="s">
        <v>48</v>
      </c>
      <c r="B61" s="1280" t="s">
        <v>53</v>
      </c>
      <c r="C61" s="1281">
        <v>119</v>
      </c>
      <c r="D61" s="1281">
        <v>6361980.9823547499</v>
      </c>
      <c r="E61" s="1281">
        <v>501</v>
      </c>
      <c r="F61" s="1281">
        <v>8617406.7607240304</v>
      </c>
    </row>
    <row r="62" spans="1:6">
      <c r="A62" s="1280" t="s">
        <v>48</v>
      </c>
      <c r="B62" s="1280" t="s">
        <v>54</v>
      </c>
      <c r="C62" s="1281">
        <v>6</v>
      </c>
      <c r="D62" s="1281">
        <v>2823352.6276514102</v>
      </c>
      <c r="E62" s="1281">
        <v>10</v>
      </c>
      <c r="F62" s="1281">
        <v>641543.22169977496</v>
      </c>
    </row>
    <row r="63" spans="1:6">
      <c r="A63" s="1280" t="s">
        <v>48</v>
      </c>
      <c r="B63" s="1280" t="s">
        <v>28</v>
      </c>
      <c r="C63" s="1281">
        <v>156</v>
      </c>
      <c r="D63" s="1281">
        <v>9000795.0246089902</v>
      </c>
      <c r="E63" s="1281">
        <v>290</v>
      </c>
      <c r="F63" s="1281">
        <v>6762460.6181431999</v>
      </c>
    </row>
    <row r="64" spans="1:6">
      <c r="A64" s="1280" t="s">
        <v>55</v>
      </c>
      <c r="B64" s="1280" t="s">
        <v>56</v>
      </c>
      <c r="C64" s="1281">
        <v>0</v>
      </c>
      <c r="D64" s="1281">
        <v>0</v>
      </c>
      <c r="E64" s="1281">
        <v>0</v>
      </c>
      <c r="F64" s="1281">
        <v>0</v>
      </c>
    </row>
    <row r="65" spans="1:6">
      <c r="A65" s="1280" t="s">
        <v>55</v>
      </c>
      <c r="B65" s="1280" t="s">
        <v>28</v>
      </c>
      <c r="C65" s="1281">
        <v>3</v>
      </c>
      <c r="D65" s="1281">
        <v>47023.4158824443</v>
      </c>
      <c r="E65" s="1281">
        <v>7</v>
      </c>
      <c r="F65" s="1281">
        <v>55453.097928526899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94350.6277009076</v>
      </c>
      <c r="E68" s="1283">
        <v>13</v>
      </c>
      <c r="F68" s="1283">
        <v>894882.14094952506</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147002018</v>
      </c>
      <c r="E73" s="445"/>
      <c r="F73" s="326"/>
    </row>
    <row r="74" spans="1:6">
      <c r="A74" s="1280" t="s">
        <v>63</v>
      </c>
      <c r="B74" s="1280" t="s">
        <v>754</v>
      </c>
      <c r="C74" s="1293" t="s">
        <v>755</v>
      </c>
      <c r="D74" s="1281">
        <v>20700906.969990324</v>
      </c>
      <c r="E74" s="445"/>
      <c r="F74" s="326"/>
    </row>
    <row r="75" spans="1:6">
      <c r="A75" s="1280" t="s">
        <v>64</v>
      </c>
      <c r="B75" s="1280" t="s">
        <v>752</v>
      </c>
      <c r="C75" s="1293" t="s">
        <v>756</v>
      </c>
      <c r="D75" s="1281">
        <v>55535724</v>
      </c>
      <c r="E75" s="445"/>
      <c r="F75" s="326"/>
    </row>
    <row r="76" spans="1:6">
      <c r="A76" s="1280" t="s">
        <v>64</v>
      </c>
      <c r="B76" s="1280" t="s">
        <v>754</v>
      </c>
      <c r="C76" s="1293" t="s">
        <v>757</v>
      </c>
      <c r="D76" s="1281">
        <v>2513798.9699903247</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885798.06001935096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2490.8689556598074</v>
      </c>
      <c r="C91" s="326"/>
      <c r="D91" s="326"/>
      <c r="E91" s="326"/>
      <c r="F91" s="326"/>
    </row>
    <row r="92" spans="1:6">
      <c r="A92" s="1275" t="s">
        <v>68</v>
      </c>
      <c r="B92" s="1276">
        <v>1458.1027973876865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4030</v>
      </c>
      <c r="C97" s="326"/>
      <c r="D97" s="326"/>
      <c r="E97" s="326"/>
      <c r="F97" s="326"/>
    </row>
    <row r="98" spans="1:6">
      <c r="A98" s="1280" t="s">
        <v>71</v>
      </c>
      <c r="B98" s="1281">
        <v>2</v>
      </c>
      <c r="C98" s="326"/>
      <c r="D98" s="326"/>
      <c r="E98" s="326"/>
      <c r="F98" s="326"/>
    </row>
    <row r="99" spans="1:6">
      <c r="A99" s="1280" t="s">
        <v>72</v>
      </c>
      <c r="B99" s="1281">
        <v>188</v>
      </c>
      <c r="C99" s="326"/>
      <c r="D99" s="326"/>
      <c r="E99" s="326"/>
      <c r="F99" s="326"/>
    </row>
    <row r="100" spans="1:6">
      <c r="A100" s="1280" t="s">
        <v>73</v>
      </c>
      <c r="B100" s="1281">
        <v>1269</v>
      </c>
      <c r="C100" s="326"/>
      <c r="D100" s="326"/>
      <c r="E100" s="326"/>
      <c r="F100" s="326"/>
    </row>
    <row r="101" spans="1:6">
      <c r="A101" s="1280" t="s">
        <v>74</v>
      </c>
      <c r="B101" s="1281">
        <v>211</v>
      </c>
      <c r="C101" s="326"/>
      <c r="D101" s="326"/>
      <c r="E101" s="326"/>
      <c r="F101" s="326"/>
    </row>
    <row r="102" spans="1:6">
      <c r="A102" s="1280" t="s">
        <v>75</v>
      </c>
      <c r="B102" s="1281">
        <v>300</v>
      </c>
      <c r="C102" s="326"/>
      <c r="D102" s="326"/>
      <c r="E102" s="326"/>
      <c r="F102" s="326"/>
    </row>
    <row r="103" spans="1:6">
      <c r="A103" s="1280" t="s">
        <v>76</v>
      </c>
      <c r="B103" s="1281">
        <v>540</v>
      </c>
      <c r="C103" s="326"/>
      <c r="D103" s="326"/>
      <c r="E103" s="326"/>
      <c r="F103" s="326"/>
    </row>
    <row r="104" spans="1:6">
      <c r="A104" s="1280" t="s">
        <v>77</v>
      </c>
      <c r="B104" s="1281">
        <v>7256</v>
      </c>
      <c r="C104" s="326"/>
      <c r="D104" s="326"/>
      <c r="E104" s="326"/>
      <c r="F104" s="326"/>
    </row>
    <row r="105" spans="1:6">
      <c r="A105" s="1275" t="s">
        <v>78</v>
      </c>
      <c r="B105" s="1283">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15</v>
      </c>
      <c r="C123" s="1281">
        <v>11</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62</v>
      </c>
      <c r="C129" s="326"/>
      <c r="D129" s="326"/>
      <c r="E129" s="326"/>
      <c r="F129" s="326"/>
    </row>
    <row r="130" spans="1:6">
      <c r="A130" s="1280" t="s">
        <v>284</v>
      </c>
      <c r="B130" s="1281">
        <v>2</v>
      </c>
      <c r="C130" s="326"/>
      <c r="D130" s="326"/>
      <c r="E130" s="326"/>
      <c r="F130" s="326"/>
    </row>
    <row r="131" spans="1:6">
      <c r="A131" s="1280" t="s">
        <v>285</v>
      </c>
      <c r="B131" s="1281">
        <v>1</v>
      </c>
      <c r="C131" s="326"/>
      <c r="D131" s="326"/>
      <c r="E131" s="326"/>
      <c r="F131" s="326"/>
    </row>
    <row r="132" spans="1:6">
      <c r="A132" s="1275" t="s">
        <v>286</v>
      </c>
      <c r="B132" s="1276">
        <v>11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181988.11897545945</v>
      </c>
      <c r="C3" s="43" t="s">
        <v>163</v>
      </c>
      <c r="D3" s="43"/>
      <c r="E3" s="156"/>
      <c r="F3" s="43"/>
      <c r="G3" s="43"/>
      <c r="H3" s="43"/>
      <c r="I3" s="43"/>
      <c r="J3" s="43"/>
      <c r="K3" s="96"/>
    </row>
    <row r="4" spans="1:11">
      <c r="A4" s="352" t="s">
        <v>164</v>
      </c>
      <c r="B4" s="49">
        <f>IF(ISERROR('SEAP template'!B78+'SEAP template'!C78),0,'SEAP template'!B78+'SEAP template'!C78)</f>
        <v>6135.9717530474936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0.21354869073290242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2602.4270000000001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2602.4270000000001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0.21354869073290242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555.74487857795509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68294.119013657793</v>
      </c>
      <c r="C5" s="17">
        <f>IF(ISERROR('Eigen informatie GS &amp; warmtenet'!B57),0,'Eigen informatie GS &amp; warmtenet'!B57)</f>
        <v>0</v>
      </c>
      <c r="D5" s="30">
        <f>(SUM(HH_hh_gas_kWh,HH_rest_gas_kWh)/1000)*0.902</f>
        <v>97334.476915136591</v>
      </c>
      <c r="E5" s="17">
        <f>B32*B41</f>
        <v>4335.3882277528501</v>
      </c>
      <c r="F5" s="17">
        <f>B36*B45</f>
        <v>147985.85702554419</v>
      </c>
      <c r="G5" s="18"/>
      <c r="H5" s="17"/>
      <c r="I5" s="17"/>
      <c r="J5" s="17">
        <f>B35*B44+C35*C44</f>
        <v>3332.2663135686757</v>
      </c>
      <c r="K5" s="17"/>
      <c r="L5" s="17"/>
      <c r="M5" s="17"/>
      <c r="N5" s="17">
        <f>B34*B43+C34*C43</f>
        <v>19737.983304786463</v>
      </c>
      <c r="O5" s="17">
        <f>B52*B53*B54</f>
        <v>115.68666666666667</v>
      </c>
      <c r="P5" s="17">
        <f>B60*B61*B62/1000-B60*B61*B62/1000/B63</f>
        <v>495.73333333333335</v>
      </c>
    </row>
    <row r="6" spans="1:16">
      <c r="A6" s="16" t="s">
        <v>615</v>
      </c>
      <c r="B6" s="766">
        <f>kWh_PV_kleiner_dan_10kW</f>
        <v>2490.8689556598074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70784.987969317604</v>
      </c>
      <c r="C8" s="21">
        <f>C5</f>
        <v>0</v>
      </c>
      <c r="D8" s="21">
        <f>D5</f>
        <v>97334.476915136591</v>
      </c>
      <c r="E8" s="21">
        <f>E5</f>
        <v>4335.3882277528501</v>
      </c>
      <c r="F8" s="21">
        <f>F5</f>
        <v>147985.85702554419</v>
      </c>
      <c r="G8" s="21"/>
      <c r="H8" s="21"/>
      <c r="I8" s="21"/>
      <c r="J8" s="21">
        <f>J5</f>
        <v>3332.2663135686757</v>
      </c>
      <c r="K8" s="21"/>
      <c r="L8" s="21">
        <f>L5</f>
        <v>0</v>
      </c>
      <c r="M8" s="21">
        <f>M5</f>
        <v>0</v>
      </c>
      <c r="N8" s="21">
        <f>N5</f>
        <v>19737.983304786463</v>
      </c>
      <c r="O8" s="21">
        <f>O5</f>
        <v>115.68666666666667</v>
      </c>
      <c r="P8" s="21">
        <f>P5</f>
        <v>495.73333333333335</v>
      </c>
    </row>
    <row r="9" spans="1:16">
      <c r="B9" s="19"/>
      <c r="C9" s="19"/>
      <c r="D9" s="256"/>
      <c r="E9" s="19"/>
      <c r="F9" s="19"/>
      <c r="G9" s="19"/>
      <c r="H9" s="19"/>
      <c r="I9" s="19"/>
      <c r="J9" s="19"/>
      <c r="K9" s="19"/>
      <c r="L9" s="19"/>
      <c r="M9" s="19"/>
      <c r="N9" s="19"/>
      <c r="O9" s="19"/>
      <c r="P9" s="19"/>
    </row>
    <row r="10" spans="1:16">
      <c r="A10" s="24" t="s">
        <v>207</v>
      </c>
      <c r="B10" s="25">
        <f ca="1">'EF ele_warmte'!B12</f>
        <v>0.21354869073290242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15116.041504392024</v>
      </c>
      <c r="C12" s="23">
        <f ca="1">C10*C8</f>
        <v>0</v>
      </c>
      <c r="D12" s="23">
        <f>D8*D10</f>
        <v>19661.564336857591</v>
      </c>
      <c r="E12" s="23">
        <f>E10*E8</f>
        <v>984.13312769989705</v>
      </c>
      <c r="F12" s="23">
        <f>F10*F8</f>
        <v>39512.2238258203</v>
      </c>
      <c r="G12" s="23"/>
      <c r="H12" s="23"/>
      <c r="I12" s="23"/>
      <c r="J12" s="23">
        <f>J10*J8</f>
        <v>1179.6222750033112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15636</v>
      </c>
      <c r="C26" s="36"/>
      <c r="D26" s="226"/>
    </row>
    <row r="27" spans="1:5" s="15" customFormat="1">
      <c r="A27" s="228" t="s">
        <v>695</v>
      </c>
      <c r="B27" s="37">
        <f>SUM(HH_hh_gas_aantal,HH_rest_gas_aantal)</f>
        <v>6977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6628.15</v>
      </c>
      <c r="C31" s="34" t="s">
        <v>104</v>
      </c>
      <c r="D31" s="172"/>
    </row>
    <row r="32" spans="1:5">
      <c r="A32" s="169" t="s">
        <v>72</v>
      </c>
      <c r="B32" s="33">
        <f>IF((B21*($B$26-($B$27-0.05*$B$27)-$B$60))&lt;0,0,B21*($B$26-($B$27-0.05*$B$27)-$B$60))</f>
        <v>63.677442190839365</v>
      </c>
      <c r="C32" s="34" t="s">
        <v>104</v>
      </c>
      <c r="D32" s="172"/>
    </row>
    <row r="33" spans="1:6">
      <c r="A33" s="169" t="s">
        <v>73</v>
      </c>
      <c r="B33" s="33">
        <f>IF((B22*($B$26-($B$27-0.05*$B$27)-$B$60))&lt;0,0,B22*($B$26-($B$27-0.05*$B$27)-$B$60))</f>
        <v>1824.9868295918795</v>
      </c>
      <c r="C33" s="34" t="s">
        <v>104</v>
      </c>
      <c r="D33" s="172"/>
    </row>
    <row r="34" spans="1:6">
      <c r="A34" s="169" t="s">
        <v>74</v>
      </c>
      <c r="B34" s="33">
        <f>IF((B24*($B$26-($B$27-0.05*$B$27)-$B$60))&lt;0,0,B24*($B$26-($B$27-0.05*$B$27)-$B$60))</f>
        <v>363.9216608637966</v>
      </c>
      <c r="C34" s="33">
        <f>B26*C24</f>
        <v>3197.2119839182678</v>
      </c>
      <c r="D34" s="231"/>
    </row>
    <row r="35" spans="1:6">
      <c r="A35" s="169" t="s">
        <v>76</v>
      </c>
      <c r="B35" s="33">
        <f>IF((B19*($B$26-($B$27-0.05*$B$27)-$B$60))&lt;0,0,B19*($B$26-($B$27-0.05*$B$27)-$B$60))</f>
        <v>189.51619699654574</v>
      </c>
      <c r="C35" s="33">
        <f>B35/2</f>
        <v>94.758098498272872</v>
      </c>
      <c r="D35" s="231"/>
    </row>
    <row r="36" spans="1:6">
      <c r="A36" s="169" t="s">
        <v>77</v>
      </c>
      <c r="B36" s="33">
        <f>IF((B18*($B$26-($B$27-0.05*$B$27)-$B$60))&lt;0,0,B18*($B$26-($B$27-0.05*$B$27)-$B$60))</f>
        <v>6539.7478703569386</v>
      </c>
      <c r="C36" s="34" t="s">
        <v>104</v>
      </c>
      <c r="D36" s="172"/>
    </row>
    <row r="37" spans="1:6">
      <c r="A37" s="169" t="s">
        <v>78</v>
      </c>
      <c r="B37" s="33">
        <f>B60</f>
        <v>26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48015.41754243899</v>
      </c>
      <c r="C5" s="17">
        <f>IF(ISERROR('Eigen informatie GS &amp; warmtenet'!B58),0,'Eigen informatie GS &amp; warmtenet'!B58)</f>
        <v>0</v>
      </c>
      <c r="D5" s="30">
        <f>SUM(D6:D12)</f>
        <v>34910.030331299648</v>
      </c>
      <c r="E5" s="17">
        <f>SUM(E6:E12)</f>
        <v>813.50367845292772</v>
      </c>
      <c r="F5" s="17">
        <f>SUM(F6:F12)</f>
        <v>8588.6151566033441</v>
      </c>
      <c r="G5" s="18"/>
      <c r="H5" s="17"/>
      <c r="I5" s="17"/>
      <c r="J5" s="17">
        <f>SUM(J6:J12)</f>
        <v>0</v>
      </c>
      <c r="K5" s="17"/>
      <c r="L5" s="17"/>
      <c r="M5" s="17"/>
      <c r="N5" s="17">
        <f>SUM(N6:N12)</f>
        <v>1170.1601167528463</v>
      </c>
      <c r="O5" s="17">
        <f>B38*B39*B40</f>
        <v>3.1266666666666669</v>
      </c>
      <c r="P5" s="17">
        <f>B46*B47*B48/1000-B46*B47*B48/1000/B49</f>
        <v>19.066666666666666</v>
      </c>
      <c r="R5" s="32"/>
    </row>
    <row r="6" spans="1:18">
      <c r="A6" s="32" t="s">
        <v>53</v>
      </c>
      <c r="B6" s="37">
        <f>B26</f>
        <v>8617.4067607240304</v>
      </c>
      <c r="C6" s="33"/>
      <c r="D6" s="37">
        <f>IF(ISERROR(TER_kantoor_gas_kWh/1000),0,TER_kantoor_gas_kWh/1000)*0.902</f>
        <v>5738.5068460839848</v>
      </c>
      <c r="E6" s="33">
        <f>$C$26*'E Balans VL '!I12/100/3.6*1000000</f>
        <v>301.64313532019059</v>
      </c>
      <c r="F6" s="33">
        <f>$C$26*('E Balans VL '!L12+'E Balans VL '!N12)/100/3.6*1000000</f>
        <v>1306.5838788359456</v>
      </c>
      <c r="G6" s="34"/>
      <c r="H6" s="33"/>
      <c r="I6" s="33"/>
      <c r="J6" s="33">
        <f>$C$26*('E Balans VL '!D12+'E Balans VL '!E12)/100/3.6*1000000</f>
        <v>0</v>
      </c>
      <c r="K6" s="33"/>
      <c r="L6" s="33"/>
      <c r="M6" s="33"/>
      <c r="N6" s="33">
        <f>$C$26*'E Balans VL '!Y12/100/3.6*1000000</f>
        <v>66.609857086310214</v>
      </c>
      <c r="O6" s="33"/>
      <c r="P6" s="33"/>
      <c r="R6" s="32"/>
    </row>
    <row r="7" spans="1:18">
      <c r="A7" s="32" t="s">
        <v>52</v>
      </c>
      <c r="B7" s="37">
        <f t="shared" ref="B7:B12" si="0">B27</f>
        <v>3909.4168979825199</v>
      </c>
      <c r="C7" s="33"/>
      <c r="D7" s="37">
        <f>IF(ISERROR(TER_horeca_gas_kWh/1000),0,TER_horeca_gas_kWh/1000)*0.902</f>
        <v>3114.7981622021848</v>
      </c>
      <c r="E7" s="33">
        <f>$C$27*'E Balans VL '!I9/100/3.6*1000000</f>
        <v>220.54309563105278</v>
      </c>
      <c r="F7" s="33">
        <f>$C$27*('E Balans VL '!L9+'E Balans VL '!N9)/100/3.6*1000000</f>
        <v>681.04205861944854</v>
      </c>
      <c r="G7" s="34"/>
      <c r="H7" s="33"/>
      <c r="I7" s="33"/>
      <c r="J7" s="33">
        <f>$C$27*('E Balans VL '!D9+'E Balans VL '!E9)/100/3.6*1000000</f>
        <v>0</v>
      </c>
      <c r="K7" s="33"/>
      <c r="L7" s="33"/>
      <c r="M7" s="33"/>
      <c r="N7" s="33">
        <f>$C$27*'E Balans VL '!Y9/100/3.6*1000000</f>
        <v>0</v>
      </c>
      <c r="O7" s="33"/>
      <c r="P7" s="33"/>
      <c r="R7" s="32"/>
    </row>
    <row r="8" spans="1:18">
      <c r="A8" s="6" t="s">
        <v>51</v>
      </c>
      <c r="B8" s="37">
        <f t="shared" si="0"/>
        <v>23751.6547538677</v>
      </c>
      <c r="C8" s="33"/>
      <c r="D8" s="37">
        <f>IF(ISERROR(TER_handel_gas_kWh/1000),0,TER_handel_gas_kWh/1000)*0.902</f>
        <v>12855.486312807989</v>
      </c>
      <c r="E8" s="33">
        <f>$C$28*'E Balans VL '!I13/100/3.6*1000000</f>
        <v>121.93858237323236</v>
      </c>
      <c r="F8" s="33">
        <f>$C$28*('E Balans VL '!L13+'E Balans VL '!N13)/100/3.6*1000000</f>
        <v>3662.1381623061811</v>
      </c>
      <c r="G8" s="34"/>
      <c r="H8" s="33"/>
      <c r="I8" s="33"/>
      <c r="J8" s="33">
        <f>$C$28*('E Balans VL '!D13+'E Balans VL '!E13)/100/3.6*1000000</f>
        <v>0</v>
      </c>
      <c r="K8" s="33"/>
      <c r="L8" s="33"/>
      <c r="M8" s="33"/>
      <c r="N8" s="33">
        <f>$C$28*'E Balans VL '!Y13/100/3.6*1000000</f>
        <v>11.108938856355588</v>
      </c>
      <c r="O8" s="33"/>
      <c r="P8" s="33"/>
      <c r="R8" s="32"/>
    </row>
    <row r="9" spans="1:18">
      <c r="A9" s="32" t="s">
        <v>50</v>
      </c>
      <c r="B9" s="37">
        <f t="shared" si="0"/>
        <v>450.32935173153402</v>
      </c>
      <c r="C9" s="33"/>
      <c r="D9" s="37">
        <f>IF(ISERROR(TER_gezond_gas_kWh/1000),0,TER_gezond_gas_kWh/1000)*0.902</f>
        <v>778.89878611861741</v>
      </c>
      <c r="E9" s="33">
        <f>$C$29*'E Balans VL '!I10/100/3.6*1000000</f>
        <v>0.18665830916202067</v>
      </c>
      <c r="F9" s="33">
        <f>$C$29*('E Balans VL '!L10+'E Balans VL '!N10)/100/3.6*1000000</f>
        <v>110.90966074704612</v>
      </c>
      <c r="G9" s="34"/>
      <c r="H9" s="33"/>
      <c r="I9" s="33"/>
      <c r="J9" s="33">
        <f>$C$29*('E Balans VL '!D10+'E Balans VL '!E10)/100/3.6*1000000</f>
        <v>0</v>
      </c>
      <c r="K9" s="33"/>
      <c r="L9" s="33"/>
      <c r="M9" s="33"/>
      <c r="N9" s="33">
        <f>$C$29*'E Balans VL '!Y10/100/3.6*1000000</f>
        <v>3.8919602204502279</v>
      </c>
      <c r="O9" s="33"/>
      <c r="P9" s="33"/>
      <c r="R9" s="32"/>
    </row>
    <row r="10" spans="1:18">
      <c r="A10" s="32" t="s">
        <v>49</v>
      </c>
      <c r="B10" s="37">
        <f t="shared" si="0"/>
        <v>3882.6059382902299</v>
      </c>
      <c r="C10" s="33"/>
      <c r="D10" s="37">
        <f>IF(ISERROR(TER_ander_gas_kWh/1000),0,TER_ander_gas_kWh/1000)*0.902</f>
        <v>1756.9590417479922</v>
      </c>
      <c r="E10" s="33">
        <f>$C$30*'E Balans VL '!I14/100/3.6*1000000</f>
        <v>23.668461594178876</v>
      </c>
      <c r="F10" s="33">
        <f>$C$30*('E Balans VL '!L14+'E Balans VL '!N14)/100/3.6*1000000</f>
        <v>1029.3320199089819</v>
      </c>
      <c r="G10" s="34"/>
      <c r="H10" s="33"/>
      <c r="I10" s="33"/>
      <c r="J10" s="33">
        <f>$C$30*('E Balans VL '!D14+'E Balans VL '!E14)/100/3.6*1000000</f>
        <v>0</v>
      </c>
      <c r="K10" s="33"/>
      <c r="L10" s="33"/>
      <c r="M10" s="33"/>
      <c r="N10" s="33">
        <f>$C$30*'E Balans VL '!Y14/100/3.6*1000000</f>
        <v>894.85677183674011</v>
      </c>
      <c r="O10" s="33"/>
      <c r="P10" s="33"/>
      <c r="R10" s="32"/>
    </row>
    <row r="11" spans="1:18">
      <c r="A11" s="32" t="s">
        <v>54</v>
      </c>
      <c r="B11" s="37">
        <f t="shared" si="0"/>
        <v>641.54322169977502</v>
      </c>
      <c r="C11" s="33"/>
      <c r="D11" s="37">
        <f>IF(ISERROR(TER_onderwijs_gas_kWh/1000),0,TER_onderwijs_gas_kWh/1000)*0.902</f>
        <v>2546.6640701415722</v>
      </c>
      <c r="E11" s="33">
        <f>$C$31*'E Balans VL '!I11/100/3.6*1000000</f>
        <v>0.48888934044368948</v>
      </c>
      <c r="F11" s="33">
        <f>$C$31*('E Balans VL '!L11+'E Balans VL '!N11)/100/3.6*1000000</f>
        <v>464.25583325335566</v>
      </c>
      <c r="G11" s="34"/>
      <c r="H11" s="33"/>
      <c r="I11" s="33"/>
      <c r="J11" s="33">
        <f>$C$31*('E Balans VL '!D11+'E Balans VL '!E11)/100/3.6*1000000</f>
        <v>0</v>
      </c>
      <c r="K11" s="33"/>
      <c r="L11" s="33"/>
      <c r="M11" s="33"/>
      <c r="N11" s="33">
        <f>$C$31*'E Balans VL '!Y11/100/3.6*1000000</f>
        <v>1.8907812003853217</v>
      </c>
      <c r="O11" s="33"/>
      <c r="P11" s="33"/>
      <c r="R11" s="32"/>
    </row>
    <row r="12" spans="1:18">
      <c r="A12" s="32" t="s">
        <v>249</v>
      </c>
      <c r="B12" s="37">
        <f t="shared" si="0"/>
        <v>6762.4606181432</v>
      </c>
      <c r="C12" s="33"/>
      <c r="D12" s="37">
        <f>IF(ISERROR(TER_rest_gas_kWh/1000),0,TER_rest_gas_kWh/1000)*0.902</f>
        <v>8118.7171121973088</v>
      </c>
      <c r="E12" s="33">
        <f>$C$32*'E Balans VL '!I8/100/3.6*1000000</f>
        <v>145.03485588466734</v>
      </c>
      <c r="F12" s="33">
        <f>$C$32*('E Balans VL '!L8+'E Balans VL '!N8)/100/3.6*1000000</f>
        <v>1334.3535429323854</v>
      </c>
      <c r="G12" s="34"/>
      <c r="H12" s="33"/>
      <c r="I12" s="33"/>
      <c r="J12" s="33">
        <f>$C$32*('E Balans VL '!D8+'E Balans VL '!E8)/100/3.6*1000000</f>
        <v>0</v>
      </c>
      <c r="K12" s="33"/>
      <c r="L12" s="33"/>
      <c r="M12" s="33"/>
      <c r="N12" s="33">
        <f>$C$32*'E Balans VL '!Y8/100/3.6*1000000</f>
        <v>191.80180755260483</v>
      </c>
      <c r="O12" s="33"/>
      <c r="P12" s="33"/>
      <c r="R12" s="32"/>
    </row>
    <row r="13" spans="1:18">
      <c r="A13" s="16" t="s">
        <v>483</v>
      </c>
      <c r="B13" s="244">
        <f ca="1">'lokale energieproductie'!N38+'lokale energieproductie'!N31</f>
        <v>2187</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-6248.5714285714294</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50202.41754243899</v>
      </c>
      <c r="C16" s="21">
        <f ca="1">C5+C13+C14</f>
        <v>0</v>
      </c>
      <c r="D16" s="21">
        <f t="shared" ref="D16:N16" ca="1" si="1">MAX((D5+D13+D14),0)</f>
        <v>34910.030331299648</v>
      </c>
      <c r="E16" s="21">
        <f t="shared" si="1"/>
        <v>813.50367845292772</v>
      </c>
      <c r="F16" s="21">
        <f t="shared" ca="1" si="1"/>
        <v>8588.6151566033441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0.21354869073290242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10720.660537814339</v>
      </c>
      <c r="C20" s="23">
        <f t="shared" ref="C20:P20" ca="1" si="2">C16*C18</f>
        <v>0</v>
      </c>
      <c r="D20" s="23">
        <f t="shared" ca="1" si="2"/>
        <v>7051.8261269225295</v>
      </c>
      <c r="E20" s="23">
        <f t="shared" si="2"/>
        <v>184.66533500881459</v>
      </c>
      <c r="F20" s="23">
        <f t="shared" ca="1" si="2"/>
        <v>2293.1602468130932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8617.4067607240304</v>
      </c>
      <c r="C26" s="39">
        <f>IF(ISERROR(B26*3.6/1000000/'E Balans VL '!Z12*100),0,B26*3.6/1000000/'E Balans VL '!Z12*100)</f>
        <v>0.18133903438603463</v>
      </c>
      <c r="D26" s="234" t="s">
        <v>700</v>
      </c>
      <c r="F26" s="6"/>
    </row>
    <row r="27" spans="1:18">
      <c r="A27" s="229" t="s">
        <v>52</v>
      </c>
      <c r="B27" s="33">
        <f>IF(ISERROR(TER_horeca_ele_kWh/1000),0,TER_horeca_ele_kWh/1000)</f>
        <v>3909.4168979825199</v>
      </c>
      <c r="C27" s="39">
        <f>IF(ISERROR(B27*3.6/1000000/'E Balans VL '!Z9*100),0,B27*3.6/1000000/'E Balans VL '!Z9*100)</f>
        <v>0.33099934339242798</v>
      </c>
      <c r="D27" s="234" t="s">
        <v>700</v>
      </c>
      <c r="F27" s="6"/>
    </row>
    <row r="28" spans="1:18">
      <c r="A28" s="169" t="s">
        <v>51</v>
      </c>
      <c r="B28" s="33">
        <f>IF(ISERROR(TER_handel_ele_kWh/1000),0,TER_handel_ele_kWh/1000)</f>
        <v>23751.6547538677</v>
      </c>
      <c r="C28" s="39">
        <f>IF(ISERROR(B28*3.6/1000000/'E Balans VL '!Z13*100),0,B28*3.6/1000000/'E Balans VL '!Z13*100)</f>
        <v>0.65756127750467397</v>
      </c>
      <c r="D28" s="234" t="s">
        <v>700</v>
      </c>
      <c r="F28" s="6"/>
    </row>
    <row r="29" spans="1:18">
      <c r="A29" s="229" t="s">
        <v>50</v>
      </c>
      <c r="B29" s="33">
        <f>IF(ISERROR(TER_gezond_ele_kWh/1000),0,TER_gezond_ele_kWh/1000)</f>
        <v>450.32935173153402</v>
      </c>
      <c r="C29" s="39">
        <f>IF(ISERROR(B29*3.6/1000000/'E Balans VL '!Z10*100),0,B29*3.6/1000000/'E Balans VL '!Z10*100)</f>
        <v>5.8537823242163285E-2</v>
      </c>
      <c r="D29" s="234" t="s">
        <v>700</v>
      </c>
      <c r="F29" s="6"/>
    </row>
    <row r="30" spans="1:18">
      <c r="A30" s="229" t="s">
        <v>49</v>
      </c>
      <c r="B30" s="33">
        <f>IF(ISERROR(TER_ander_ele_kWh/1000),0,TER_ander_ele_kWh/1000)</f>
        <v>3882.6059382902299</v>
      </c>
      <c r="C30" s="39">
        <f>IF(ISERROR(B30*3.6/1000000/'E Balans VL '!Z14*100),0,B30*3.6/1000000/'E Balans VL '!Z14*100)</f>
        <v>0.30093756643394204</v>
      </c>
      <c r="D30" s="234" t="s">
        <v>700</v>
      </c>
      <c r="F30" s="6"/>
    </row>
    <row r="31" spans="1:18">
      <c r="A31" s="229" t="s">
        <v>54</v>
      </c>
      <c r="B31" s="33">
        <f>IF(ISERROR(TER_onderwijs_ele_kWh/1000),0,TER_onderwijs_ele_kWh/1000)</f>
        <v>641.54322169977502</v>
      </c>
      <c r="C31" s="39">
        <f>IF(ISERROR(B31*3.6/1000000/'E Balans VL '!Z11*100),0,B31*3.6/1000000/'E Balans VL '!Z11*100)</f>
        <v>0.12273814997632727</v>
      </c>
      <c r="D31" s="234" t="s">
        <v>700</v>
      </c>
    </row>
    <row r="32" spans="1:18">
      <c r="A32" s="229" t="s">
        <v>249</v>
      </c>
      <c r="B32" s="33">
        <f>IF(ISERROR(TER_rest_ele_kWh/1000),0,TER_rest_ele_kWh/1000)</f>
        <v>6762.4606181432</v>
      </c>
      <c r="C32" s="39">
        <f>IF(ISERROR(B32*3.6/1000000/'E Balans VL '!Z8*100),0,B32*3.6/1000000/'E Balans VL '!Z8*100)</f>
        <v>5.576168079534518E-2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52969.234510782459</v>
      </c>
      <c r="C5" s="17">
        <f>IF(ISERROR('Eigen informatie GS &amp; warmtenet'!B59),0,'Eigen informatie GS &amp; warmtenet'!B59)</f>
        <v>0</v>
      </c>
      <c r="D5" s="30">
        <f>SUM(D6:D15)</f>
        <v>55752.927465645349</v>
      </c>
      <c r="E5" s="17">
        <f>SUM(E6:E15)</f>
        <v>517.75124077838223</v>
      </c>
      <c r="F5" s="17">
        <f>SUM(F6:F15)</f>
        <v>12224.379178867159</v>
      </c>
      <c r="G5" s="18"/>
      <c r="H5" s="17"/>
      <c r="I5" s="17"/>
      <c r="J5" s="17">
        <f>SUM(J6:J15)</f>
        <v>320.15177799517545</v>
      </c>
      <c r="K5" s="17"/>
      <c r="L5" s="17"/>
      <c r="M5" s="17"/>
      <c r="N5" s="17">
        <f>SUM(N6:N15)</f>
        <v>1096.9968184480108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2471.2582464617099</v>
      </c>
      <c r="C8" s="33"/>
      <c r="D8" s="37">
        <f>IF( ISERROR(IND_metaal_Gas_kWH/1000),0,IND_metaal_Gas_kWH/1000)*0.902</f>
        <v>348.74854733359109</v>
      </c>
      <c r="E8" s="33">
        <f>C30*'E Balans VL '!I18/100/3.6*1000000</f>
        <v>17.364986439487421</v>
      </c>
      <c r="F8" s="33">
        <f>C30*'E Balans VL '!L18/100/3.6*1000000+C30*'E Balans VL '!N18/100/3.6*1000000</f>
        <v>271.32969717764627</v>
      </c>
      <c r="G8" s="34"/>
      <c r="H8" s="33"/>
      <c r="I8" s="33"/>
      <c r="J8" s="40">
        <f>C30*'E Balans VL '!D18/100/3.6*1000000+C30*'E Balans VL '!E18/100/3.6*1000000</f>
        <v>50.987384154197009</v>
      </c>
      <c r="K8" s="33"/>
      <c r="L8" s="33"/>
      <c r="M8" s="33"/>
      <c r="N8" s="33">
        <f>C30*'E Balans VL '!Y18/100/3.6*1000000</f>
        <v>9.2624538875664975</v>
      </c>
      <c r="O8" s="33"/>
      <c r="P8" s="33"/>
      <c r="R8" s="32"/>
    </row>
    <row r="9" spans="1:18">
      <c r="A9" s="6" t="s">
        <v>32</v>
      </c>
      <c r="B9" s="37">
        <f t="shared" si="0"/>
        <v>4320.59265933796</v>
      </c>
      <c r="C9" s="33"/>
      <c r="D9" s="37">
        <f>IF( ISERROR(IND_andere_gas_kWh/1000),0,IND_andere_gas_kWh/1000)*0.902</f>
        <v>6863.2382572122169</v>
      </c>
      <c r="E9" s="33">
        <f>C31*'E Balans VL '!I19/100/3.6*1000000</f>
        <v>72.569646608581479</v>
      </c>
      <c r="F9" s="33">
        <f>C31*'E Balans VL '!L19/100/3.6*1000000+C31*'E Balans VL '!N19/100/3.6*1000000</f>
        <v>3377.5932584869315</v>
      </c>
      <c r="G9" s="34"/>
      <c r="H9" s="33"/>
      <c r="I9" s="33"/>
      <c r="J9" s="40">
        <f>C31*'E Balans VL '!D19/100/3.6*1000000+C31*'E Balans VL '!E19/100/3.6*1000000</f>
        <v>0.38967931833782471</v>
      </c>
      <c r="K9" s="33"/>
      <c r="L9" s="33"/>
      <c r="M9" s="33"/>
      <c r="N9" s="33">
        <f>C31*'E Balans VL '!Y19/100/3.6*1000000</f>
        <v>320.22523386361161</v>
      </c>
      <c r="O9" s="33"/>
      <c r="P9" s="33"/>
      <c r="R9" s="32"/>
    </row>
    <row r="10" spans="1:18">
      <c r="A10" s="6" t="s">
        <v>40</v>
      </c>
      <c r="B10" s="37">
        <f t="shared" si="0"/>
        <v>15756.6382031473</v>
      </c>
      <c r="C10" s="33"/>
      <c r="D10" s="37">
        <f>IF( ISERROR(IND_voed_gas_kWh/1000),0,IND_voed_gas_kWh/1000)*0.902</f>
        <v>25883.937473005855</v>
      </c>
      <c r="E10" s="33">
        <f>C32*'E Balans VL '!I20/100/3.6*1000000</f>
        <v>143.75701929482545</v>
      </c>
      <c r="F10" s="33">
        <f>C32*'E Balans VL '!L20/100/3.6*1000000+C32*'E Balans VL '!N20/100/3.6*1000000</f>
        <v>2542.0385809687236</v>
      </c>
      <c r="G10" s="34"/>
      <c r="H10" s="33"/>
      <c r="I10" s="33"/>
      <c r="J10" s="40">
        <f>C32*'E Balans VL '!D20/100/3.6*1000000+C32*'E Balans VL '!E20/100/3.6*1000000</f>
        <v>64.896166672617753</v>
      </c>
      <c r="K10" s="33"/>
      <c r="L10" s="33"/>
      <c r="M10" s="33"/>
      <c r="N10" s="33">
        <f>C32*'E Balans VL '!Y20/100/3.6*1000000</f>
        <v>230.50719245411616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519.88191969942</v>
      </c>
      <c r="C12" s="33"/>
      <c r="D12" s="37">
        <f>IF( ISERROR(IND_min_gas_kWh/1000),0,IND_min_gas_kWh/1000)*0.902</f>
        <v>0</v>
      </c>
      <c r="E12" s="33">
        <f>C34*'E Balans VL '!I22/100/3.6*1000000</f>
        <v>12.894761769785156</v>
      </c>
      <c r="F12" s="33">
        <f>C34*'E Balans VL '!L22/100/3.6*1000000+C34*'E Balans VL '!N22/100/3.6*1000000</f>
        <v>55.242431835500312</v>
      </c>
      <c r="G12" s="34"/>
      <c r="H12" s="33"/>
      <c r="I12" s="33"/>
      <c r="J12" s="40">
        <f>C34*'E Balans VL '!D22/100/3.6*1000000+C34*'E Balans VL '!E22/100/3.6*1000000</f>
        <v>2.9532343509527643</v>
      </c>
      <c r="K12" s="33"/>
      <c r="L12" s="33"/>
      <c r="M12" s="33"/>
      <c r="N12" s="33">
        <f>C34*'E Balans VL '!Y22/100/3.6*1000000</f>
        <v>0</v>
      </c>
      <c r="O12" s="33"/>
      <c r="P12" s="33"/>
      <c r="R12" s="32"/>
    </row>
    <row r="13" spans="1:18">
      <c r="A13" s="6" t="s">
        <v>38</v>
      </c>
      <c r="B13" s="37">
        <f t="shared" si="0"/>
        <v>60.554101640569996</v>
      </c>
      <c r="C13" s="33"/>
      <c r="D13" s="37">
        <f>IF( ISERROR(IND_papier_gas_kWh/1000),0,IND_papier_gas_kWh/1000)*0.902</f>
        <v>0</v>
      </c>
      <c r="E13" s="33">
        <f>C35*'E Balans VL '!I23/100/3.6*1000000</f>
        <v>1.8630916753497941</v>
      </c>
      <c r="F13" s="33">
        <f>C35*'E Balans VL '!L23/100/3.6*1000000+C35*'E Balans VL '!N23/100/3.6*1000000</f>
        <v>12.857752019112789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29840.309380495499</v>
      </c>
      <c r="C15" s="33"/>
      <c r="D15" s="37">
        <f>IF( ISERROR(IND_rest_gas_kWh/1000),0,IND_rest_gas_kWh/1000)*0.902</f>
        <v>22657.003188093688</v>
      </c>
      <c r="E15" s="33">
        <f>C37*'E Balans VL '!I15/100/3.6*1000000</f>
        <v>269.30173499035294</v>
      </c>
      <c r="F15" s="33">
        <f>C37*'E Balans VL '!L15/100/3.6*1000000+C37*'E Balans VL '!N15/100/3.6*1000000</f>
        <v>5965.3174583792425</v>
      </c>
      <c r="G15" s="34"/>
      <c r="H15" s="33"/>
      <c r="I15" s="33"/>
      <c r="J15" s="40">
        <f>C37*'E Balans VL '!D15/100/3.6*1000000+C37*'E Balans VL '!E15/100/3.6*1000000</f>
        <v>200.92531349907011</v>
      </c>
      <c r="K15" s="33"/>
      <c r="L15" s="33"/>
      <c r="M15" s="33"/>
      <c r="N15" s="33">
        <f>C37*'E Balans VL '!Y15/100/3.6*1000000</f>
        <v>537.00193824271662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52969.234510782459</v>
      </c>
      <c r="C18" s="21">
        <f>C5+C16</f>
        <v>0</v>
      </c>
      <c r="D18" s="21">
        <f>MAX((D5+D16),0)</f>
        <v>55752.927465645349</v>
      </c>
      <c r="E18" s="21">
        <f>MAX((E5+E16),0)</f>
        <v>517.75124077838223</v>
      </c>
      <c r="F18" s="21">
        <f>MAX((F5+F16),0)</f>
        <v>12224.379178867159</v>
      </c>
      <c r="G18" s="21"/>
      <c r="H18" s="21"/>
      <c r="I18" s="21"/>
      <c r="J18" s="21">
        <f>MAX((J5+J16),0)</f>
        <v>320.15177799517545</v>
      </c>
      <c r="K18" s="21"/>
      <c r="L18" s="21">
        <f>MAX((L5+L16),0)</f>
        <v>0</v>
      </c>
      <c r="M18" s="21"/>
      <c r="N18" s="21">
        <f>MAX((N5+N16),0)</f>
        <v>1096.9968184480108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0.21354869073290242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11311.510678901665</v>
      </c>
      <c r="C22" s="23">
        <f ca="1">C18*C20</f>
        <v>0</v>
      </c>
      <c r="D22" s="23">
        <f>D18*D20</f>
        <v>11262.091348060361</v>
      </c>
      <c r="E22" s="23">
        <f>E18*E20</f>
        <v>117.52953165669277</v>
      </c>
      <c r="F22" s="23">
        <f>F18*F20</f>
        <v>3263.9092407575317</v>
      </c>
      <c r="G22" s="23"/>
      <c r="H22" s="23"/>
      <c r="I22" s="23"/>
      <c r="J22" s="23">
        <f>J18*J20</f>
        <v>113.33372941029211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2471.2582464617099</v>
      </c>
      <c r="C30" s="39">
        <f>IF(ISERROR(B30*3.6/1000000/'E Balans VL '!Z18*100),0,B30*3.6/1000000/'E Balans VL '!Z18*100)</f>
        <v>0.16451317054369932</v>
      </c>
      <c r="D30" s="234" t="s">
        <v>700</v>
      </c>
    </row>
    <row r="31" spans="1:18">
      <c r="A31" s="6" t="s">
        <v>32</v>
      </c>
      <c r="B31" s="37">
        <f>IF( ISERROR(IND_ander_ele_kWh/1000),0,IND_ander_ele_kWh/1000)</f>
        <v>4320.59265933796</v>
      </c>
      <c r="C31" s="39">
        <f>IF(ISERROR(B31*3.6/1000000/'E Balans VL '!Z19*100),0,B31*3.6/1000000/'E Balans VL '!Z19*100)</f>
        <v>0.19151475030937459</v>
      </c>
      <c r="D31" s="234" t="s">
        <v>700</v>
      </c>
    </row>
    <row r="32" spans="1:18">
      <c r="A32" s="169" t="s">
        <v>40</v>
      </c>
      <c r="B32" s="37">
        <f>IF( ISERROR(IND_voed_ele_kWh/1000),0,IND_voed_ele_kWh/1000)</f>
        <v>15756.6382031473</v>
      </c>
      <c r="C32" s="39">
        <f>IF(ISERROR(B32*3.6/1000000/'E Balans VL '!Z20*100),0,B32*3.6/1000000/'E Balans VL '!Z20*100)</f>
        <v>0.52631691593010854</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519.88191969942</v>
      </c>
      <c r="C34" s="39">
        <f>IF(ISERROR(B34*3.6/1000000/'E Balans VL '!Z22*100),0,B34*3.6/1000000/'E Balans VL '!Z22*100)</f>
        <v>0.10111132280325819</v>
      </c>
      <c r="D34" s="234" t="s">
        <v>700</v>
      </c>
    </row>
    <row r="35" spans="1:5">
      <c r="A35" s="169" t="s">
        <v>38</v>
      </c>
      <c r="B35" s="37">
        <f>IF( ISERROR(IND_papier_ele_kWh/1000),0,IND_papier_ele_kWh/1000)</f>
        <v>60.554101640569996</v>
      </c>
      <c r="C35" s="39">
        <f>IF(ISERROR(B35*3.6/1000000/'E Balans VL '!Z22*100),0,B35*3.6/1000000/'E Balans VL '!Z22*100)</f>
        <v>1.1777107620093699E-2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29840.309380495499</v>
      </c>
      <c r="C37" s="39">
        <f>IF(ISERROR(B37*3.6/1000000/'E Balans VL '!Z15*100),0,B37*3.6/1000000/'E Balans VL '!Z15*100)</f>
        <v>0.22196328776849894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1361.4436535541629</v>
      </c>
      <c r="C5" s="17">
        <f>'Eigen informatie GS &amp; warmtenet'!B60</f>
        <v>0</v>
      </c>
      <c r="D5" s="30">
        <f>IF(ISERROR(SUM(LB_lb_gas_kWh,LB_rest_gas_kWh)/1000),0,SUM(LB_lb_gas_kWh,LB_rest_gas_kWh)/1000)*0.902</f>
        <v>204.49234103536341</v>
      </c>
      <c r="E5" s="17">
        <f>B17*'E Balans VL '!I25/3.6*1000000/100</f>
        <v>14.257332680550741</v>
      </c>
      <c r="F5" s="17">
        <f>B17*('E Balans VL '!L25/3.6*1000000+'E Balans VL '!N25/3.6*1000000)/100</f>
        <v>5828.0133146869139</v>
      </c>
      <c r="G5" s="18"/>
      <c r="H5" s="17"/>
      <c r="I5" s="17"/>
      <c r="J5" s="17">
        <f>('E Balans VL '!D25+'E Balans VL '!E25)/3.6*1000000*landbouw!B17/100</f>
        <v>121.58912109002968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1361.4436535541629</v>
      </c>
      <c r="C8" s="21">
        <f>C5+C6</f>
        <v>0</v>
      </c>
      <c r="D8" s="21">
        <f>MAX((D5+D6),0)</f>
        <v>204.49234103536341</v>
      </c>
      <c r="E8" s="21">
        <f>MAX((E5+E6),0)</f>
        <v>14.257332680550741</v>
      </c>
      <c r="F8" s="21">
        <f>MAX((F5+F6),0)</f>
        <v>5828.0133146869139</v>
      </c>
      <c r="G8" s="21"/>
      <c r="H8" s="21"/>
      <c r="I8" s="21"/>
      <c r="J8" s="21">
        <f>MAX((J5+J6),0)</f>
        <v>121.58912109002968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0.21354869073290242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290.7345097231107</v>
      </c>
      <c r="C12" s="23">
        <f ca="1">C8*C10</f>
        <v>0</v>
      </c>
      <c r="D12" s="23">
        <f>D8*D10</f>
        <v>41.307452889143413</v>
      </c>
      <c r="E12" s="23">
        <f>E8*E10</f>
        <v>3.2364145184850184</v>
      </c>
      <c r="F12" s="23">
        <f>F8*F10</f>
        <v>1556.0795550214061</v>
      </c>
      <c r="G12" s="23"/>
      <c r="H12" s="23"/>
      <c r="I12" s="23"/>
      <c r="J12" s="23">
        <f>J8*J10</f>
        <v>43.042548865870501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0.20955245900113514</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480.70302340192268</v>
      </c>
      <c r="C26" s="244">
        <f>B26*'GWP N2O_CH4'!B5</f>
        <v>10094.763491440377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75.013139250054721</v>
      </c>
      <c r="C27" s="244">
        <f>B27*'GWP N2O_CH4'!B5</f>
        <v>1575.275924251149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7.5401051620090005</v>
      </c>
      <c r="C28" s="244">
        <f>B28*'GWP N2O_CH4'!B4</f>
        <v>2337.4326002227904</v>
      </c>
      <c r="D28" s="50"/>
    </row>
    <row r="29" spans="1:4">
      <c r="A29" s="41" t="s">
        <v>266</v>
      </c>
      <c r="B29" s="244">
        <f>B34*'ha_N2O bodem landbouw'!B4</f>
        <v>34.674678357827247</v>
      </c>
      <c r="C29" s="244">
        <f>B29*'GWP N2O_CH4'!B4</f>
        <v>10749.150290926447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5.7304460053408824E-3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8.179500724959191E-6</v>
      </c>
      <c r="C5" s="433" t="s">
        <v>204</v>
      </c>
      <c r="D5" s="418">
        <f>SUM(D6:D11)</f>
        <v>2.9043632717498193E-5</v>
      </c>
      <c r="E5" s="418">
        <f>SUM(E6:E11)</f>
        <v>2.9599943605321923E-3</v>
      </c>
      <c r="F5" s="431" t="s">
        <v>204</v>
      </c>
      <c r="G5" s="418">
        <f>SUM(G6:G11)</f>
        <v>0.61305476892654276</v>
      </c>
      <c r="H5" s="418">
        <f>SUM(H6:H11)</f>
        <v>9.4661515865876109E-2</v>
      </c>
      <c r="I5" s="433" t="s">
        <v>204</v>
      </c>
      <c r="J5" s="433" t="s">
        <v>204</v>
      </c>
      <c r="K5" s="433" t="s">
        <v>204</v>
      </c>
      <c r="L5" s="433" t="s">
        <v>204</v>
      </c>
      <c r="M5" s="418">
        <f>SUM(M6:M11)</f>
        <v>3.0766696601045765E-2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5.5862970939742028E-6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1.768745102255814E-5</v>
      </c>
      <c r="E6" s="421">
        <f>vkm_GW_PW*SUMIFS(TableVerdeelsleutelVkm[LPG],TableVerdeelsleutelVkm[Voertuigtype],"Lichte voertuigen")*SUMIFS(TableECFTransport[EnergieConsumptieFactor (PJ per km)],TableECFTransport[Index],CONCATENATE($A6,"_LPG_LPG"))</f>
        <v>1.8431862000617323E-3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0.24551286134064582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5.8898005310147224E-2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1.3287277074709922E-2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4.3048698888147629E-7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0.19405370366260732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5.2540004018878355E-6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8.3599142486558298E-3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2.1104407804316906E-6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1.1356181694940053E-5</v>
      </c>
      <c r="E8" s="421">
        <f>vkm_NGW_PW*SUMIFS(TableVerdeelsleutelVkm[LPG],TableVerdeelsleutelVkm[Voertuigtype],"Lichte voertuigen")*SUMIFS(TableECFTransport[EnergieConsumptieFactor (PJ per km)],TableECFTransport[Index],CONCATENATE($A8,"_LPG_LPG"))</f>
        <v>1.1168081604704602E-3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0.14084730410166005</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3.575748645427225E-2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7.713326970828588E-3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5.2275861671823027E-8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3.2640899821629592E-2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7.7010105474948647E-7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1.4061783068514252E-3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2.2720835347108865</v>
      </c>
      <c r="C14" s="21"/>
      <c r="D14" s="21">
        <f t="shared" ref="D14:M14" si="0">((D5)*10^9/3600)+D12</f>
        <v>8.0676757548606091</v>
      </c>
      <c r="E14" s="21">
        <f t="shared" si="0"/>
        <v>822.2206557033868</v>
      </c>
      <c r="F14" s="21"/>
      <c r="G14" s="21">
        <f t="shared" si="0"/>
        <v>170292.9913684841</v>
      </c>
      <c r="H14" s="21">
        <f t="shared" si="0"/>
        <v>26294.865518298921</v>
      </c>
      <c r="I14" s="21"/>
      <c r="J14" s="21"/>
      <c r="K14" s="21"/>
      <c r="L14" s="21"/>
      <c r="M14" s="21">
        <f t="shared" si="0"/>
        <v>8546.3046114016015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0.21354869073290242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0.48520046407329487</v>
      </c>
      <c r="C18" s="23"/>
      <c r="D18" s="23">
        <f t="shared" ref="D18:M18" si="1">D14*D16</f>
        <v>1.6296705024818432</v>
      </c>
      <c r="E18" s="23">
        <f t="shared" si="1"/>
        <v>186.6440888446688</v>
      </c>
      <c r="F18" s="23"/>
      <c r="G18" s="23">
        <f t="shared" si="1"/>
        <v>45468.22869538526</v>
      </c>
      <c r="H18" s="23">
        <f t="shared" si="1"/>
        <v>6547.4215140564311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5.3594100897138411E-5</v>
      </c>
      <c r="C50" s="315">
        <f t="shared" ref="C50:P50" si="2">SUM(C51:C52)</f>
        <v>0</v>
      </c>
      <c r="D50" s="315">
        <f t="shared" si="2"/>
        <v>0</v>
      </c>
      <c r="E50" s="315">
        <f t="shared" si="2"/>
        <v>0</v>
      </c>
      <c r="F50" s="315">
        <f t="shared" si="2"/>
        <v>0</v>
      </c>
      <c r="G50" s="315">
        <f t="shared" si="2"/>
        <v>1.1626702112452548E-2</v>
      </c>
      <c r="H50" s="315">
        <f t="shared" si="2"/>
        <v>0</v>
      </c>
      <c r="I50" s="315">
        <f t="shared" si="2"/>
        <v>0</v>
      </c>
      <c r="J50" s="315">
        <f t="shared" si="2"/>
        <v>0</v>
      </c>
      <c r="K50" s="315">
        <f t="shared" si="2"/>
        <v>0</v>
      </c>
      <c r="L50" s="315">
        <f t="shared" si="2"/>
        <v>0</v>
      </c>
      <c r="M50" s="315">
        <f t="shared" si="2"/>
        <v>4.9781072339703293E-4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5.3594100897138411E-5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1.1626702112452548E-2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4.9781072339703293E-4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14.887250249205115</v>
      </c>
      <c r="C54" s="21">
        <f t="shared" ref="C54:P54" si="3">(C50)*10^9/3600</f>
        <v>0</v>
      </c>
      <c r="D54" s="21">
        <f t="shared" si="3"/>
        <v>0</v>
      </c>
      <c r="E54" s="21">
        <f t="shared" si="3"/>
        <v>0</v>
      </c>
      <c r="F54" s="21">
        <f t="shared" si="3"/>
        <v>0</v>
      </c>
      <c r="G54" s="21">
        <f t="shared" si="3"/>
        <v>3229.6394756812633</v>
      </c>
      <c r="H54" s="21">
        <f t="shared" si="3"/>
        <v>0</v>
      </c>
      <c r="I54" s="21">
        <f t="shared" si="3"/>
        <v>0</v>
      </c>
      <c r="J54" s="21">
        <f t="shared" si="3"/>
        <v>0</v>
      </c>
      <c r="K54" s="21">
        <f t="shared" si="3"/>
        <v>0</v>
      </c>
      <c r="L54" s="21">
        <f t="shared" si="3"/>
        <v>0</v>
      </c>
      <c r="M54" s="21">
        <f t="shared" si="3"/>
        <v>138.28075649917582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0.21354869073290242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3.1791527993308275</v>
      </c>
      <c r="C58" s="23">
        <f t="shared" ref="C58:P58" ca="1" si="4">C54*C56</f>
        <v>0</v>
      </c>
      <c r="D58" s="23">
        <f t="shared" si="4"/>
        <v>0</v>
      </c>
      <c r="E58" s="23">
        <f t="shared" si="4"/>
        <v>0</v>
      </c>
      <c r="F58" s="23">
        <f t="shared" si="4"/>
        <v>0</v>
      </c>
      <c r="G58" s="23">
        <f t="shared" si="4"/>
        <v>862.31374000689732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3948.9717530474936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2187</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6135.9717530474936</v>
      </c>
      <c r="C10" s="556">
        <f t="shared" ref="C10:L10" si="0">SUM(C8:C9)</f>
        <v>0</v>
      </c>
      <c r="D10" s="556">
        <f t="shared" si="0"/>
        <v>0</v>
      </c>
      <c r="E10" s="556">
        <f t="shared" si="0"/>
        <v>0</v>
      </c>
      <c r="F10" s="556">
        <f t="shared" si="0"/>
        <v>0</v>
      </c>
      <c r="G10" s="556">
        <f t="shared" si="0"/>
        <v>0</v>
      </c>
      <c r="H10" s="556">
        <f t="shared" si="0"/>
        <v>0</v>
      </c>
      <c r="I10" s="556">
        <f t="shared" si="0"/>
        <v>0</v>
      </c>
      <c r="J10" s="556">
        <f t="shared" si="0"/>
        <v>6248.5714285714294</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41048</v>
      </c>
      <c r="C35" s="775">
        <v>9400</v>
      </c>
      <c r="D35" s="630"/>
      <c r="E35" s="630"/>
      <c r="F35" s="630"/>
      <c r="G35" s="630" t="s">
        <v>977</v>
      </c>
      <c r="H35" s="630" t="s">
        <v>978</v>
      </c>
      <c r="I35" s="630"/>
      <c r="J35" s="774"/>
      <c r="K35" s="774"/>
      <c r="L35" s="630" t="s">
        <v>979</v>
      </c>
      <c r="M35" s="630">
        <v>486</v>
      </c>
      <c r="N35" s="630">
        <v>2187</v>
      </c>
      <c r="O35" s="630">
        <v>0</v>
      </c>
      <c r="P35" s="630">
        <v>0</v>
      </c>
      <c r="Q35" s="630">
        <v>0</v>
      </c>
      <c r="R35" s="630">
        <v>6248.5714285714294</v>
      </c>
      <c r="S35" s="630">
        <v>0</v>
      </c>
      <c r="T35" s="630">
        <v>0</v>
      </c>
      <c r="U35" s="630">
        <v>0</v>
      </c>
      <c r="V35" s="630">
        <v>0</v>
      </c>
      <c r="W35" s="630">
        <v>0</v>
      </c>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486</v>
      </c>
      <c r="N36" s="585">
        <f>SUM(N35:N35)</f>
        <v>2187</v>
      </c>
      <c r="O36" s="585">
        <f>SUM(O35:O35)</f>
        <v>0</v>
      </c>
      <c r="P36" s="585">
        <f>SUM(P35:P35)</f>
        <v>0</v>
      </c>
      <c r="Q36" s="585">
        <f>SUM(Q35:Q35)</f>
        <v>0</v>
      </c>
      <c r="R36" s="585">
        <f>SUM(R35:R35)</f>
        <v>6248.5714285714294</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486</v>
      </c>
      <c r="N38" s="585">
        <f>SUMIF($Z$35:$Z$36,"tertiair",N35:N36)</f>
        <v>2187</v>
      </c>
      <c r="O38" s="585">
        <f>SUMIF($Z$35:$Z$36,"tertiair",O35:O36)</f>
        <v>0</v>
      </c>
      <c r="P38" s="585">
        <f>SUMIF($Z$35:$Z$36,"tertiair",P35:P36)</f>
        <v>0</v>
      </c>
      <c r="Q38" s="585">
        <f>SUMIF($Z$35:$Z$36,"tertiair",Q35:Q36)</f>
        <v>0</v>
      </c>
      <c r="R38" s="585">
        <f>SUMIF($Z$35:$Z$36,"tertiair",R35:R36)</f>
        <v>6248.5714285714294</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2021-11-11T13:47:28Z</dcterms:modified>
</cp:coreProperties>
</file>