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5E0D27A6-2E6A-4F63-9AAD-A2C3317F297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5" i="13"/>
  <c r="C35" i="13" s="1"/>
  <c r="B33" i="13"/>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Q46" i="14" l="1"/>
  <c r="Q61" i="14" s="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<sst xmlns="http://schemas.openxmlformats.org/spreadsheetml/2006/main" count="2569" uniqueCount="977">
  <si>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</si>
  <si>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</si>
  <si>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</si>
  <si>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</si>
  <si>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</si>
  <si>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</si>
  <si>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</si>
  <si>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</si>
  <si>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</si>
  <si>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</si>
  <si>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</si>
  <si>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</si>
  <si>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</si>
  <si>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</si>
  <si>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</si>
  <si>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</si>
  <si>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</si>
  <si>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</si>
  <si>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</si>
  <si>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</si>
  <si>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</si>
  <si>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</si>
  <si>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</si>
  <si>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</si>
  <si>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</si>
  <si>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</si>
  <si>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</si>
  <si>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</si>
  <si>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</si>
  <si>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</si>
  <si>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</si>
  <si>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</si>
  <si>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</si>
  <si>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</si>
  <si>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</si>
  <si>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</si>
  <si>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</si>
  <si>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</si>
  <si>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</si>
  <si>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</si>
  <si>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</si>
  <si>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</si>
  <si>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</si>
  <si>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</si>
  <si>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</si>
  <si>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</si>
  <si>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</si>
  <si>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</si>
  <si>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</si>
  <si>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</si>
  <si>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</si>
  <si>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</si>
  <si>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</si>
  <si>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</si>
  <si>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</si>
  <si>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</si>
  <si>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</si>
  <si>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</si>
  <si>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</si>
  <si>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</si>
  <si>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</si>
  <si>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</si>
  <si>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</si>
  <si>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</si>
  <si>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</si>
  <si>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</si>
  <si>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</si>
  <si>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</si>
  <si>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</si>
  <si>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</si>
  <si>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</si>
  <si>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</si>
  <si>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</si>
  <si>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</si>
  <si>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</si>
  <si>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</si>
  <si>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</si>
  <si>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</si>
  <si>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</si>
  <si>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</si>
  <si>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</si>
  <si>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</si>
  <si>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</si>
  <si>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</si>
  <si>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</si>
  <si>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</si>
  <si>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</si>
  <si>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</si>
  <si>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</si>
  <si>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</si>
  <si>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</si>
  <si>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</si>
  <si>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</si>
  <si>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</si>
  <si>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</si>
  <si>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</si>
  <si>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</si>
  <si>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</si>
  <si>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</si>
  <si>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</si>
  <si>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</si>
  <si>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</si>
  <si>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</si>
  <si>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</si>
  <si>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</si>
  <si>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</si>
  <si>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</si>
  <si>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</si>
  <si>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</si>
  <si>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</si>
  <si>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</si>
  <si>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</si>
  <si>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</si>
  <si>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</si>
  <si>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</si>
  <si>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</si>
  <si>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</si>
  <si>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</si>
  <si>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</si>
  <si>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</si>
  <si>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</si>
  <si>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</si>
  <si>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</si>
  <si>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</si>
  <si>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</si>
  <si>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</si>
  <si>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</si>
  <si>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</si>
  <si>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</si>
  <si>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</si>
  <si>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</si>
  <si>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</si>
  <si>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</si>
  <si>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</si>
  <si>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</si>
  <si>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</si>
  <si>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</si>
  <si>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</si>
  <si>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</si>
  <si>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</si>
  <si>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</si>
  <si>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</si>
  <si>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</si>
  <si>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</si>
  <si>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</si>
  <si>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</si>
  <si>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</si>
  <si>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</si>
  <si>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</si>
  <si>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</si>
  <si>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</si>
  <si>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</si>
  <si>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</si>
  <si>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</si>
  <si>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</si>
  <si>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</si>
  <si>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</si>
  <si>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</si>
  <si>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</si>
  <si>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</si>
  <si>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</si>
  <si>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</si>
  <si>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</si>
  <si>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</si>
  <si>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</si>
  <si>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</si>
  <si>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</si>
  <si>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</si>
  <si>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</si>
  <si>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</si>
  <si>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</si>
  <si>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</si>
  <si>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</si>
  <si>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</si>
  <si>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</si>
  <si>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</si>
  <si>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</si>
  <si>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</si>
  <si>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</si>
  <si>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</si>
  <si>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</si>
  <si>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</si>
  <si>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</si>
  <si>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</si>
  <si>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</si>
  <si>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</si>
  <si>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</si>
  <si>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</si>
  <si>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</si>
  <si>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</si>
  <si>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</si>
  <si>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</si>
  <si>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</si>
  <si>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</si>
  <si>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</si>
  <si>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</si>
  <si>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</si>
  <si>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</si>
  <si>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</si>
  <si>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</si>
  <si>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</si>
  <si>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</si>
  <si>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</si>
  <si>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</si>
  <si>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</si>
  <si>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</si>
  <si>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</si>
  <si>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</si>
  <si>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</si>
  <si>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</si>
  <si>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</si>
  <si>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</si>
  <si>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</si>
  <si>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</si>
  <si>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</si>
  <si>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</si>
  <si>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</si>
  <si>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</si>
  <si>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</si>
  <si>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</si>
  <si>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</si>
  <si>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</si>
  <si>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</si>
  <si>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</si>
  <si>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</si>
  <si>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</si>
  <si>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</si>
  <si>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</si>
  <si>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</si>
  <si>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</si>
  <si>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</si>
  <si>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</si>
  <si>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</si>
  <si>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</si>
  <si>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</si>
  <si>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</si>
  <si>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</si>
  <si>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</si>
  <si>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</si>
  <si>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</si>
  <si>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</si>
  <si>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</si>
  <si>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</si>
  <si>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</si>
  <si>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</si>
  <si>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</si>
  <si>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</si>
  <si>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</si>
  <si>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</si>
  <si>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</si>
  <si>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</si>
  <si>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</si>
  <si>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</si>
  <si>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</si>
  <si>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</si>
  <si>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</si>
  <si>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</si>
  <si>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</si>
  <si>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</si>
  <si>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</si>
  <si>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</si>
  <si>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</si>
  <si>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</si>
  <si>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</si>
  <si>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</si>
  <si>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</si>
  <si>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</si>
  <si>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</si>
  <si>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</si>
  <si>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</si>
  <si>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</si>
  <si>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</si>
  <si>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</si>
  <si>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</si>
  <si>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</si>
  <si>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</si>
  <si>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</si>
  <si>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</si>
  <si>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</si>
  <si>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</si>
  <si>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</si>
  <si>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</si>
  <si>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</si>
  <si>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</si>
  <si>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</si>
  <si>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</si>
  <si>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</si>
  <si>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</si>
  <si>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</si>
  <si>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</si>
  <si>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</si>
  <si>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</si>
  <si>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</si>
  <si>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</si>
  <si>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</si>
  <si>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</si>
  <si>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</si>
  <si>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</si>
  <si>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</si>
  <si>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</si>
  <si>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</si>
  <si>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</si>
  <si>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</si>
  <si>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</si>
  <si>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</si>
  <si>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</si>
  <si>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</si>
  <si>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</si>
  <si>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</si>
  <si>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</si>
  <si>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</si>
  <si>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</si>
  <si>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</si>
  <si>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</si>
  <si>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</si>
  <si>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</si>
  <si>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</si>
  <si>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</si>
  <si>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</si>
  <si>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</si>
  <si>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</si>
  <si>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</si>
  <si>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</si>
  <si>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</si>
  <si>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</si>
  <si>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</si>
  <si>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</si>
  <si>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</si>
  <si>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</si>
  <si>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</si>
  <si>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</si>
  <si>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</si>
  <si>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</si>
  <si>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</si>
  <si>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</si>
  <si>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</si>
  <si>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</si>
  <si>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</si>
  <si>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</si>
  <si>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</si>
  <si>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</si>
  <si>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</si>
  <si>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</si>
  <si>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</si>
  <si>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</si>
  <si>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</si>
  <si>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</si>
  <si>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</si>
  <si>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</si>
  <si>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</si>
  <si>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</si>
  <si>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</si>
  <si>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</si>
  <si>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</si>
  <si>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</si>
  <si>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</si>
  <si>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</si>
  <si>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</si>
  <si>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</si>
  <si>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</si>
  <si>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</si>
  <si>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</si>
  <si>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</si>
  <si>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</si>
  <si>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</si>
  <si>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</si>
  <si>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</si>
  <si>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</si>
  <si>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</si>
  <si>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</si>
  <si>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</si>
  <si>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</si>
  <si>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</si>
  <si>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</si>
  <si>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</si>
  <si>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</si>
  <si>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</si>
  <si>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</si>
  <si>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</si>
  <si>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</si>
  <si>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</si>
  <si>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</si>
  <si>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</si>
  <si>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</si>
  <si>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</si>
  <si>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</si>
  <si>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</si>
  <si>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</si>
  <si>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</si>
  <si>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</si>
  <si>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</si>
  <si>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</si>
  <si>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</si>
  <si>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</si>
  <si>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</si>
  <si>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</si>
  <si>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</si>
  <si>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</si>
  <si>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</si>
  <si>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</si>
  <si>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</si>
  <si>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</si>
  <si>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</si>
  <si>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</si>
  <si>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</si>
  <si>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</si>
  <si>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</si>
  <si>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</si>
  <si>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</si>
  <si>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</si>
  <si>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</si>
  <si>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</si>
  <si>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</si>
  <si>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</si>
  <si>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</si>
  <si>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</si>
  <si>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</si>
  <si>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</si>
  <si>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</si>
  <si>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</si>
  <si>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</si>
  <si>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</si>
  <si>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</si>
  <si>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</si>
  <si>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</si>
  <si>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</si>
  <si>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</si>
  <si>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</si>
  <si>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</si>
  <si>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</si>
  <si>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</si>
  <si>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</si>
  <si>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</si>
  <si>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</si>
  <si>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</si>
  <si>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</si>
  <si>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</si>
  <si>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</si>
  <si>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</si>
  <si>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</si>
  <si>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</si>
  <si>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</si>
  <si>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</si>
  <si>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</si>
  <si>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</si>
  <si>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</si>
  <si>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</si>
  <si>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</si>
  <si>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</si>
  <si>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</si>
  <si>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</si>
  <si>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</si>
  <si>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</si>
  <si>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</si>
  <si>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</si>
  <si>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</si>
  <si>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</si>
  <si>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</si>
  <si>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</si>
  <si>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</si>
  <si>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</si>
  <si>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</si>
  <si>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</si>
  <si>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</si>
  <si>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</si>
  <si>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</si>
  <si>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</si>
  <si>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</si>
  <si>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</si>
  <si>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</si>
  <si>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</si>
  <si>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</si>
  <si>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</si>
  <si>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</si>
  <si>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</si>
  <si>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</si>
  <si>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</si>
  <si>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</si>
  <si>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</si>
  <si>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</si>
  <si>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</si>
  <si>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</si>
  <si>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</si>
  <si>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</si>
  <si>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</si>
  <si>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</si>
  <si>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</si>
  <si>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</si>
  <si>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</si>
  <si>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</si>
  <si>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</si>
  <si>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</si>
  <si>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</si>
  <si>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</si>
  <si>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</si>
  <si>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</si>
  <si>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</si>
  <si>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</si>
  <si>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</si>
  <si>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</si>
  <si>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</si>
  <si>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</si>
  <si>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</si>
  <si>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</si>
  <si>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</si>
  <si>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</si>
  <si>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</si>
  <si>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</si>
  <si>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</si>
  <si>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</si>
  <si>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</si>
  <si>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</si>
  <si>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</si>
  <si>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</si>
  <si>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</si>
  <si>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</si>
  <si>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</si>
  <si>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</si>
  <si>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</si>
  <si>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</si>
  <si>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</si>
  <si>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</si>
  <si>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</si>
  <si>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</si>
  <si>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</si>
  <si>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</si>
  <si>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</si>
  <si>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</si>
  <si>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</si>
  <si>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</si>
  <si>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</si>
  <si>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</si>
  <si>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</si>
  <si>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</si>
  <si>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</si>
  <si>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</si>
  <si>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</si>
  <si>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</si>
  <si>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</si>
  <si>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</si>
  <si>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</si>
  <si>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</si>
  <si>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</si>
  <si>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</si>
  <si>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</si>
  <si>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</si>
  <si>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</si>
  <si>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</si>
  <si>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</si>
  <si>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</si>
  <si>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</si>
  <si>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</si>
  <si>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</si>
  <si>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</si>
  <si>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</si>
  <si>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</si>
  <si>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</si>
  <si>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</si>
  <si>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</si>
  <si>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</si>
  <si>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</si>
  <si>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</si>
  <si>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</si>
  <si>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</si>
  <si>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</si>
  <si>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</si>
  <si>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</si>
  <si>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</si>
  <si>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</si>
  <si>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</si>
  <si>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</si>
  <si>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</si>
  <si>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</si>
  <si>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</si>
  <si>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</si>
  <si>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</si>
  <si>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</si>
  <si>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</si>
  <si>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</si>
  <si>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</si>
  <si>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</si>
  <si>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</si>
  <si>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</si>
  <si>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</si>
  <si>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</si>
  <si>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</si>
  <si>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</si>
  <si>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</si>
  <si>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</si>
  <si>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</si>
  <si>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</si>
  <si>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</si>
  <si>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</si>
  <si>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</si>
  <si>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</si>
  <si>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</si>
  <si>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</si>
  <si>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</si>
  <si>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</si>
  <si>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</si>
  <si>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</si>
  <si>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</si>
  <si>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</si>
  <si>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</si>
  <si>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</si>
  <si>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</si>
  <si>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</si>
  <si>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</si>
  <si>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</si>
  <si>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</si>
  <si>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</si>
  <si>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</si>
  <si>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</si>
  <si>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</si>
  <si>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</si>
  <si>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</si>
  <si>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</si>
  <si>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</si>
  <si>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</si>
  <si>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</si>
  <si>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</si>
  <si>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</si>
  <si>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</si>
  <si>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</si>
  <si>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</si>
  <si>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</si>
  <si>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</si>
  <si>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</si>
  <si>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</si>
  <si>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</si>
  <si>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</si>
  <si>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</si>
  <si>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</si>
  <si>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</si>
  <si>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</si>
  <si>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</si>
  <si>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</si>
  <si>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</si>
  <si>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</si>
  <si>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</si>
  <si>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</si>
  <si>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</si>
  <si>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</si>
  <si>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</si>
  <si>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</si>
  <si>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</si>
  <si>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</si>
  <si>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</si>
  <si>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</si>
  <si>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</si>
  <si>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</si>
  <si>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</si>
  <si>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</si>
  <si>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</si>
  <si>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</si>
  <si>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</si>
  <si>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</si>
  <si>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</si>
  <si>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</si>
  <si>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</si>
  <si>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</si>
  <si>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</si>
  <si>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</si>
  <si>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</si>
  <si>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</si>
  <si>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</si>
  <si>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</si>
  <si>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</si>
  <si>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</si>
  <si>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</si>
  <si>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</si>
  <si>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</si>
  <si>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</si>
  <si>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</si>
  <si>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</si>
  <si>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</si>
  <si>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</si>
  <si>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</si>
  <si>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</si>
  <si>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</si>
  <si>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</si>
  <si>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</si>
  <si>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</si>
  <si>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</si>
  <si>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</si>
  <si>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</si>
  <si>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</si>
  <si>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</si>
  <si>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</si>
  <si>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</si>
  <si>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</si>
  <si>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</si>
  <si>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</si>
  <si>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</si>
  <si>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</si>
  <si>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</si>
  <si>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</si>
  <si>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</si>
  <si>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</si>
  <si>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</si>
  <si>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</si>
  <si>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</si>
  <si>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</si>
  <si>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</si>
  <si>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</si>
  <si>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</si>
  <si>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</si>
  <si>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</si>
  <si>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</si>
  <si>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</si>
  <si>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</si>
  <si>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</si>
  <si>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</si>
  <si>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</si>
  <si>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</si>
  <si>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</si>
  <si>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</si>
  <si>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</si>
  <si>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</si>
  <si>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</si>
  <si>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</si>
  <si>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</si>
  <si>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</si>
  <si>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</si>
  <si>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</si>
  <si>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</si>
  <si>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</si>
  <si>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</si>
  <si>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</si>
  <si>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</si>
  <si>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</si>
  <si>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</si>
  <si>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</si>
  <si>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</si>
  <si>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</si>
  <si>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</si>
  <si>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</si>
  <si>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</si>
  <si>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</si>
  <si>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</si>
  <si>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</si>
  <si>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</si>
  <si>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</si>
  <si>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</si>
  <si>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</si>
  <si>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</si>
  <si>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</si>
  <si>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</si>
  <si>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</si>
  <si>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</si>
  <si>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</si>
  <si>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</si>
  <si>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</si>
  <si>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</si>
  <si>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</si>
  <si>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</si>
  <si>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</si>
  <si>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</si>
  <si>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</si>
  <si>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</si>
  <si>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</si>
  <si>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</si>
  <si>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</si>
  <si>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</si>
  <si>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</si>
  <si>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</si>
  <si>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</si>
  <si>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</si>
  <si>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</si>
  <si>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</si>
  <si>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</si>
  <si>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</si>
  <si>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</si>
  <si>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</si>
  <si>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</si>
  <si>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</si>
  <si>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</si>
  <si>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</si>
  <si>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</si>
  <si>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</si>
  <si>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</si>
  <si>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</si>
  <si>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</si>
  <si>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</si>
  <si>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</si>
  <si>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</si>
  <si>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</si>
  <si>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</si>
  <si>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</si>
  <si>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</si>
  <si>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</si>
  <si>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</si>
  <si>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</si>
  <si>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</si>
  <si>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</si>
  <si>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</si>
  <si>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</si>
  <si>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</si>
  <si>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</si>
  <si>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</si>
  <si>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</si>
  <si>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</si>
  <si>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</si>
  <si>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</si>
  <si>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</si>
  <si>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</si>
  <si>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</si>
  <si>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</si>
  <si>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</si>
  <si>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</si>
  <si>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</si>
  <si>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</si>
  <si>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</si>
  <si>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</si>
  <si>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</si>
  <si>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</si>
  <si>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</si>
  <si>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</si>
  <si>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</si>
  <si>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</si>
  <si>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</si>
  <si>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</si>
  <si>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</si>
  <si>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</si>
  <si>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</si>
  <si>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</si>
  <si>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</si>
  <si>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</si>
  <si>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</si>
  <si>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</si>
  <si>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</si>
  <si>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</si>
  <si>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</si>
  <si>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</si>
  <si>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</si>
  <si>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</si>
  <si>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</si>
  <si>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</si>
  <si>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</si>
  <si>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</si>
  <si>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</si>
  <si>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</si>
  <si>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</si>
  <si>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</si>
  <si>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</si>
  <si>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</si>
  <si>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</si>
  <si>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</si>
  <si>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</si>
  <si>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</si>
  <si>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</si>
  <si>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</si>
  <si>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</si>
  <si>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</si>
  <si>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</si>
  <si>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</si>
  <si>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</si>
  <si>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</si>
  <si>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</si>
  <si>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</si>
  <si>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</si>
  <si>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</si>
  <si>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</si>
  <si>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</si>
  <si>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</si>
  <si>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</si>
  <si>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</si>
  <si>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</si>
  <si>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</si>
  <si>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</si>
  <si>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</si>
  <si>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</si>
  <si>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</si>
  <si>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</si>
  <si>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</si>
  <si>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</si>
  <si>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</si>
  <si>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</si>
  <si>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</si>
  <si>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</si>
  <si>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</si>
  <si>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</si>
  <si>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</si>
  <si>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</si>
  <si>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</si>
  <si>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</si>
  <si>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</si>
  <si>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</si>
  <si>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</si>
  <si>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</si>
  <si>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</si>
  <si>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</si>
  <si>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</si>
  <si>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</si>
  <si>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</si>
  <si>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</si>
  <si>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</si>
  <si>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</si>
  <si>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</si>
  <si>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</si>
  <si>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</si>
  <si>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</si>
  <si>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</si>
  <si>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</si>
  <si>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</si>
  <si>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</si>
  <si>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</si>
  <si>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</si>
  <si>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</si>
  <si>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</si>
  <si>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</si>
  <si>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</si>
  <si>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</si>
  <si>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</si>
  <si>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</si>
  <si>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</si>
  <si>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</si>
  <si>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</si>
  <si>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</si>
  <si>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</si>
  <si>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</si>
  <si>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</si>
  <si>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</si>
  <si>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</si>
  <si>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</si>
  <si>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</si>
  <si>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</si>
  <si>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</si>
  <si>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</si>
  <si>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</si>
  <si>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</si>
  <si>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</si>
  <si>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</si>
  <si>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</si>
  <si>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</si>
  <si>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</si>
  <si>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</si>
  <si>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</si>
  <si>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</si>
  <si>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</si>
  <si>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</si>
  <si>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</si>
  <si>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</si>
  <si>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</si>
  <si>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</si>
  <si>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</si>
  <si>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</si>
  <si>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</si>
  <si>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</si>
  <si>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</si>
  <si>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</si>
  <si>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</si>
  <si>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</si>
  <si>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</si>
  <si>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</si>
  <si>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</si>
  <si>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</si>
  <si>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</si>
  <si>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</si>
  <si>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</si>
  <si>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</si>
  <si>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</si>
  <si>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</si>
  <si>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</si>
  <si>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</si>
  <si>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</si>
  <si>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</si>
  <si>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</si>
  <si>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</si>
  <si>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</si>
  <si>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41002</t>
  </si>
  <si>
    <t>AALST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</si>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</sst>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0D19C15-8B7D-433D-B322-89DC535805A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41002</v>
      </c>
      <c r="B6" s="384"/>
      <c r="C6" s="385"/>
    </row>
    <row r="7" spans="1:7" s="382" customFormat="1" ht="15.75" customHeight="1">
      <c r="A7" s="386" t="str">
        <f>txtMunicipality</f>
        <v>AALST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137325.80862996643</v>
      </c>
      <c r="D10" s="674">
        <f ca="1">tertiair!C16</f>
        <v>0</v>
      </c>
      <c r="E10" s="674">
        <f ca="1">tertiair!D16</f>
        <v>152229.9440086578</v>
      </c>
      <c r="F10" s="674">
        <f>tertiair!E16</f>
        <v>1967.8630635304226</v>
      </c>
      <c r="G10" s="674">
        <f ca="1">tertiair!F16</f>
        <v>27217.82940905328</v>
      </c>
      <c r="H10" s="674">
        <f>tertiair!G16</f>
        <v>0</v>
      </c>
      <c r="I10" s="674">
        <f>tertiair!H16</f>
        <v>0</v>
      </c>
      <c r="J10" s="674">
        <f>tertiair!I16</f>
        <v>0</v>
      </c>
      <c r="K10" s="674">
        <f>tertiair!J16</f>
        <v>0</v>
      </c>
      <c r="L10" s="674">
        <f>tertiair!K16</f>
        <v>0</v>
      </c>
      <c r="M10" s="674">
        <f ca="1">tertiair!L16</f>
        <v>0</v>
      </c>
      <c r="N10" s="674">
        <f>tertiair!M16</f>
        <v>0</v>
      </c>
      <c r="O10" s="674">
        <f ca="1">tertiair!N16</f>
        <v>3272.9909736352729</v>
      </c>
      <c r="P10" s="674">
        <f>tertiair!O16</f>
        <v>6.2533333333333339</v>
      </c>
      <c r="Q10" s="675">
        <f>tertiair!P16</f>
        <v>114.4</v>
      </c>
      <c r="R10" s="677">
        <f ca="1">SUM(C10:Q10)</f>
        <v>322135.08941817656</v>
      </c>
      <c r="S10" s="67"/>
    </row>
    <row r="11" spans="1:19" s="443" customFormat="1">
      <c r="A11" s="789" t="s">
        <v>214</v>
      </c>
      <c r="B11" s="794"/>
      <c r="C11" s="674">
        <f>huishoudens!B8</f>
        <v>150965.2886860554</v>
      </c>
      <c r="D11" s="674">
        <f>huishoudens!C8</f>
        <v>0</v>
      </c>
      <c r="E11" s="674">
        <f>huishoudens!D8</f>
        <v>331658.34906277986</v>
      </c>
      <c r="F11" s="674">
        <f>huishoudens!E8</f>
        <v>6869.7647124012365</v>
      </c>
      <c r="G11" s="674">
        <f>huishoudens!F8</f>
        <v>234495.26665700343</v>
      </c>
      <c r="H11" s="674">
        <f>huishoudens!G8</f>
        <v>0</v>
      </c>
      <c r="I11" s="674">
        <f>huishoudens!H8</f>
        <v>0</v>
      </c>
      <c r="J11" s="674">
        <f>huishoudens!I8</f>
        <v>0</v>
      </c>
      <c r="K11" s="674">
        <f>huishoudens!J8</f>
        <v>5280.2388922716927</v>
      </c>
      <c r="L11" s="674">
        <f>huishoudens!K8</f>
        <v>0</v>
      </c>
      <c r="M11" s="674">
        <f>huishoudens!L8</f>
        <v>0</v>
      </c>
      <c r="N11" s="674">
        <f>huishoudens!M8</f>
        <v>0</v>
      </c>
      <c r="O11" s="674">
        <f>huishoudens!N8</f>
        <v>43406.452154506325</v>
      </c>
      <c r="P11" s="674">
        <f>huishoudens!O8</f>
        <v>243.88000000000002</v>
      </c>
      <c r="Q11" s="675">
        <f>huishoudens!P8</f>
        <v>800.8</v>
      </c>
      <c r="R11" s="677">
        <f>SUM(C11:Q11)</f>
        <v>773720.04016501806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84539.912850697088</v>
      </c>
      <c r="D13" s="674">
        <f>industrie!C18</f>
        <v>0</v>
      </c>
      <c r="E13" s="674">
        <f>industrie!D18</f>
        <v>143011.30506306043</v>
      </c>
      <c r="F13" s="674">
        <f>industrie!E18</f>
        <v>931.49447195547521</v>
      </c>
      <c r="G13" s="674">
        <f>industrie!F18</f>
        <v>29226.963914485037</v>
      </c>
      <c r="H13" s="674">
        <f>industrie!G18</f>
        <v>0</v>
      </c>
      <c r="I13" s="674">
        <f>industrie!H18</f>
        <v>0</v>
      </c>
      <c r="J13" s="674">
        <f>industrie!I18</f>
        <v>0</v>
      </c>
      <c r="K13" s="674">
        <f>industrie!J18</f>
        <v>459.28854645447717</v>
      </c>
      <c r="L13" s="674">
        <f>industrie!K18</f>
        <v>0</v>
      </c>
      <c r="M13" s="674">
        <f>industrie!L18</f>
        <v>0</v>
      </c>
      <c r="N13" s="674">
        <f>industrie!M18</f>
        <v>0</v>
      </c>
      <c r="O13" s="674">
        <f>industrie!N18</f>
        <v>2689.8998801223838</v>
      </c>
      <c r="P13" s="674">
        <f>industrie!O18</f>
        <v>0</v>
      </c>
      <c r="Q13" s="675">
        <f>industrie!P18</f>
        <v>0</v>
      </c>
      <c r="R13" s="677">
        <f>SUM(C13:Q13)</f>
        <v>260858.86472677489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372831.01016671886</v>
      </c>
      <c r="D16" s="707">
        <f t="shared" ref="D16:R16" ca="1" si="0">SUM(D9:D15)</f>
        <v>0</v>
      </c>
      <c r="E16" s="707">
        <f t="shared" ca="1" si="0"/>
        <v>626899.59813449811</v>
      </c>
      <c r="F16" s="707">
        <f t="shared" si="0"/>
        <v>9769.1222478871332</v>
      </c>
      <c r="G16" s="707">
        <f t="shared" ca="1" si="0"/>
        <v>290940.05998054176</v>
      </c>
      <c r="H16" s="707">
        <f t="shared" si="0"/>
        <v>0</v>
      </c>
      <c r="I16" s="707">
        <f t="shared" si="0"/>
        <v>0</v>
      </c>
      <c r="J16" s="707">
        <f t="shared" si="0"/>
        <v>0</v>
      </c>
      <c r="K16" s="707">
        <f t="shared" si="0"/>
        <v>5739.5274387261697</v>
      </c>
      <c r="L16" s="707">
        <f t="shared" si="0"/>
        <v>0</v>
      </c>
      <c r="M16" s="707">
        <f t="shared" ca="1" si="0"/>
        <v>0</v>
      </c>
      <c r="N16" s="707">
        <f t="shared" si="0"/>
        <v>0</v>
      </c>
      <c r="O16" s="707">
        <f t="shared" ca="1" si="0"/>
        <v>49369.343008263982</v>
      </c>
      <c r="P16" s="707">
        <f t="shared" si="0"/>
        <v>250.13333333333335</v>
      </c>
      <c r="Q16" s="707">
        <f t="shared" si="0"/>
        <v>915.19999999999993</v>
      </c>
      <c r="R16" s="707">
        <f t="shared" ca="1" si="0"/>
        <v>1356713.9943099695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56.125010536778078</v>
      </c>
      <c r="D19" s="674">
        <f>transport!C54</f>
        <v>0</v>
      </c>
      <c r="E19" s="674">
        <f>transport!D54</f>
        <v>0</v>
      </c>
      <c r="F19" s="674">
        <f>transport!E54</f>
        <v>0</v>
      </c>
      <c r="G19" s="674">
        <f>transport!F54</f>
        <v>0</v>
      </c>
      <c r="H19" s="674">
        <f>transport!G54</f>
        <v>12175.757548798085</v>
      </c>
      <c r="I19" s="674">
        <f>transport!H54</f>
        <v>0</v>
      </c>
      <c r="J19" s="674">
        <f>transport!I54</f>
        <v>0</v>
      </c>
      <c r="K19" s="674">
        <f>transport!J54</f>
        <v>0</v>
      </c>
      <c r="L19" s="674">
        <f>transport!K54</f>
        <v>0</v>
      </c>
      <c r="M19" s="674">
        <f>transport!L54</f>
        <v>0</v>
      </c>
      <c r="N19" s="674">
        <f>transport!M54</f>
        <v>521.31916812268776</v>
      </c>
      <c r="O19" s="674">
        <f>transport!N54</f>
        <v>0</v>
      </c>
      <c r="P19" s="674">
        <f>transport!O54</f>
        <v>0</v>
      </c>
      <c r="Q19" s="675">
        <f>transport!P54</f>
        <v>0</v>
      </c>
      <c r="R19" s="677">
        <f>SUM(C19:Q19)</f>
        <v>12753.20172745755</v>
      </c>
      <c r="S19" s="67"/>
    </row>
    <row r="20" spans="1:19" s="443" customFormat="1">
      <c r="A20" s="789" t="s">
        <v>296</v>
      </c>
      <c r="B20" s="794"/>
      <c r="C20" s="674">
        <f>transport!B14</f>
        <v>6.7132350954775859</v>
      </c>
      <c r="D20" s="674">
        <f>transport!C14</f>
        <v>0</v>
      </c>
      <c r="E20" s="674">
        <f>transport!D14</f>
        <v>23.142351557563625</v>
      </c>
      <c r="F20" s="674">
        <f>transport!E14</f>
        <v>2574.1580737416093</v>
      </c>
      <c r="G20" s="674">
        <f>transport!F14</f>
        <v>0</v>
      </c>
      <c r="H20" s="674">
        <f>transport!G14</f>
        <v>503112.7764291747</v>
      </c>
      <c r="I20" s="674">
        <f>transport!H14</f>
        <v>77527.597289877929</v>
      </c>
      <c r="J20" s="674">
        <f>transport!I14</f>
        <v>0</v>
      </c>
      <c r="K20" s="674">
        <f>transport!J14</f>
        <v>0</v>
      </c>
      <c r="L20" s="674">
        <f>transport!K14</f>
        <v>0</v>
      </c>
      <c r="M20" s="674">
        <f>transport!L14</f>
        <v>0</v>
      </c>
      <c r="N20" s="674">
        <f>transport!M14</f>
        <v>25241.89645339693</v>
      </c>
      <c r="O20" s="674">
        <f>transport!N14</f>
        <v>0</v>
      </c>
      <c r="P20" s="674">
        <f>transport!O14</f>
        <v>0</v>
      </c>
      <c r="Q20" s="675">
        <f>transport!P14</f>
        <v>0</v>
      </c>
      <c r="R20" s="677">
        <f>SUM(C20:Q20)</f>
        <v>608486.28383284411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62.838245632255664</v>
      </c>
      <c r="D22" s="792">
        <f t="shared" ref="D22:R22" si="1">SUM(D18:D21)</f>
        <v>0</v>
      </c>
      <c r="E22" s="792">
        <f t="shared" si="1"/>
        <v>23.142351557563625</v>
      </c>
      <c r="F22" s="792">
        <f t="shared" si="1"/>
        <v>2574.1580737416093</v>
      </c>
      <c r="G22" s="792">
        <f t="shared" si="1"/>
        <v>0</v>
      </c>
      <c r="H22" s="792">
        <f t="shared" si="1"/>
        <v>515288.53397797281</v>
      </c>
      <c r="I22" s="792">
        <f t="shared" si="1"/>
        <v>77527.597289877929</v>
      </c>
      <c r="J22" s="792">
        <f t="shared" si="1"/>
        <v>0</v>
      </c>
      <c r="K22" s="792">
        <f t="shared" si="1"/>
        <v>0</v>
      </c>
      <c r="L22" s="792">
        <f t="shared" si="1"/>
        <v>0</v>
      </c>
      <c r="M22" s="792">
        <f t="shared" si="1"/>
        <v>0</v>
      </c>
      <c r="N22" s="792">
        <f t="shared" si="1"/>
        <v>25763.215621519619</v>
      </c>
      <c r="O22" s="792">
        <f t="shared" si="1"/>
        <v>0</v>
      </c>
      <c r="P22" s="792">
        <f t="shared" si="1"/>
        <v>0</v>
      </c>
      <c r="Q22" s="792">
        <f t="shared" si="1"/>
        <v>0</v>
      </c>
      <c r="R22" s="792">
        <f t="shared" si="1"/>
        <v>621239.48556030169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1822.8521723665331</v>
      </c>
      <c r="D24" s="674">
        <f>+landbouw!C8</f>
        <v>0</v>
      </c>
      <c r="E24" s="674">
        <f>+landbouw!D8</f>
        <v>539.42966285241016</v>
      </c>
      <c r="F24" s="674">
        <f>+landbouw!E8</f>
        <v>19.089302580424675</v>
      </c>
      <c r="G24" s="674">
        <f>+landbouw!F8</f>
        <v>7803.1923712188154</v>
      </c>
      <c r="H24" s="674">
        <f>+landbouw!G8</f>
        <v>0</v>
      </c>
      <c r="I24" s="674">
        <f>+landbouw!H8</f>
        <v>0</v>
      </c>
      <c r="J24" s="674">
        <f>+landbouw!I8</f>
        <v>0</v>
      </c>
      <c r="K24" s="674">
        <f>+landbouw!J8</f>
        <v>162.79703749508161</v>
      </c>
      <c r="L24" s="674">
        <f>+landbouw!K8</f>
        <v>0</v>
      </c>
      <c r="M24" s="674">
        <f>+landbouw!L8</f>
        <v>0</v>
      </c>
      <c r="N24" s="674">
        <f>+landbouw!M8</f>
        <v>0</v>
      </c>
      <c r="O24" s="674">
        <f>+landbouw!N8</f>
        <v>0</v>
      </c>
      <c r="P24" s="674">
        <f>+landbouw!O8</f>
        <v>0</v>
      </c>
      <c r="Q24" s="675">
        <f>+landbouw!P8</f>
        <v>0</v>
      </c>
      <c r="R24" s="677">
        <f>SUM(C24:Q24)</f>
        <v>10347.360546513266</v>
      </c>
      <c r="S24" s="67"/>
    </row>
    <row r="25" spans="1:19" s="443" customFormat="1" ht="15" thickBot="1">
      <c r="A25" s="811" t="s">
        <v>889</v>
      </c>
      <c r="B25" s="966"/>
      <c r="C25" s="967">
        <f>IF(Onbekend_ele_kWh="---",0,Onbekend_ele_kWh)/1000+IF(REST_rest_ele_kWh="---",0,REST_rest_ele_kWh)/1000</f>
        <v>12286.6040883927</v>
      </c>
      <c r="D25" s="967"/>
      <c r="E25" s="967">
        <f>IF(onbekend_gas_kWh="---",0,onbekend_gas_kWh)/1000+IF(REST_rest_gas_kWh="---",0,REST_rest_gas_kWh)/1000</f>
        <v>24256.807158886299</v>
      </c>
      <c r="F25" s="967"/>
      <c r="G25" s="967"/>
      <c r="H25" s="967"/>
      <c r="I25" s="967"/>
      <c r="J25" s="967"/>
      <c r="K25" s="967"/>
      <c r="L25" s="967"/>
      <c r="M25" s="967"/>
      <c r="N25" s="967"/>
      <c r="O25" s="967"/>
      <c r="P25" s="967"/>
      <c r="Q25" s="968"/>
      <c r="R25" s="677">
        <f>SUM(C25:Q25)</f>
        <v>36543.411247279</v>
      </c>
      <c r="S25" s="67"/>
    </row>
    <row r="26" spans="1:19" s="443" customFormat="1" ht="15.75" thickBot="1">
      <c r="A26" s="680" t="s">
        <v>890</v>
      </c>
      <c r="B26" s="797"/>
      <c r="C26" s="792">
        <f>SUM(C24:C25)</f>
        <v>14109.456260759232</v>
      </c>
      <c r="D26" s="792">
        <f t="shared" ref="D26:R26" si="2">SUM(D24:D25)</f>
        <v>0</v>
      </c>
      <c r="E26" s="792">
        <f t="shared" si="2"/>
        <v>24796.236821738708</v>
      </c>
      <c r="F26" s="792">
        <f t="shared" si="2"/>
        <v>19.089302580424675</v>
      </c>
      <c r="G26" s="792">
        <f t="shared" si="2"/>
        <v>7803.1923712188154</v>
      </c>
      <c r="H26" s="792">
        <f t="shared" si="2"/>
        <v>0</v>
      </c>
      <c r="I26" s="792">
        <f t="shared" si="2"/>
        <v>0</v>
      </c>
      <c r="J26" s="792">
        <f t="shared" si="2"/>
        <v>0</v>
      </c>
      <c r="K26" s="792">
        <f t="shared" si="2"/>
        <v>162.79703749508161</v>
      </c>
      <c r="L26" s="792">
        <f t="shared" si="2"/>
        <v>0</v>
      </c>
      <c r="M26" s="792">
        <f t="shared" si="2"/>
        <v>0</v>
      </c>
      <c r="N26" s="792">
        <f t="shared" si="2"/>
        <v>0</v>
      </c>
      <c r="O26" s="792">
        <f t="shared" si="2"/>
        <v>0</v>
      </c>
      <c r="P26" s="792">
        <f t="shared" si="2"/>
        <v>0</v>
      </c>
      <c r="Q26" s="792">
        <f t="shared" si="2"/>
        <v>0</v>
      </c>
      <c r="R26" s="792">
        <f t="shared" si="2"/>
        <v>46890.771793792264</v>
      </c>
      <c r="S26" s="67"/>
    </row>
    <row r="27" spans="1:19" s="443" customFormat="1" ht="17.25" thickTop="1" thickBot="1">
      <c r="A27" s="681" t="s">
        <v>109</v>
      </c>
      <c r="B27" s="784"/>
      <c r="C27" s="682">
        <f ca="1">C22+C16+C26</f>
        <v>387003.30467311031</v>
      </c>
      <c r="D27" s="682">
        <f t="shared" ref="D27:R27" ca="1" si="3">D22+D16+D26</f>
        <v>0</v>
      </c>
      <c r="E27" s="682">
        <f t="shared" ca="1" si="3"/>
        <v>651718.97730779438</v>
      </c>
      <c r="F27" s="682">
        <f t="shared" si="3"/>
        <v>12362.369624209168</v>
      </c>
      <c r="G27" s="682">
        <f t="shared" ca="1" si="3"/>
        <v>298743.25235176057</v>
      </c>
      <c r="H27" s="682">
        <f t="shared" si="3"/>
        <v>515288.53397797281</v>
      </c>
      <c r="I27" s="682">
        <f t="shared" si="3"/>
        <v>77527.597289877929</v>
      </c>
      <c r="J27" s="682">
        <f t="shared" si="3"/>
        <v>0</v>
      </c>
      <c r="K27" s="682">
        <f t="shared" si="3"/>
        <v>5902.3244762212516</v>
      </c>
      <c r="L27" s="682">
        <f t="shared" si="3"/>
        <v>0</v>
      </c>
      <c r="M27" s="682">
        <f t="shared" ca="1" si="3"/>
        <v>0</v>
      </c>
      <c r="N27" s="682">
        <f t="shared" si="3"/>
        <v>25763.215621519619</v>
      </c>
      <c r="O27" s="682">
        <f t="shared" ca="1" si="3"/>
        <v>49369.343008263982</v>
      </c>
      <c r="P27" s="682">
        <f t="shared" si="3"/>
        <v>250.13333333333335</v>
      </c>
      <c r="Q27" s="682">
        <f t="shared" si="3"/>
        <v>915.19999999999993</v>
      </c>
      <c r="R27" s="682">
        <f t="shared" ca="1" si="3"/>
        <v>2024844.2516640634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29524.172559536153</v>
      </c>
      <c r="D40" s="674">
        <f ca="1">tertiair!C20</f>
        <v>0</v>
      </c>
      <c r="E40" s="674">
        <f ca="1">tertiair!D20</f>
        <v>30750.448689748875</v>
      </c>
      <c r="F40" s="674">
        <f>tertiair!E20</f>
        <v>446.70491542140593</v>
      </c>
      <c r="G40" s="674">
        <f ca="1">tertiair!F20</f>
        <v>7267.1604522172265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67988.486616923663</v>
      </c>
    </row>
    <row r="41" spans="1:18">
      <c r="A41" s="802" t="s">
        <v>214</v>
      </c>
      <c r="B41" s="809"/>
      <c r="C41" s="674">
        <f ca="1">huishoudens!B12</f>
        <v>32456.573736094375</v>
      </c>
      <c r="D41" s="674">
        <f ca="1">huishoudens!C12</f>
        <v>0</v>
      </c>
      <c r="E41" s="674">
        <f>huishoudens!D12</f>
        <v>66994.986510681541</v>
      </c>
      <c r="F41" s="674">
        <f>huishoudens!E12</f>
        <v>1559.4365897150808</v>
      </c>
      <c r="G41" s="674">
        <f>huishoudens!F12</f>
        <v>62610.236197419923</v>
      </c>
      <c r="H41" s="674">
        <f>huishoudens!G12</f>
        <v>0</v>
      </c>
      <c r="I41" s="674">
        <f>huishoudens!H12</f>
        <v>0</v>
      </c>
      <c r="J41" s="674">
        <f>huishoudens!I12</f>
        <v>0</v>
      </c>
      <c r="K41" s="674">
        <f>huishoudens!J12</f>
        <v>1869.2045678641791</v>
      </c>
      <c r="L41" s="674">
        <f>huishoudens!K12</f>
        <v>0</v>
      </c>
      <c r="M41" s="674">
        <f>huishoudens!L12</f>
        <v>0</v>
      </c>
      <c r="N41" s="674">
        <f>huishoudens!M12</f>
        <v>0</v>
      </c>
      <c r="O41" s="674">
        <f>huishoudens!N12</f>
        <v>0</v>
      </c>
      <c r="P41" s="674">
        <f>huishoudens!O12</f>
        <v>0</v>
      </c>
      <c r="Q41" s="749">
        <f>huishoudens!P12</f>
        <v>0</v>
      </c>
      <c r="R41" s="830">
        <f t="shared" ca="1" si="4"/>
        <v>165490.43760177511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18175.541801451825</v>
      </c>
      <c r="D43" s="674">
        <f ca="1">industrie!C22</f>
        <v>0</v>
      </c>
      <c r="E43" s="674">
        <f>industrie!D22</f>
        <v>28888.283622738207</v>
      </c>
      <c r="F43" s="674">
        <f>industrie!E22</f>
        <v>211.44924513389287</v>
      </c>
      <c r="G43" s="674">
        <f>industrie!F22</f>
        <v>7803.5993651675053</v>
      </c>
      <c r="H43" s="674">
        <f>industrie!G22</f>
        <v>0</v>
      </c>
      <c r="I43" s="674">
        <f>industrie!H22</f>
        <v>0</v>
      </c>
      <c r="J43" s="674">
        <f>industrie!I22</f>
        <v>0</v>
      </c>
      <c r="K43" s="674">
        <f>industrie!J22</f>
        <v>162.5881454448849</v>
      </c>
      <c r="L43" s="674">
        <f>industrie!K22</f>
        <v>0</v>
      </c>
      <c r="M43" s="674">
        <f>industrie!L22</f>
        <v>0</v>
      </c>
      <c r="N43" s="674">
        <f>industrie!M22</f>
        <v>0</v>
      </c>
      <c r="O43" s="674">
        <f>industrie!N22</f>
        <v>0</v>
      </c>
      <c r="P43" s="674">
        <f>industrie!O22</f>
        <v>0</v>
      </c>
      <c r="Q43" s="749">
        <f>industrie!P22</f>
        <v>0</v>
      </c>
      <c r="R43" s="829">
        <f t="shared" ca="1" si="4"/>
        <v>55241.462179936309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80156.288097082346</v>
      </c>
      <c r="D46" s="707">
        <f t="shared" ref="D46:Q46" ca="1" si="5">SUM(D39:D45)</f>
        <v>0</v>
      </c>
      <c r="E46" s="707">
        <f t="shared" ca="1" si="5"/>
        <v>126633.71882316863</v>
      </c>
      <c r="F46" s="707">
        <f t="shared" si="5"/>
        <v>2217.5907502703794</v>
      </c>
      <c r="G46" s="707">
        <f t="shared" ca="1" si="5"/>
        <v>77680.996014804652</v>
      </c>
      <c r="H46" s="707">
        <f t="shared" si="5"/>
        <v>0</v>
      </c>
      <c r="I46" s="707">
        <f t="shared" si="5"/>
        <v>0</v>
      </c>
      <c r="J46" s="707">
        <f t="shared" si="5"/>
        <v>0</v>
      </c>
      <c r="K46" s="707">
        <f t="shared" si="5"/>
        <v>2031.7927133090641</v>
      </c>
      <c r="L46" s="707">
        <f t="shared" si="5"/>
        <v>0</v>
      </c>
      <c r="M46" s="707">
        <f t="shared" ca="1" si="5"/>
        <v>0</v>
      </c>
      <c r="N46" s="707">
        <f t="shared" si="5"/>
        <v>0</v>
      </c>
      <c r="O46" s="707">
        <f t="shared" ca="1" si="5"/>
        <v>0</v>
      </c>
      <c r="P46" s="707">
        <f t="shared" si="5"/>
        <v>0</v>
      </c>
      <c r="Q46" s="707">
        <f t="shared" si="5"/>
        <v>0</v>
      </c>
      <c r="R46" s="707">
        <f ca="1">SUM(R39:R45)</f>
        <v>288720.38639863505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12.066519123573034</v>
      </c>
      <c r="D49" s="674">
        <f ca="1">transport!C58</f>
        <v>0</v>
      </c>
      <c r="E49" s="674">
        <f>transport!D58</f>
        <v>0</v>
      </c>
      <c r="F49" s="674">
        <f>transport!E58</f>
        <v>0</v>
      </c>
      <c r="G49" s="674">
        <f>transport!F58</f>
        <v>0</v>
      </c>
      <c r="H49" s="674">
        <f>transport!G58</f>
        <v>3250.9272655290888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3262.9937846526618</v>
      </c>
    </row>
    <row r="50" spans="1:18">
      <c r="A50" s="805" t="s">
        <v>296</v>
      </c>
      <c r="B50" s="815"/>
      <c r="C50" s="973">
        <f ca="1">transport!B18</f>
        <v>1.4433027074006524</v>
      </c>
      <c r="D50" s="973">
        <f>transport!C18</f>
        <v>0</v>
      </c>
      <c r="E50" s="973">
        <f>transport!D18</f>
        <v>4.6747550146278529</v>
      </c>
      <c r="F50" s="973">
        <f>transport!E18</f>
        <v>584.33388273934531</v>
      </c>
      <c r="G50" s="973">
        <f>transport!F18</f>
        <v>0</v>
      </c>
      <c r="H50" s="973">
        <f>transport!G18</f>
        <v>134331.11130658965</v>
      </c>
      <c r="I50" s="973">
        <f>transport!H18</f>
        <v>19304.371725179604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154225.93497223064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13.509821830973687</v>
      </c>
      <c r="D52" s="707">
        <f t="shared" ref="D52:Q52" ca="1" si="6">SUM(D48:D51)</f>
        <v>0</v>
      </c>
      <c r="E52" s="707">
        <f t="shared" si="6"/>
        <v>4.6747550146278529</v>
      </c>
      <c r="F52" s="707">
        <f t="shared" si="6"/>
        <v>584.33388273934531</v>
      </c>
      <c r="G52" s="707">
        <f t="shared" si="6"/>
        <v>0</v>
      </c>
      <c r="H52" s="707">
        <f t="shared" si="6"/>
        <v>137582.03857211873</v>
      </c>
      <c r="I52" s="707">
        <f t="shared" si="6"/>
        <v>19304.371725179604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157488.92875688331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391.90158517465284</v>
      </c>
      <c r="D54" s="973">
        <f ca="1">+landbouw!C12</f>
        <v>0</v>
      </c>
      <c r="E54" s="973">
        <f>+landbouw!D12</f>
        <v>108.96479189618685</v>
      </c>
      <c r="F54" s="973">
        <f>+landbouw!E12</f>
        <v>4.3332716857564018</v>
      </c>
      <c r="G54" s="973">
        <f>+landbouw!F12</f>
        <v>2083.4523631154239</v>
      </c>
      <c r="H54" s="973">
        <f>+landbouw!G12</f>
        <v>0</v>
      </c>
      <c r="I54" s="973">
        <f>+landbouw!H12</f>
        <v>0</v>
      </c>
      <c r="J54" s="973">
        <f>+landbouw!I12</f>
        <v>0</v>
      </c>
      <c r="K54" s="973">
        <f>+landbouw!J12</f>
        <v>57.630151273258889</v>
      </c>
      <c r="L54" s="973">
        <f>+landbouw!K12</f>
        <v>0</v>
      </c>
      <c r="M54" s="973">
        <f>+landbouw!L12</f>
        <v>0</v>
      </c>
      <c r="N54" s="973">
        <f>+landbouw!M12</f>
        <v>0</v>
      </c>
      <c r="O54" s="973">
        <f>+landbouw!N12</f>
        <v>0</v>
      </c>
      <c r="P54" s="973">
        <f>+landbouw!O12</f>
        <v>0</v>
      </c>
      <c r="Q54" s="974">
        <f>+landbouw!P12</f>
        <v>0</v>
      </c>
      <c r="R54" s="706">
        <f ca="1">SUM(C54:Q54)</f>
        <v>2646.2821631452789</v>
      </c>
    </row>
    <row r="55" spans="1:18" ht="15" thickBot="1">
      <c r="A55" s="805" t="s">
        <v>889</v>
      </c>
      <c r="B55" s="815"/>
      <c r="C55" s="973">
        <f ca="1">C25*'EF ele_warmte'!B12</f>
        <v>2641.5414764013331</v>
      </c>
      <c r="D55" s="973"/>
      <c r="E55" s="973">
        <f>E25*EF_CO2_aardgas</f>
        <v>4899.8750460950323</v>
      </c>
      <c r="F55" s="973"/>
      <c r="G55" s="973"/>
      <c r="H55" s="973"/>
      <c r="I55" s="973"/>
      <c r="J55" s="973"/>
      <c r="K55" s="973"/>
      <c r="L55" s="973"/>
      <c r="M55" s="973"/>
      <c r="N55" s="973"/>
      <c r="O55" s="973"/>
      <c r="P55" s="973"/>
      <c r="Q55" s="974"/>
      <c r="R55" s="706">
        <f ca="1">SUM(C55:Q55)</f>
        <v>7541.4165224963654</v>
      </c>
    </row>
    <row r="56" spans="1:18" ht="15.75" thickBot="1">
      <c r="A56" s="803" t="s">
        <v>890</v>
      </c>
      <c r="B56" s="816"/>
      <c r="C56" s="707">
        <f ca="1">SUM(C54:C55)</f>
        <v>3033.4430615759857</v>
      </c>
      <c r="D56" s="707">
        <f t="shared" ref="D56:Q56" ca="1" si="7">SUM(D54:D55)</f>
        <v>0</v>
      </c>
      <c r="E56" s="707">
        <f t="shared" si="7"/>
        <v>5008.8398379912196</v>
      </c>
      <c r="F56" s="707">
        <f t="shared" si="7"/>
        <v>4.3332716857564018</v>
      </c>
      <c r="G56" s="707">
        <f t="shared" si="7"/>
        <v>2083.4523631154239</v>
      </c>
      <c r="H56" s="707">
        <f t="shared" si="7"/>
        <v>0</v>
      </c>
      <c r="I56" s="707">
        <f t="shared" si="7"/>
        <v>0</v>
      </c>
      <c r="J56" s="707">
        <f t="shared" si="7"/>
        <v>0</v>
      </c>
      <c r="K56" s="707">
        <f t="shared" si="7"/>
        <v>57.630151273258889</v>
      </c>
      <c r="L56" s="707">
        <f t="shared" si="7"/>
        <v>0</v>
      </c>
      <c r="M56" s="707">
        <f t="shared" si="7"/>
        <v>0</v>
      </c>
      <c r="N56" s="707">
        <f t="shared" si="7"/>
        <v>0</v>
      </c>
      <c r="O56" s="707">
        <f t="shared" si="7"/>
        <v>0</v>
      </c>
      <c r="P56" s="707">
        <f t="shared" si="7"/>
        <v>0</v>
      </c>
      <c r="Q56" s="708">
        <f t="shared" si="7"/>
        <v>0</v>
      </c>
      <c r="R56" s="709">
        <f ca="1">SUM(R54:R55)</f>
        <v>10187.698685641644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83203.24098048931</v>
      </c>
      <c r="D61" s="715">
        <f t="shared" ref="D61:Q61" ca="1" si="8">D46+D52+D56</f>
        <v>0</v>
      </c>
      <c r="E61" s="715">
        <f t="shared" ca="1" si="8"/>
        <v>131647.23341617448</v>
      </c>
      <c r="F61" s="715">
        <f t="shared" si="8"/>
        <v>2806.2579046954811</v>
      </c>
      <c r="G61" s="715">
        <f t="shared" ca="1" si="8"/>
        <v>79764.448377920082</v>
      </c>
      <c r="H61" s="715">
        <f t="shared" si="8"/>
        <v>137582.03857211873</v>
      </c>
      <c r="I61" s="715">
        <f t="shared" si="8"/>
        <v>19304.371725179604</v>
      </c>
      <c r="J61" s="715">
        <f t="shared" si="8"/>
        <v>0</v>
      </c>
      <c r="K61" s="715">
        <f t="shared" si="8"/>
        <v>2089.4228645823232</v>
      </c>
      <c r="L61" s="715">
        <f t="shared" si="8"/>
        <v>0</v>
      </c>
      <c r="M61" s="715">
        <f t="shared" ca="1" si="8"/>
        <v>0</v>
      </c>
      <c r="N61" s="715">
        <f t="shared" si="8"/>
        <v>0</v>
      </c>
      <c r="O61" s="715">
        <f t="shared" ca="1" si="8"/>
        <v>0</v>
      </c>
      <c r="P61" s="715">
        <f t="shared" si="8"/>
        <v>0</v>
      </c>
      <c r="Q61" s="715">
        <f t="shared" si="8"/>
        <v>0</v>
      </c>
      <c r="R61" s="715">
        <f ca="1">R46+R52+R56</f>
        <v>456397.01384115999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0.21499361885493073</v>
      </c>
      <c r="D63" s="759">
        <f t="shared" ca="1" si="9"/>
        <v>0</v>
      </c>
      <c r="E63" s="975">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10518.051367728915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10518.051367728915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150965.2886860554</v>
      </c>
      <c r="C4" s="447">
        <f>huishoudens!C8</f>
        <v>0</v>
      </c>
      <c r="D4" s="447">
        <f>huishoudens!D8</f>
        <v>331658.34906277986</v>
      </c>
      <c r="E4" s="447">
        <f>huishoudens!E8</f>
        <v>6869.7647124012365</v>
      </c>
      <c r="F4" s="447">
        <f>huishoudens!F8</f>
        <v>234495.26665700343</v>
      </c>
      <c r="G4" s="447">
        <f>huishoudens!G8</f>
        <v>0</v>
      </c>
      <c r="H4" s="447">
        <f>huishoudens!H8</f>
        <v>0</v>
      </c>
      <c r="I4" s="447">
        <f>huishoudens!I8</f>
        <v>0</v>
      </c>
      <c r="J4" s="447">
        <f>huishoudens!J8</f>
        <v>5280.2388922716927</v>
      </c>
      <c r="K4" s="447">
        <f>huishoudens!K8</f>
        <v>0</v>
      </c>
      <c r="L4" s="447">
        <f>huishoudens!L8</f>
        <v>0</v>
      </c>
      <c r="M4" s="447">
        <f>huishoudens!M8</f>
        <v>0</v>
      </c>
      <c r="N4" s="447">
        <f>huishoudens!N8</f>
        <v>43406.452154506325</v>
      </c>
      <c r="O4" s="447">
        <f>huishoudens!O8</f>
        <v>243.88000000000002</v>
      </c>
      <c r="P4" s="448">
        <f>huishoudens!P8</f>
        <v>800.8</v>
      </c>
      <c r="Q4" s="449">
        <f>SUM(B4:P4)</f>
        <v>773720.04016501806</v>
      </c>
    </row>
    <row r="5" spans="1:17">
      <c r="A5" s="446" t="s">
        <v>149</v>
      </c>
      <c r="B5" s="447">
        <f ca="1">tertiair!B16</f>
        <v>133036.56562996644</v>
      </c>
      <c r="C5" s="447">
        <f ca="1">tertiair!C16</f>
        <v>0</v>
      </c>
      <c r="D5" s="447">
        <f ca="1">tertiair!D16</f>
        <v>152229.9440086578</v>
      </c>
      <c r="E5" s="447">
        <f>tertiair!E16</f>
        <v>1967.8630635304226</v>
      </c>
      <c r="F5" s="447">
        <f ca="1">tertiair!F16</f>
        <v>27217.82940905328</v>
      </c>
      <c r="G5" s="447">
        <f>tertiair!G16</f>
        <v>0</v>
      </c>
      <c r="H5" s="447">
        <f>tertiair!H16</f>
        <v>0</v>
      </c>
      <c r="I5" s="447">
        <f>tertiair!I16</f>
        <v>0</v>
      </c>
      <c r="J5" s="447">
        <f>tertiair!J16</f>
        <v>0</v>
      </c>
      <c r="K5" s="447">
        <f>tertiair!K16</f>
        <v>0</v>
      </c>
      <c r="L5" s="447">
        <f ca="1">tertiair!L16</f>
        <v>0</v>
      </c>
      <c r="M5" s="447">
        <f>tertiair!M16</f>
        <v>0</v>
      </c>
      <c r="N5" s="447">
        <f ca="1">tertiair!N16</f>
        <v>3272.9909736352729</v>
      </c>
      <c r="O5" s="447">
        <f>tertiair!O16</f>
        <v>6.2533333333333339</v>
      </c>
      <c r="P5" s="448">
        <f>tertiair!P16</f>
        <v>114.4</v>
      </c>
      <c r="Q5" s="446">
        <f t="shared" ref="Q5:Q14" ca="1" si="0">SUM(B5:P5)</f>
        <v>317845.8464181766</v>
      </c>
    </row>
    <row r="6" spans="1:17">
      <c r="A6" s="446" t="s">
        <v>187</v>
      </c>
      <c r="B6" s="447">
        <f>'openbare verlichting'!B8</f>
        <v>4289.2430000000004</v>
      </c>
      <c r="C6" s="447"/>
      <c r="D6" s="447"/>
      <c r="E6" s="447"/>
      <c r="F6" s="447"/>
      <c r="G6" s="447"/>
      <c r="H6" s="447"/>
      <c r="I6" s="447"/>
      <c r="J6" s="447"/>
      <c r="K6" s="447"/>
      <c r="L6" s="447"/>
      <c r="M6" s="447"/>
      <c r="N6" s="447"/>
      <c r="O6" s="447"/>
      <c r="P6" s="448"/>
      <c r="Q6" s="446">
        <f t="shared" si="0"/>
        <v>4289.2430000000004</v>
      </c>
    </row>
    <row r="7" spans="1:17">
      <c r="A7" s="446" t="s">
        <v>105</v>
      </c>
      <c r="B7" s="447">
        <f>landbouw!B8</f>
        <v>1822.8521723665331</v>
      </c>
      <c r="C7" s="447">
        <f>landbouw!C8</f>
        <v>0</v>
      </c>
      <c r="D7" s="447">
        <f>landbouw!D8</f>
        <v>539.42966285241016</v>
      </c>
      <c r="E7" s="447">
        <f>landbouw!E8</f>
        <v>19.089302580424675</v>
      </c>
      <c r="F7" s="447">
        <f>landbouw!F8</f>
        <v>7803.1923712188154</v>
      </c>
      <c r="G7" s="447">
        <f>landbouw!G8</f>
        <v>0</v>
      </c>
      <c r="H7" s="447">
        <f>landbouw!H8</f>
        <v>0</v>
      </c>
      <c r="I7" s="447">
        <f>landbouw!I8</f>
        <v>0</v>
      </c>
      <c r="J7" s="447">
        <f>landbouw!J8</f>
        <v>162.79703749508161</v>
      </c>
      <c r="K7" s="447">
        <f>landbouw!K8</f>
        <v>0</v>
      </c>
      <c r="L7" s="447">
        <f>landbouw!L8</f>
        <v>0</v>
      </c>
      <c r="M7" s="447">
        <f>landbouw!M8</f>
        <v>0</v>
      </c>
      <c r="N7" s="447">
        <f>landbouw!N8</f>
        <v>0</v>
      </c>
      <c r="O7" s="447">
        <f>landbouw!O8</f>
        <v>0</v>
      </c>
      <c r="P7" s="448">
        <f>landbouw!P8</f>
        <v>0</v>
      </c>
      <c r="Q7" s="446">
        <f t="shared" si="0"/>
        <v>10347.360546513266</v>
      </c>
    </row>
    <row r="8" spans="1:17">
      <c r="A8" s="446" t="s">
        <v>637</v>
      </c>
      <c r="B8" s="447">
        <f>industrie!B18</f>
        <v>84539.912850697088</v>
      </c>
      <c r="C8" s="447">
        <f>industrie!C18</f>
        <v>0</v>
      </c>
      <c r="D8" s="447">
        <f>industrie!D18</f>
        <v>143011.30506306043</v>
      </c>
      <c r="E8" s="447">
        <f>industrie!E18</f>
        <v>931.49447195547521</v>
      </c>
      <c r="F8" s="447">
        <f>industrie!F18</f>
        <v>29226.963914485037</v>
      </c>
      <c r="G8" s="447">
        <f>industrie!G18</f>
        <v>0</v>
      </c>
      <c r="H8" s="447">
        <f>industrie!H18</f>
        <v>0</v>
      </c>
      <c r="I8" s="447">
        <f>industrie!I18</f>
        <v>0</v>
      </c>
      <c r="J8" s="447">
        <f>industrie!J18</f>
        <v>459.28854645447717</v>
      </c>
      <c r="K8" s="447">
        <f>industrie!K18</f>
        <v>0</v>
      </c>
      <c r="L8" s="447">
        <f>industrie!L18</f>
        <v>0</v>
      </c>
      <c r="M8" s="447">
        <f>industrie!M18</f>
        <v>0</v>
      </c>
      <c r="N8" s="447">
        <f>industrie!N18</f>
        <v>2689.8998801223838</v>
      </c>
      <c r="O8" s="447">
        <f>industrie!O18</f>
        <v>0</v>
      </c>
      <c r="P8" s="448">
        <f>industrie!P18</f>
        <v>0</v>
      </c>
      <c r="Q8" s="446">
        <f t="shared" si="0"/>
        <v>260858.86472677489</v>
      </c>
    </row>
    <row r="9" spans="1:17" s="452" customFormat="1">
      <c r="A9" s="450" t="s">
        <v>556</v>
      </c>
      <c r="B9" s="451">
        <f>transport!B14</f>
        <v>6.7132350954775859</v>
      </c>
      <c r="C9" s="451">
        <f>transport!C14</f>
        <v>0</v>
      </c>
      <c r="D9" s="451">
        <f>transport!D14</f>
        <v>23.142351557563625</v>
      </c>
      <c r="E9" s="451">
        <f>transport!E14</f>
        <v>2574.1580737416093</v>
      </c>
      <c r="F9" s="451">
        <f>transport!F14</f>
        <v>0</v>
      </c>
      <c r="G9" s="451">
        <f>transport!G14</f>
        <v>503112.7764291747</v>
      </c>
      <c r="H9" s="451">
        <f>transport!H14</f>
        <v>77527.597289877929</v>
      </c>
      <c r="I9" s="451">
        <f>transport!I14</f>
        <v>0</v>
      </c>
      <c r="J9" s="451">
        <f>transport!J14</f>
        <v>0</v>
      </c>
      <c r="K9" s="451">
        <f>transport!K14</f>
        <v>0</v>
      </c>
      <c r="L9" s="451">
        <f>transport!L14</f>
        <v>0</v>
      </c>
      <c r="M9" s="451">
        <f>transport!M14</f>
        <v>25241.89645339693</v>
      </c>
      <c r="N9" s="451">
        <f>transport!N14</f>
        <v>0</v>
      </c>
      <c r="O9" s="451">
        <f>transport!O14</f>
        <v>0</v>
      </c>
      <c r="P9" s="451">
        <f>transport!P14</f>
        <v>0</v>
      </c>
      <c r="Q9" s="450">
        <f>SUM(B9:P9)</f>
        <v>608486.28383284411</v>
      </c>
    </row>
    <row r="10" spans="1:17">
      <c r="A10" s="446" t="s">
        <v>546</v>
      </c>
      <c r="B10" s="447">
        <f>transport!B54</f>
        <v>56.125010536778078</v>
      </c>
      <c r="C10" s="447">
        <f>transport!C54</f>
        <v>0</v>
      </c>
      <c r="D10" s="447">
        <f>transport!D54</f>
        <v>0</v>
      </c>
      <c r="E10" s="447">
        <f>transport!E54</f>
        <v>0</v>
      </c>
      <c r="F10" s="447">
        <f>transport!F54</f>
        <v>0</v>
      </c>
      <c r="G10" s="447">
        <f>transport!G54</f>
        <v>12175.757548798085</v>
      </c>
      <c r="H10" s="447">
        <f>transport!H54</f>
        <v>0</v>
      </c>
      <c r="I10" s="447">
        <f>transport!I54</f>
        <v>0</v>
      </c>
      <c r="J10" s="447">
        <f>transport!J54</f>
        <v>0</v>
      </c>
      <c r="K10" s="447">
        <f>transport!K54</f>
        <v>0</v>
      </c>
      <c r="L10" s="447">
        <f>transport!L54</f>
        <v>0</v>
      </c>
      <c r="M10" s="447">
        <f>transport!M54</f>
        <v>521.31916812268776</v>
      </c>
      <c r="N10" s="447">
        <f>transport!N54</f>
        <v>0</v>
      </c>
      <c r="O10" s="447">
        <f>transport!O54</f>
        <v>0</v>
      </c>
      <c r="P10" s="448">
        <f>transport!P54</f>
        <v>0</v>
      </c>
      <c r="Q10" s="446">
        <f t="shared" si="0"/>
        <v>12753.20172745755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12286.6040883927</v>
      </c>
      <c r="C14" s="454"/>
      <c r="D14" s="454">
        <f>'SEAP template'!E25</f>
        <v>24256.807158886299</v>
      </c>
      <c r="E14" s="454"/>
      <c r="F14" s="454"/>
      <c r="G14" s="454"/>
      <c r="H14" s="454"/>
      <c r="I14" s="454"/>
      <c r="J14" s="454"/>
      <c r="K14" s="454"/>
      <c r="L14" s="454"/>
      <c r="M14" s="454"/>
      <c r="N14" s="454"/>
      <c r="O14" s="454"/>
      <c r="P14" s="455"/>
      <c r="Q14" s="446">
        <f t="shared" si="0"/>
        <v>36543.411247279</v>
      </c>
    </row>
    <row r="15" spans="1:17" s="459" customFormat="1">
      <c r="A15" s="456" t="s">
        <v>550</v>
      </c>
      <c r="B15" s="457">
        <f ca="1">SUM(B4:B14)</f>
        <v>387003.30467311037</v>
      </c>
      <c r="C15" s="457">
        <f t="shared" ref="C15:Q15" ca="1" si="1">SUM(C4:C14)</f>
        <v>0</v>
      </c>
      <c r="D15" s="457">
        <f t="shared" ca="1" si="1"/>
        <v>651718.97730779438</v>
      </c>
      <c r="E15" s="457">
        <f t="shared" si="1"/>
        <v>12362.369624209168</v>
      </c>
      <c r="F15" s="457">
        <f t="shared" ca="1" si="1"/>
        <v>298743.25235176063</v>
      </c>
      <c r="G15" s="457">
        <f t="shared" si="1"/>
        <v>515288.53397797281</v>
      </c>
      <c r="H15" s="457">
        <f t="shared" si="1"/>
        <v>77527.597289877929</v>
      </c>
      <c r="I15" s="457">
        <f t="shared" si="1"/>
        <v>0</v>
      </c>
      <c r="J15" s="457">
        <f t="shared" si="1"/>
        <v>5902.3244762212516</v>
      </c>
      <c r="K15" s="457">
        <f t="shared" si="1"/>
        <v>0</v>
      </c>
      <c r="L15" s="457">
        <f t="shared" ca="1" si="1"/>
        <v>0</v>
      </c>
      <c r="M15" s="457">
        <f t="shared" si="1"/>
        <v>25763.215621519619</v>
      </c>
      <c r="N15" s="457">
        <f t="shared" ca="1" si="1"/>
        <v>49369.343008263982</v>
      </c>
      <c r="O15" s="457">
        <f t="shared" si="1"/>
        <v>250.13333333333335</v>
      </c>
      <c r="P15" s="457">
        <f t="shared" si="1"/>
        <v>915.19999999999993</v>
      </c>
      <c r="Q15" s="457">
        <f t="shared" ca="1" si="1"/>
        <v>2024844.2516640634</v>
      </c>
    </row>
    <row r="17" spans="1:17">
      <c r="A17" s="460" t="s">
        <v>551</v>
      </c>
      <c r="B17" s="764">
        <f ca="1">huishoudens!B10</f>
        <v>0.21499361885493068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32456.573736094375</v>
      </c>
      <c r="C22" s="447">
        <f t="shared" ref="C22:C32" ca="1" si="3">C4*$C$17</f>
        <v>0</v>
      </c>
      <c r="D22" s="447">
        <f t="shared" ref="D22:D32" si="4">D4*$D$17</f>
        <v>66994.986510681541</v>
      </c>
      <c r="E22" s="447">
        <f t="shared" ref="E22:E32" si="5">E4*$E$17</f>
        <v>1559.4365897150808</v>
      </c>
      <c r="F22" s="447">
        <f t="shared" ref="F22:F32" si="6">F4*$F$17</f>
        <v>62610.236197419923</v>
      </c>
      <c r="G22" s="447">
        <f t="shared" ref="G22:G32" si="7">G4*$G$17</f>
        <v>0</v>
      </c>
      <c r="H22" s="447">
        <f t="shared" ref="H22:H32" si="8">H4*$H$17</f>
        <v>0</v>
      </c>
      <c r="I22" s="447">
        <f t="shared" ref="I22:I32" si="9">I4*$I$17</f>
        <v>0</v>
      </c>
      <c r="J22" s="447">
        <f t="shared" ref="J22:J32" si="10">J4*$J$17</f>
        <v>1869.2045678641791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165490.43760177511</v>
      </c>
    </row>
    <row r="23" spans="1:17">
      <c r="A23" s="446" t="s">
        <v>149</v>
      </c>
      <c r="B23" s="447">
        <f t="shared" ca="1" si="2"/>
        <v>28602.012684817975</v>
      </c>
      <c r="C23" s="447">
        <f t="shared" ca="1" si="3"/>
        <v>0</v>
      </c>
      <c r="D23" s="447">
        <f t="shared" ca="1" si="4"/>
        <v>30750.448689748875</v>
      </c>
      <c r="E23" s="447">
        <f t="shared" si="5"/>
        <v>446.70491542140593</v>
      </c>
      <c r="F23" s="447">
        <f t="shared" ca="1" si="6"/>
        <v>7267.1604522172265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67066.326742205478</v>
      </c>
    </row>
    <row r="24" spans="1:17">
      <c r="A24" s="446" t="s">
        <v>187</v>
      </c>
      <c r="B24" s="447">
        <f t="shared" ca="1" si="2"/>
        <v>922.15987471817948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922.15987471817948</v>
      </c>
    </row>
    <row r="25" spans="1:17">
      <c r="A25" s="446" t="s">
        <v>105</v>
      </c>
      <c r="B25" s="447">
        <f t="shared" ca="1" si="2"/>
        <v>391.90158517465284</v>
      </c>
      <c r="C25" s="447">
        <f t="shared" ca="1" si="3"/>
        <v>0</v>
      </c>
      <c r="D25" s="447">
        <f t="shared" si="4"/>
        <v>108.96479189618685</v>
      </c>
      <c r="E25" s="447">
        <f t="shared" si="5"/>
        <v>4.3332716857564018</v>
      </c>
      <c r="F25" s="447">
        <f t="shared" si="6"/>
        <v>2083.4523631154239</v>
      </c>
      <c r="G25" s="447">
        <f t="shared" si="7"/>
        <v>0</v>
      </c>
      <c r="H25" s="447">
        <f t="shared" si="8"/>
        <v>0</v>
      </c>
      <c r="I25" s="447">
        <f t="shared" si="9"/>
        <v>0</v>
      </c>
      <c r="J25" s="447">
        <f t="shared" si="10"/>
        <v>57.630151273258889</v>
      </c>
      <c r="K25" s="447">
        <f t="shared" si="11"/>
        <v>0</v>
      </c>
      <c r="L25" s="447">
        <f t="shared" si="12"/>
        <v>0</v>
      </c>
      <c r="M25" s="447">
        <f t="shared" si="13"/>
        <v>0</v>
      </c>
      <c r="N25" s="447">
        <f t="shared" si="14"/>
        <v>0</v>
      </c>
      <c r="O25" s="447">
        <f t="shared" si="15"/>
        <v>0</v>
      </c>
      <c r="P25" s="448">
        <f t="shared" si="16"/>
        <v>0</v>
      </c>
      <c r="Q25" s="446">
        <f t="shared" ca="1" si="17"/>
        <v>2646.2821631452789</v>
      </c>
    </row>
    <row r="26" spans="1:17">
      <c r="A26" s="446" t="s">
        <v>637</v>
      </c>
      <c r="B26" s="447">
        <f t="shared" ca="1" si="2"/>
        <v>18175.541801451825</v>
      </c>
      <c r="C26" s="447">
        <f t="shared" ca="1" si="3"/>
        <v>0</v>
      </c>
      <c r="D26" s="447">
        <f t="shared" si="4"/>
        <v>28888.283622738207</v>
      </c>
      <c r="E26" s="447">
        <f t="shared" si="5"/>
        <v>211.44924513389287</v>
      </c>
      <c r="F26" s="447">
        <f t="shared" si="6"/>
        <v>7803.5993651675053</v>
      </c>
      <c r="G26" s="447">
        <f t="shared" si="7"/>
        <v>0</v>
      </c>
      <c r="H26" s="447">
        <f t="shared" si="8"/>
        <v>0</v>
      </c>
      <c r="I26" s="447">
        <f t="shared" si="9"/>
        <v>0</v>
      </c>
      <c r="J26" s="447">
        <f t="shared" si="10"/>
        <v>162.5881454448849</v>
      </c>
      <c r="K26" s="447">
        <f t="shared" si="11"/>
        <v>0</v>
      </c>
      <c r="L26" s="447">
        <f t="shared" si="12"/>
        <v>0</v>
      </c>
      <c r="M26" s="447">
        <f t="shared" si="13"/>
        <v>0</v>
      </c>
      <c r="N26" s="447">
        <f t="shared" si="14"/>
        <v>0</v>
      </c>
      <c r="O26" s="447">
        <f t="shared" si="15"/>
        <v>0</v>
      </c>
      <c r="P26" s="448">
        <f t="shared" si="16"/>
        <v>0</v>
      </c>
      <c r="Q26" s="446">
        <f t="shared" ca="1" si="17"/>
        <v>55241.462179936309</v>
      </c>
    </row>
    <row r="27" spans="1:17" s="452" customFormat="1">
      <c r="A27" s="450" t="s">
        <v>556</v>
      </c>
      <c r="B27" s="758">
        <f t="shared" ca="1" si="2"/>
        <v>1.4433027074006524</v>
      </c>
      <c r="C27" s="451">
        <f t="shared" ca="1" si="3"/>
        <v>0</v>
      </c>
      <c r="D27" s="451">
        <f t="shared" si="4"/>
        <v>4.6747550146278529</v>
      </c>
      <c r="E27" s="451">
        <f t="shared" si="5"/>
        <v>584.33388273934531</v>
      </c>
      <c r="F27" s="451">
        <f t="shared" si="6"/>
        <v>0</v>
      </c>
      <c r="G27" s="451">
        <f t="shared" si="7"/>
        <v>134331.11130658965</v>
      </c>
      <c r="H27" s="451">
        <f t="shared" si="8"/>
        <v>19304.371725179604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154225.93497223064</v>
      </c>
    </row>
    <row r="28" spans="1:17">
      <c r="A28" s="446" t="s">
        <v>546</v>
      </c>
      <c r="B28" s="447">
        <f t="shared" ca="1" si="2"/>
        <v>12.066519123573034</v>
      </c>
      <c r="C28" s="447">
        <f t="shared" ca="1" si="3"/>
        <v>0</v>
      </c>
      <c r="D28" s="447">
        <f t="shared" si="4"/>
        <v>0</v>
      </c>
      <c r="E28" s="447">
        <f t="shared" si="5"/>
        <v>0</v>
      </c>
      <c r="F28" s="447">
        <f t="shared" si="6"/>
        <v>0</v>
      </c>
      <c r="G28" s="447">
        <f t="shared" si="7"/>
        <v>3250.9272655290888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3262.9937846526618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2641.5414764013331</v>
      </c>
      <c r="C32" s="447">
        <f t="shared" ca="1" si="3"/>
        <v>0</v>
      </c>
      <c r="D32" s="447">
        <f t="shared" si="4"/>
        <v>4899.8750460950323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7541.4165224963654</v>
      </c>
    </row>
    <row r="33" spans="1:17" s="459" customFormat="1">
      <c r="A33" s="456" t="s">
        <v>550</v>
      </c>
      <c r="B33" s="457">
        <f ca="1">SUM(B22:B32)</f>
        <v>83203.240980489325</v>
      </c>
      <c r="C33" s="457">
        <f t="shared" ref="C33:Q33" ca="1" si="19">SUM(C22:C32)</f>
        <v>0</v>
      </c>
      <c r="D33" s="457">
        <f t="shared" ca="1" si="19"/>
        <v>131647.23341617448</v>
      </c>
      <c r="E33" s="457">
        <f t="shared" si="19"/>
        <v>2806.2579046954816</v>
      </c>
      <c r="F33" s="457">
        <f t="shared" ca="1" si="19"/>
        <v>79764.448377920082</v>
      </c>
      <c r="G33" s="457">
        <f t="shared" si="19"/>
        <v>137582.03857211873</v>
      </c>
      <c r="H33" s="457">
        <f t="shared" si="19"/>
        <v>19304.371725179604</v>
      </c>
      <c r="I33" s="457">
        <f t="shared" si="19"/>
        <v>0</v>
      </c>
      <c r="J33" s="457">
        <f t="shared" si="19"/>
        <v>2089.4228645823227</v>
      </c>
      <c r="K33" s="457">
        <f t="shared" si="19"/>
        <v>0</v>
      </c>
      <c r="L33" s="457">
        <f t="shared" ca="1" si="19"/>
        <v>0</v>
      </c>
      <c r="M33" s="457">
        <f t="shared" si="19"/>
        <v>0</v>
      </c>
      <c r="N33" s="457">
        <f t="shared" ca="1" si="19"/>
        <v>0</v>
      </c>
      <c r="O33" s="457">
        <f t="shared" si="19"/>
        <v>0</v>
      </c>
      <c r="P33" s="457">
        <f t="shared" si="19"/>
        <v>0</v>
      </c>
      <c r="Q33" s="457">
        <f t="shared" ca="1" si="19"/>
        <v>456397.01384116005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10518.051367728915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10518.051367728915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0.21499361885493068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0.21499361885493068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0.21499361885493068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0.21499361885493068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36228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2476</v>
      </c>
      <c r="C14" s="326"/>
      <c r="D14" s="326"/>
      <c r="E14" s="326"/>
      <c r="F14" s="326"/>
    </row>
    <row r="15" spans="1:6">
      <c r="A15" s="1280" t="s">
        <v>177</v>
      </c>
      <c r="B15" s="1281">
        <v>17</v>
      </c>
      <c r="C15" s="326"/>
      <c r="D15" s="326"/>
      <c r="E15" s="326"/>
      <c r="F15" s="326"/>
    </row>
    <row r="16" spans="1:6">
      <c r="A16" s="1280" t="s">
        <v>6</v>
      </c>
      <c r="B16" s="1281">
        <v>499</v>
      </c>
      <c r="C16" s="326"/>
      <c r="D16" s="326"/>
      <c r="E16" s="326"/>
      <c r="F16" s="326"/>
    </row>
    <row r="17" spans="1:6">
      <c r="A17" s="1280" t="s">
        <v>7</v>
      </c>
      <c r="B17" s="1281">
        <v>349</v>
      </c>
      <c r="C17" s="326"/>
      <c r="D17" s="326"/>
      <c r="E17" s="326"/>
      <c r="F17" s="326"/>
    </row>
    <row r="18" spans="1:6">
      <c r="A18" s="1280" t="s">
        <v>8</v>
      </c>
      <c r="B18" s="1281">
        <v>490</v>
      </c>
      <c r="C18" s="326"/>
      <c r="D18" s="326"/>
      <c r="E18" s="326"/>
      <c r="F18" s="326"/>
    </row>
    <row r="19" spans="1:6">
      <c r="A19" s="1280" t="s">
        <v>9</v>
      </c>
      <c r="B19" s="1281">
        <v>438</v>
      </c>
      <c r="C19" s="326"/>
      <c r="D19" s="326"/>
      <c r="E19" s="326"/>
      <c r="F19" s="326"/>
    </row>
    <row r="20" spans="1:6">
      <c r="A20" s="1280" t="s">
        <v>10</v>
      </c>
      <c r="B20" s="1281">
        <v>366</v>
      </c>
      <c r="C20" s="326"/>
      <c r="D20" s="326"/>
      <c r="E20" s="326"/>
      <c r="F20" s="326"/>
    </row>
    <row r="21" spans="1:6">
      <c r="A21" s="1280" t="s">
        <v>11</v>
      </c>
      <c r="B21" s="1281">
        <v>394</v>
      </c>
      <c r="C21" s="326"/>
      <c r="D21" s="326"/>
      <c r="E21" s="326"/>
      <c r="F21" s="326"/>
    </row>
    <row r="22" spans="1:6">
      <c r="A22" s="1280" t="s">
        <v>12</v>
      </c>
      <c r="B22" s="1281">
        <v>2389</v>
      </c>
      <c r="C22" s="326"/>
      <c r="D22" s="326"/>
      <c r="E22" s="326"/>
      <c r="F22" s="326"/>
    </row>
    <row r="23" spans="1:6">
      <c r="A23" s="1280" t="s">
        <v>13</v>
      </c>
      <c r="B23" s="1281">
        <v>52</v>
      </c>
      <c r="C23" s="326"/>
      <c r="D23" s="326"/>
      <c r="E23" s="326"/>
      <c r="F23" s="326"/>
    </row>
    <row r="24" spans="1:6">
      <c r="A24" s="1280" t="s">
        <v>14</v>
      </c>
      <c r="B24" s="1281">
        <v>2</v>
      </c>
      <c r="C24" s="326"/>
      <c r="D24" s="326"/>
      <c r="E24" s="326"/>
      <c r="F24" s="326"/>
    </row>
    <row r="25" spans="1:6">
      <c r="A25" s="1280" t="s">
        <v>15</v>
      </c>
      <c r="B25" s="1281">
        <v>148</v>
      </c>
      <c r="C25" s="326"/>
      <c r="D25" s="326"/>
      <c r="E25" s="326"/>
      <c r="F25" s="326"/>
    </row>
    <row r="26" spans="1:6">
      <c r="A26" s="1280" t="s">
        <v>16</v>
      </c>
      <c r="B26" s="1281">
        <v>145</v>
      </c>
      <c r="C26" s="326"/>
      <c r="D26" s="326"/>
      <c r="E26" s="326"/>
      <c r="F26" s="326"/>
    </row>
    <row r="27" spans="1:6">
      <c r="A27" s="1280" t="s">
        <v>17</v>
      </c>
      <c r="B27" s="1281">
        <v>4</v>
      </c>
      <c r="C27" s="326"/>
      <c r="D27" s="326"/>
      <c r="E27" s="326"/>
      <c r="F27" s="326"/>
    </row>
    <row r="28" spans="1:6">
      <c r="A28" s="1280" t="s">
        <v>18</v>
      </c>
      <c r="B28" s="1282">
        <v>29126</v>
      </c>
      <c r="C28" s="326"/>
      <c r="D28" s="326"/>
      <c r="E28" s="326"/>
      <c r="F28" s="326"/>
    </row>
    <row r="29" spans="1:6">
      <c r="A29" s="1280" t="s">
        <v>972</v>
      </c>
      <c r="B29" s="1282">
        <v>224</v>
      </c>
      <c r="C29" s="326"/>
      <c r="D29" s="326"/>
      <c r="E29" s="326"/>
      <c r="F29" s="326"/>
    </row>
    <row r="30" spans="1:6">
      <c r="A30" s="1275" t="s">
        <v>973</v>
      </c>
      <c r="B30" s="1283">
        <v>25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15</v>
      </c>
      <c r="D36" s="1281">
        <v>79958651.666702703</v>
      </c>
      <c r="E36" s="1281">
        <v>10</v>
      </c>
      <c r="F36" s="1281">
        <v>2187030.6910529602</v>
      </c>
    </row>
    <row r="37" spans="1:6">
      <c r="A37" s="1280" t="s">
        <v>24</v>
      </c>
      <c r="B37" s="1280" t="s">
        <v>27</v>
      </c>
      <c r="C37" s="1281">
        <v>0</v>
      </c>
      <c r="D37" s="1281">
        <v>0</v>
      </c>
      <c r="E37" s="1281">
        <v>4</v>
      </c>
      <c r="F37" s="1281">
        <v>133766.50004547901</v>
      </c>
    </row>
    <row r="38" spans="1:6">
      <c r="A38" s="1280" t="s">
        <v>24</v>
      </c>
      <c r="B38" s="1280" t="s">
        <v>28</v>
      </c>
      <c r="C38" s="1281">
        <v>4</v>
      </c>
      <c r="D38" s="1281">
        <v>735269.30206977599</v>
      </c>
      <c r="E38" s="1281">
        <v>9</v>
      </c>
      <c r="F38" s="1281">
        <v>12989556.895499101</v>
      </c>
    </row>
    <row r="39" spans="1:6">
      <c r="A39" s="1280" t="s">
        <v>29</v>
      </c>
      <c r="B39" s="1280" t="s">
        <v>30</v>
      </c>
      <c r="C39" s="1281">
        <v>23109</v>
      </c>
      <c r="D39" s="1281">
        <v>367692182.99642998</v>
      </c>
      <c r="E39" s="1281">
        <v>36174</v>
      </c>
      <c r="F39" s="1281">
        <v>145345695.72144899</v>
      </c>
    </row>
    <row r="40" spans="1:6">
      <c r="A40" s="1280" t="s">
        <v>29</v>
      </c>
      <c r="B40" s="1280" t="s">
        <v>28</v>
      </c>
      <c r="C40" s="1281">
        <v>0</v>
      </c>
      <c r="D40" s="1281">
        <v>0</v>
      </c>
      <c r="E40" s="1281">
        <v>0</v>
      </c>
      <c r="F40" s="1281">
        <v>0</v>
      </c>
    </row>
    <row r="41" spans="1:6">
      <c r="A41" s="1280" t="s">
        <v>31</v>
      </c>
      <c r="B41" s="1280" t="s">
        <v>32</v>
      </c>
      <c r="C41" s="1281">
        <v>207</v>
      </c>
      <c r="D41" s="1281">
        <v>16619574.711086599</v>
      </c>
      <c r="E41" s="1281">
        <v>508</v>
      </c>
      <c r="F41" s="1281">
        <v>22108933.714796901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12</v>
      </c>
      <c r="D44" s="1281">
        <v>7201916.6232561003</v>
      </c>
      <c r="E44" s="1281">
        <v>26</v>
      </c>
      <c r="F44" s="1281">
        <v>3595809.4308847999</v>
      </c>
    </row>
    <row r="45" spans="1:6">
      <c r="A45" s="1280" t="s">
        <v>31</v>
      </c>
      <c r="B45" s="1280" t="s">
        <v>36</v>
      </c>
      <c r="C45" s="1281">
        <v>3</v>
      </c>
      <c r="D45" s="1281">
        <v>165695.65263736501</v>
      </c>
      <c r="E45" s="1281">
        <v>4</v>
      </c>
      <c r="F45" s="1281">
        <v>201397.32367093</v>
      </c>
    </row>
    <row r="46" spans="1:6">
      <c r="A46" s="1280" t="s">
        <v>31</v>
      </c>
      <c r="B46" s="1280" t="s">
        <v>37</v>
      </c>
      <c r="C46" s="1281">
        <v>0</v>
      </c>
      <c r="D46" s="1281">
        <v>0</v>
      </c>
      <c r="E46" s="1281">
        <v>0</v>
      </c>
      <c r="F46" s="1281">
        <v>0</v>
      </c>
    </row>
    <row r="47" spans="1:6">
      <c r="A47" s="1280" t="s">
        <v>31</v>
      </c>
      <c r="B47" s="1280" t="s">
        <v>38</v>
      </c>
      <c r="C47" s="1281">
        <v>4</v>
      </c>
      <c r="D47" s="1281">
        <v>64739.796524721402</v>
      </c>
      <c r="E47" s="1281">
        <v>6</v>
      </c>
      <c r="F47" s="1281">
        <v>56465.449186930397</v>
      </c>
    </row>
    <row r="48" spans="1:6">
      <c r="A48" s="1280" t="s">
        <v>31</v>
      </c>
      <c r="B48" s="1280" t="s">
        <v>28</v>
      </c>
      <c r="C48" s="1281">
        <v>105</v>
      </c>
      <c r="D48" s="1281">
        <v>131946184.772442</v>
      </c>
      <c r="E48" s="1281">
        <v>153</v>
      </c>
      <c r="F48" s="1281">
        <v>54029852.451032199</v>
      </c>
    </row>
    <row r="49" spans="1:6">
      <c r="A49" s="1280" t="s">
        <v>31</v>
      </c>
      <c r="B49" s="1280" t="s">
        <v>39</v>
      </c>
      <c r="C49" s="1281">
        <v>7</v>
      </c>
      <c r="D49" s="1281">
        <v>258407.46555379601</v>
      </c>
      <c r="E49" s="1281">
        <v>16</v>
      </c>
      <c r="F49" s="1281">
        <v>138458.82593364001</v>
      </c>
    </row>
    <row r="50" spans="1:6">
      <c r="A50" s="1280" t="s">
        <v>31</v>
      </c>
      <c r="B50" s="1280" t="s">
        <v>40</v>
      </c>
      <c r="C50" s="1281">
        <v>35</v>
      </c>
      <c r="D50" s="1281">
        <v>2292599.6736883498</v>
      </c>
      <c r="E50" s="1281">
        <v>78</v>
      </c>
      <c r="F50" s="1281">
        <v>4408995.6551916897</v>
      </c>
    </row>
    <row r="51" spans="1:6">
      <c r="A51" s="1280" t="s">
        <v>41</v>
      </c>
      <c r="B51" s="1280" t="s">
        <v>42</v>
      </c>
      <c r="C51" s="1281">
        <v>6</v>
      </c>
      <c r="D51" s="1281">
        <v>271219.01463932398</v>
      </c>
      <c r="E51" s="1281">
        <v>131</v>
      </c>
      <c r="F51" s="1281">
        <v>1295527.6681069001</v>
      </c>
    </row>
    <row r="52" spans="1:6">
      <c r="A52" s="1280" t="s">
        <v>41</v>
      </c>
      <c r="B52" s="1280" t="s">
        <v>28</v>
      </c>
      <c r="C52" s="1281">
        <v>17</v>
      </c>
      <c r="D52" s="1281">
        <v>326818.30559616402</v>
      </c>
      <c r="E52" s="1281">
        <v>23</v>
      </c>
      <c r="F52" s="1281">
        <v>527324.50425963302</v>
      </c>
    </row>
    <row r="53" spans="1:6">
      <c r="A53" s="1280" t="s">
        <v>43</v>
      </c>
      <c r="B53" s="1280" t="s">
        <v>44</v>
      </c>
      <c r="C53" s="1281">
        <v>1020</v>
      </c>
      <c r="D53" s="1281">
        <v>24256807.158886299</v>
      </c>
      <c r="E53" s="1281">
        <v>1695</v>
      </c>
      <c r="F53" s="1281">
        <v>12286604.088392699</v>
      </c>
    </row>
    <row r="54" spans="1:6">
      <c r="A54" s="1280" t="s">
        <v>45</v>
      </c>
      <c r="B54" s="1280" t="s">
        <v>46</v>
      </c>
      <c r="C54" s="1281">
        <v>0</v>
      </c>
      <c r="D54" s="1281">
        <v>0</v>
      </c>
      <c r="E54" s="1281">
        <v>1</v>
      </c>
      <c r="F54" s="1281">
        <v>4289243</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227</v>
      </c>
      <c r="D57" s="1281">
        <v>12174809.105180301</v>
      </c>
      <c r="E57" s="1281">
        <v>348</v>
      </c>
      <c r="F57" s="1281">
        <v>10725038.940663099</v>
      </c>
    </row>
    <row r="58" spans="1:6">
      <c r="A58" s="1280" t="s">
        <v>48</v>
      </c>
      <c r="B58" s="1280" t="s">
        <v>50</v>
      </c>
      <c r="C58" s="1281">
        <v>106</v>
      </c>
      <c r="D58" s="1281">
        <v>29280854.035911601</v>
      </c>
      <c r="E58" s="1281">
        <v>161</v>
      </c>
      <c r="F58" s="1281">
        <v>26124440.205657899</v>
      </c>
    </row>
    <row r="59" spans="1:6">
      <c r="A59" s="1280" t="s">
        <v>48</v>
      </c>
      <c r="B59" s="1280" t="s">
        <v>51</v>
      </c>
      <c r="C59" s="1281">
        <v>643</v>
      </c>
      <c r="D59" s="1281">
        <v>30004786.441641401</v>
      </c>
      <c r="E59" s="1281">
        <v>1242</v>
      </c>
      <c r="F59" s="1281">
        <v>45712300.996151596</v>
      </c>
    </row>
    <row r="60" spans="1:6">
      <c r="A60" s="1280" t="s">
        <v>48</v>
      </c>
      <c r="B60" s="1280" t="s">
        <v>52</v>
      </c>
      <c r="C60" s="1281">
        <v>287</v>
      </c>
      <c r="D60" s="1281">
        <v>11782706.679826699</v>
      </c>
      <c r="E60" s="1281">
        <v>365</v>
      </c>
      <c r="F60" s="1281">
        <v>9658820.8735289592</v>
      </c>
    </row>
    <row r="61" spans="1:6">
      <c r="A61" s="1280" t="s">
        <v>48</v>
      </c>
      <c r="B61" s="1280" t="s">
        <v>53</v>
      </c>
      <c r="C61" s="1281">
        <v>700</v>
      </c>
      <c r="D61" s="1281">
        <v>46432838.892302498</v>
      </c>
      <c r="E61" s="1281">
        <v>1705</v>
      </c>
      <c r="F61" s="1281">
        <v>23988759.802491002</v>
      </c>
    </row>
    <row r="62" spans="1:6">
      <c r="A62" s="1280" t="s">
        <v>48</v>
      </c>
      <c r="B62" s="1280" t="s">
        <v>54</v>
      </c>
      <c r="C62" s="1281">
        <v>68</v>
      </c>
      <c r="D62" s="1281">
        <v>19870790.9724668</v>
      </c>
      <c r="E62" s="1281">
        <v>59</v>
      </c>
      <c r="F62" s="1281">
        <v>4278877.7846869798</v>
      </c>
    </row>
    <row r="63" spans="1:6">
      <c r="A63" s="1280" t="s">
        <v>48</v>
      </c>
      <c r="B63" s="1280" t="s">
        <v>28</v>
      </c>
      <c r="C63" s="1281">
        <v>266</v>
      </c>
      <c r="D63" s="1281">
        <v>19222553.1283889</v>
      </c>
      <c r="E63" s="1281">
        <v>334</v>
      </c>
      <c r="F63" s="1281">
        <v>12548327.026786899</v>
      </c>
    </row>
    <row r="64" spans="1:6">
      <c r="A64" s="1280" t="s">
        <v>55</v>
      </c>
      <c r="B64" s="1280" t="s">
        <v>56</v>
      </c>
      <c r="C64" s="1281">
        <v>0</v>
      </c>
      <c r="D64" s="1281">
        <v>0</v>
      </c>
      <c r="E64" s="1281">
        <v>0</v>
      </c>
      <c r="F64" s="1281">
        <v>0</v>
      </c>
    </row>
    <row r="65" spans="1:6">
      <c r="A65" s="1280" t="s">
        <v>55</v>
      </c>
      <c r="B65" s="1280" t="s">
        <v>28</v>
      </c>
      <c r="C65" s="1281">
        <v>3</v>
      </c>
      <c r="D65" s="1281">
        <v>119386.745908885</v>
      </c>
      <c r="E65" s="1281">
        <v>5</v>
      </c>
      <c r="F65" s="1281">
        <v>101462.31572919901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13</v>
      </c>
      <c r="D68" s="1283">
        <v>449569.03970029199</v>
      </c>
      <c r="E68" s="1283">
        <v>32</v>
      </c>
      <c r="F68" s="1283">
        <v>581891.23429227795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199159714</v>
      </c>
      <c r="E73" s="445"/>
      <c r="F73" s="326"/>
    </row>
    <row r="74" spans="1:6">
      <c r="A74" s="1280" t="s">
        <v>63</v>
      </c>
      <c r="B74" s="1280" t="s">
        <v>754</v>
      </c>
      <c r="C74" s="1293" t="s">
        <v>755</v>
      </c>
      <c r="D74" s="1281">
        <v>21391605.363202326</v>
      </c>
      <c r="E74" s="445"/>
      <c r="F74" s="326"/>
    </row>
    <row r="75" spans="1:6">
      <c r="A75" s="1280" t="s">
        <v>64</v>
      </c>
      <c r="B75" s="1280" t="s">
        <v>752</v>
      </c>
      <c r="C75" s="1293" t="s">
        <v>756</v>
      </c>
      <c r="D75" s="1281">
        <v>136489549</v>
      </c>
      <c r="E75" s="445"/>
      <c r="F75" s="326"/>
    </row>
    <row r="76" spans="1:6">
      <c r="A76" s="1280" t="s">
        <v>64</v>
      </c>
      <c r="B76" s="1280" t="s">
        <v>754</v>
      </c>
      <c r="C76" s="1293" t="s">
        <v>757</v>
      </c>
      <c r="D76" s="1281">
        <v>10048568.363202326</v>
      </c>
      <c r="E76" s="445"/>
      <c r="F76" s="326"/>
    </row>
    <row r="77" spans="1:6">
      <c r="A77" s="1280" t="s">
        <v>65</v>
      </c>
      <c r="B77" s="1280" t="s">
        <v>752</v>
      </c>
      <c r="C77" s="1293" t="s">
        <v>758</v>
      </c>
      <c r="D77" s="1281">
        <v>265086576</v>
      </c>
      <c r="E77" s="445"/>
      <c r="F77" s="326"/>
    </row>
    <row r="78" spans="1:6">
      <c r="A78" s="1275" t="s">
        <v>65</v>
      </c>
      <c r="B78" s="1275" t="s">
        <v>754</v>
      </c>
      <c r="C78" s="1275" t="s">
        <v>759</v>
      </c>
      <c r="D78" s="1283">
        <v>32938166</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3339463.2735953471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5619.5929646064133</v>
      </c>
      <c r="C91" s="326"/>
      <c r="D91" s="326"/>
      <c r="E91" s="326"/>
      <c r="F91" s="326"/>
    </row>
    <row r="92" spans="1:6">
      <c r="A92" s="1275" t="s">
        <v>68</v>
      </c>
      <c r="B92" s="1276">
        <v>4898.4584031225013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15443</v>
      </c>
      <c r="C97" s="326"/>
      <c r="D97" s="326"/>
      <c r="E97" s="326"/>
      <c r="F97" s="326"/>
    </row>
    <row r="98" spans="1:6">
      <c r="A98" s="1280" t="s">
        <v>71</v>
      </c>
      <c r="B98" s="1281">
        <v>0</v>
      </c>
      <c r="C98" s="326"/>
      <c r="D98" s="326"/>
      <c r="E98" s="326"/>
      <c r="F98" s="326"/>
    </row>
    <row r="99" spans="1:6">
      <c r="A99" s="1280" t="s">
        <v>72</v>
      </c>
      <c r="B99" s="1281">
        <v>323</v>
      </c>
      <c r="C99" s="326"/>
      <c r="D99" s="326"/>
      <c r="E99" s="326"/>
      <c r="F99" s="326"/>
    </row>
    <row r="100" spans="1:6">
      <c r="A100" s="1280" t="s">
        <v>73</v>
      </c>
      <c r="B100" s="1281">
        <v>2629</v>
      </c>
      <c r="C100" s="326"/>
      <c r="D100" s="326"/>
      <c r="E100" s="326"/>
      <c r="F100" s="326"/>
    </row>
    <row r="101" spans="1:6">
      <c r="A101" s="1280" t="s">
        <v>74</v>
      </c>
      <c r="B101" s="1281">
        <v>231</v>
      </c>
      <c r="C101" s="326"/>
      <c r="D101" s="326"/>
      <c r="E101" s="326"/>
      <c r="F101" s="326"/>
    </row>
    <row r="102" spans="1:6">
      <c r="A102" s="1280" t="s">
        <v>75</v>
      </c>
      <c r="B102" s="1281">
        <v>1339</v>
      </c>
      <c r="C102" s="326"/>
      <c r="D102" s="326"/>
      <c r="E102" s="326"/>
      <c r="F102" s="326"/>
    </row>
    <row r="103" spans="1:6">
      <c r="A103" s="1280" t="s">
        <v>76</v>
      </c>
      <c r="B103" s="1281">
        <v>1079</v>
      </c>
      <c r="C103" s="326"/>
      <c r="D103" s="326"/>
      <c r="E103" s="326"/>
      <c r="F103" s="326"/>
    </row>
    <row r="104" spans="1:6">
      <c r="A104" s="1280" t="s">
        <v>77</v>
      </c>
      <c r="B104" s="1281">
        <v>10625</v>
      </c>
      <c r="C104" s="326"/>
      <c r="D104" s="326"/>
      <c r="E104" s="326"/>
      <c r="F104" s="326"/>
    </row>
    <row r="105" spans="1:6">
      <c r="A105" s="1275" t="s">
        <v>78</v>
      </c>
      <c r="B105" s="1283">
        <v>174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24</v>
      </c>
      <c r="C123" s="1281">
        <v>22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134</v>
      </c>
      <c r="C129" s="326"/>
      <c r="D129" s="326"/>
      <c r="E129" s="326"/>
      <c r="F129" s="326"/>
    </row>
    <row r="130" spans="1:6">
      <c r="A130" s="1280" t="s">
        <v>284</v>
      </c>
      <c r="B130" s="1281">
        <v>4</v>
      </c>
      <c r="C130" s="326"/>
      <c r="D130" s="326"/>
      <c r="E130" s="326"/>
      <c r="F130" s="326"/>
    </row>
    <row r="131" spans="1:6">
      <c r="A131" s="1280" t="s">
        <v>285</v>
      </c>
      <c r="B131" s="1281">
        <v>6</v>
      </c>
      <c r="C131" s="326"/>
      <c r="D131" s="326"/>
      <c r="E131" s="326"/>
      <c r="F131" s="326"/>
    </row>
    <row r="132" spans="1:6">
      <c r="A132" s="1275" t="s">
        <v>286</v>
      </c>
      <c r="B132" s="1276">
        <v>18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387003.30467311031</v>
      </c>
      <c r="C3" s="43" t="s">
        <v>163</v>
      </c>
      <c r="D3" s="43"/>
      <c r="E3" s="156"/>
      <c r="F3" s="43"/>
      <c r="G3" s="43"/>
      <c r="H3" s="43"/>
      <c r="I3" s="43"/>
      <c r="J3" s="43"/>
      <c r="K3" s="96"/>
    </row>
    <row r="4" spans="1:11">
      <c r="A4" s="352" t="s">
        <v>164</v>
      </c>
      <c r="B4" s="49">
        <f>IF(ISERROR('SEAP template'!B78+'SEAP template'!C78),0,'SEAP template'!B78+'SEAP template'!C78)</f>
        <v>10518.051367728915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0.21499361885493068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4289.2430000000004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4289.2430000000004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0.21499361885493068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922.15987471817948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145345.69572144898</v>
      </c>
      <c r="C5" s="17">
        <f>IF(ISERROR('Eigen informatie GS &amp; warmtenet'!B57),0,'Eigen informatie GS &amp; warmtenet'!B57)</f>
        <v>0</v>
      </c>
      <c r="D5" s="30">
        <f>(SUM(HH_hh_gas_kWh,HH_rest_gas_kWh)/1000)*0.902</f>
        <v>331658.34906277986</v>
      </c>
      <c r="E5" s="17">
        <f>B32*B41</f>
        <v>6869.7647124012365</v>
      </c>
      <c r="F5" s="17">
        <f>B36*B45</f>
        <v>234495.26665700343</v>
      </c>
      <c r="G5" s="18"/>
      <c r="H5" s="17"/>
      <c r="I5" s="17"/>
      <c r="J5" s="17">
        <f>B35*B44+C35*C44</f>
        <v>5280.2388922716927</v>
      </c>
      <c r="K5" s="17"/>
      <c r="L5" s="17"/>
      <c r="M5" s="17"/>
      <c r="N5" s="17">
        <f>B34*B43+C34*C43</f>
        <v>43406.452154506325</v>
      </c>
      <c r="O5" s="17">
        <f>B52*B53*B54</f>
        <v>243.88000000000002</v>
      </c>
      <c r="P5" s="17">
        <f>B60*B61*B62/1000-B60*B61*B62/1000/B63</f>
        <v>800.8</v>
      </c>
    </row>
    <row r="6" spans="1:16">
      <c r="A6" s="16" t="s">
        <v>615</v>
      </c>
      <c r="B6" s="766">
        <f>kWh_PV_kleiner_dan_10kW</f>
        <v>5619.5929646064133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150965.2886860554</v>
      </c>
      <c r="C8" s="21">
        <f>C5</f>
        <v>0</v>
      </c>
      <c r="D8" s="21">
        <f>D5</f>
        <v>331658.34906277986</v>
      </c>
      <c r="E8" s="21">
        <f>E5</f>
        <v>6869.7647124012365</v>
      </c>
      <c r="F8" s="21">
        <f>F5</f>
        <v>234495.26665700343</v>
      </c>
      <c r="G8" s="21"/>
      <c r="H8" s="21"/>
      <c r="I8" s="21"/>
      <c r="J8" s="21">
        <f>J5</f>
        <v>5280.2388922716927</v>
      </c>
      <c r="K8" s="21"/>
      <c r="L8" s="21">
        <f>L5</f>
        <v>0</v>
      </c>
      <c r="M8" s="21">
        <f>M5</f>
        <v>0</v>
      </c>
      <c r="N8" s="21">
        <f>N5</f>
        <v>43406.452154506325</v>
      </c>
      <c r="O8" s="21">
        <f>O5</f>
        <v>243.88000000000002</v>
      </c>
      <c r="P8" s="21">
        <f>P5</f>
        <v>800.8</v>
      </c>
    </row>
    <row r="9" spans="1:16">
      <c r="B9" s="19"/>
      <c r="C9" s="19"/>
      <c r="D9" s="256"/>
      <c r="E9" s="19"/>
      <c r="F9" s="19"/>
      <c r="G9" s="19"/>
      <c r="H9" s="19"/>
      <c r="I9" s="19"/>
      <c r="J9" s="19"/>
      <c r="K9" s="19"/>
      <c r="L9" s="19"/>
      <c r="M9" s="19"/>
      <c r="N9" s="19"/>
      <c r="O9" s="19"/>
      <c r="P9" s="19"/>
    </row>
    <row r="10" spans="1:16">
      <c r="A10" s="24" t="s">
        <v>207</v>
      </c>
      <c r="B10" s="25">
        <f ca="1">'EF ele_warmte'!B12</f>
        <v>0.21499361885493068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32456.573736094375</v>
      </c>
      <c r="C12" s="23">
        <f ca="1">C10*C8</f>
        <v>0</v>
      </c>
      <c r="D12" s="23">
        <f>D8*D10</f>
        <v>66994.986510681541</v>
      </c>
      <c r="E12" s="23">
        <f>E10*E8</f>
        <v>1559.4365897150808</v>
      </c>
      <c r="F12" s="23">
        <f>F10*F8</f>
        <v>62610.236197419923</v>
      </c>
      <c r="G12" s="23"/>
      <c r="H12" s="23"/>
      <c r="I12" s="23"/>
      <c r="J12" s="23">
        <f>J10*J8</f>
        <v>1869.2045678641791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36228</v>
      </c>
      <c r="C26" s="36"/>
      <c r="D26" s="226"/>
    </row>
    <row r="27" spans="1:5" s="15" customFormat="1">
      <c r="A27" s="228" t="s">
        <v>695</v>
      </c>
      <c r="B27" s="37">
        <f>SUM(HH_hh_gas_aantal,HH_rest_gas_aantal)</f>
        <v>23109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21953.55</v>
      </c>
      <c r="C31" s="34" t="s">
        <v>104</v>
      </c>
      <c r="D31" s="172"/>
    </row>
    <row r="32" spans="1:5">
      <c r="A32" s="169" t="s">
        <v>72</v>
      </c>
      <c r="B32" s="33">
        <f>IF((B21*($B$26-($B$27-0.05*$B$27)-$B$60))&lt;0,0,B21*($B$26-($B$27-0.05*$B$27)-$B$60))</f>
        <v>100.90193135144894</v>
      </c>
      <c r="C32" s="34" t="s">
        <v>104</v>
      </c>
      <c r="D32" s="172"/>
    </row>
    <row r="33" spans="1:6">
      <c r="A33" s="169" t="s">
        <v>73</v>
      </c>
      <c r="B33" s="33">
        <f>IF((B22*($B$26-($B$27-0.05*$B$27)-$B$60))&lt;0,0,B22*($B$26-($B$27-0.05*$B$27)-$B$60))</f>
        <v>2891.835624378602</v>
      </c>
      <c r="C33" s="34" t="s">
        <v>104</v>
      </c>
      <c r="D33" s="172"/>
    </row>
    <row r="34" spans="1:6">
      <c r="A34" s="169" t="s">
        <v>74</v>
      </c>
      <c r="B34" s="33">
        <f>IF((B24*($B$26-($B$27-0.05*$B$27)-$B$60))&lt;0,0,B24*($B$26-($B$27-0.05*$B$27)-$B$60))</f>
        <v>576.66258534276812</v>
      </c>
      <c r="C34" s="33">
        <f>B26*C24</f>
        <v>7407.8150264384121</v>
      </c>
      <c r="D34" s="231"/>
    </row>
    <row r="35" spans="1:6">
      <c r="A35" s="169" t="s">
        <v>76</v>
      </c>
      <c r="B35" s="33">
        <f>IF((B19*($B$26-($B$27-0.05*$B$27)-$B$60))&lt;0,0,B19*($B$26-($B$27-0.05*$B$27)-$B$60))</f>
        <v>300.30336711740762</v>
      </c>
      <c r="C35" s="33">
        <f>B35/2</f>
        <v>150.15168355870381</v>
      </c>
      <c r="D35" s="231"/>
    </row>
    <row r="36" spans="1:6">
      <c r="A36" s="169" t="s">
        <v>77</v>
      </c>
      <c r="B36" s="33">
        <f>IF((B18*($B$26-($B$27-0.05*$B$27)-$B$60))&lt;0,0,B18*($B$26-($B$27-0.05*$B$27)-$B$60))</f>
        <v>10362.746491809774</v>
      </c>
      <c r="C36" s="34" t="s">
        <v>104</v>
      </c>
      <c r="D36" s="172"/>
    </row>
    <row r="37" spans="1:6">
      <c r="A37" s="169" t="s">
        <v>78</v>
      </c>
      <c r="B37" s="33">
        <f>B60</f>
        <v>42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156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133036.56562996644</v>
      </c>
      <c r="C5" s="17">
        <f>IF(ISERROR('Eigen informatie GS &amp; warmtenet'!B58),0,'Eigen informatie GS &amp; warmtenet'!B58)</f>
        <v>0</v>
      </c>
      <c r="D5" s="30">
        <f>SUM(D6:D12)</f>
        <v>152229.9440086578</v>
      </c>
      <c r="E5" s="17">
        <f>SUM(E6:E12)</f>
        <v>1967.8630635304226</v>
      </c>
      <c r="F5" s="17">
        <f>SUM(F6:F12)</f>
        <v>27217.82940905328</v>
      </c>
      <c r="G5" s="18"/>
      <c r="H5" s="17"/>
      <c r="I5" s="17"/>
      <c r="J5" s="17">
        <f>SUM(J6:J12)</f>
        <v>0</v>
      </c>
      <c r="K5" s="17"/>
      <c r="L5" s="17"/>
      <c r="M5" s="17"/>
      <c r="N5" s="17">
        <f>SUM(N6:N12)</f>
        <v>3272.9909736352729</v>
      </c>
      <c r="O5" s="17">
        <f>B38*B39*B40</f>
        <v>6.2533333333333339</v>
      </c>
      <c r="P5" s="17">
        <f>B46*B47*B48/1000-B46*B47*B48/1000/B49</f>
        <v>114.4</v>
      </c>
      <c r="R5" s="32"/>
    </row>
    <row r="6" spans="1:18">
      <c r="A6" s="32" t="s">
        <v>53</v>
      </c>
      <c r="B6" s="37">
        <f>B26</f>
        <v>23988.759802491</v>
      </c>
      <c r="C6" s="33"/>
      <c r="D6" s="37">
        <f>IF(ISERROR(TER_kantoor_gas_kWh/1000),0,TER_kantoor_gas_kWh/1000)*0.902</f>
        <v>41882.420680856856</v>
      </c>
      <c r="E6" s="33">
        <f>$C$26*'E Balans VL '!I12/100/3.6*1000000</f>
        <v>839.7009587903417</v>
      </c>
      <c r="F6" s="33">
        <f>$C$26*('E Balans VL '!L12+'E Balans VL '!N12)/100/3.6*1000000</f>
        <v>3637.211019683728</v>
      </c>
      <c r="G6" s="34"/>
      <c r="H6" s="33"/>
      <c r="I6" s="33"/>
      <c r="J6" s="33">
        <f>$C$26*('E Balans VL '!D12+'E Balans VL '!E12)/100/3.6*1000000</f>
        <v>0</v>
      </c>
      <c r="K6" s="33"/>
      <c r="L6" s="33"/>
      <c r="M6" s="33"/>
      <c r="N6" s="33">
        <f>$C$26*'E Balans VL '!Y12/100/3.6*1000000</f>
        <v>185.42560499807425</v>
      </c>
      <c r="O6" s="33"/>
      <c r="P6" s="33"/>
      <c r="R6" s="32"/>
    </row>
    <row r="7" spans="1:18">
      <c r="A7" s="32" t="s">
        <v>52</v>
      </c>
      <c r="B7" s="37">
        <f t="shared" ref="B7:B12" si="0">B27</f>
        <v>9658.8208735289591</v>
      </c>
      <c r="C7" s="33"/>
      <c r="D7" s="37">
        <f>IF(ISERROR(TER_horeca_gas_kWh/1000),0,TER_horeca_gas_kWh/1000)*0.902</f>
        <v>10628.001425203682</v>
      </c>
      <c r="E7" s="33">
        <f>$C$27*'E Balans VL '!I9/100/3.6*1000000</f>
        <v>544.88592830639345</v>
      </c>
      <c r="F7" s="33">
        <f>$C$27*('E Balans VL '!L9+'E Balans VL '!N9)/100/3.6*1000000</f>
        <v>1682.6200487697581</v>
      </c>
      <c r="G7" s="34"/>
      <c r="H7" s="33"/>
      <c r="I7" s="33"/>
      <c r="J7" s="33">
        <f>$C$27*('E Balans VL '!D9+'E Balans VL '!E9)/100/3.6*1000000</f>
        <v>0</v>
      </c>
      <c r="K7" s="33"/>
      <c r="L7" s="33"/>
      <c r="M7" s="33"/>
      <c r="N7" s="33">
        <f>$C$27*'E Balans VL '!Y9/100/3.6*1000000</f>
        <v>0</v>
      </c>
      <c r="O7" s="33"/>
      <c r="P7" s="33"/>
      <c r="R7" s="32"/>
    </row>
    <row r="8" spans="1:18">
      <c r="A8" s="6" t="s">
        <v>51</v>
      </c>
      <c r="B8" s="37">
        <f t="shared" si="0"/>
        <v>45712.300996151593</v>
      </c>
      <c r="C8" s="33"/>
      <c r="D8" s="37">
        <f>IF(ISERROR(TER_handel_gas_kWh/1000),0,TER_handel_gas_kWh/1000)*0.902</f>
        <v>27064.317370360546</v>
      </c>
      <c r="E8" s="33">
        <f>$C$28*'E Balans VL '!I13/100/3.6*1000000</f>
        <v>234.68230901181906</v>
      </c>
      <c r="F8" s="33">
        <f>$C$28*('E Balans VL '!L13+'E Balans VL '!N13)/100/3.6*1000000</f>
        <v>7048.1304860484961</v>
      </c>
      <c r="G8" s="34"/>
      <c r="H8" s="33"/>
      <c r="I8" s="33"/>
      <c r="J8" s="33">
        <f>$C$28*('E Balans VL '!D13+'E Balans VL '!E13)/100/3.6*1000000</f>
        <v>0</v>
      </c>
      <c r="K8" s="33"/>
      <c r="L8" s="33"/>
      <c r="M8" s="33"/>
      <c r="N8" s="33">
        <f>$C$28*'E Balans VL '!Y13/100/3.6*1000000</f>
        <v>21.380201169641808</v>
      </c>
      <c r="O8" s="33"/>
      <c r="P8" s="33"/>
      <c r="R8" s="32"/>
    </row>
    <row r="9" spans="1:18">
      <c r="A9" s="32" t="s">
        <v>50</v>
      </c>
      <c r="B9" s="37">
        <f t="shared" si="0"/>
        <v>26124.440205657898</v>
      </c>
      <c r="C9" s="33"/>
      <c r="D9" s="37">
        <f>IF(ISERROR(TER_gezond_gas_kWh/1000),0,TER_gezond_gas_kWh/1000)*0.902</f>
        <v>26411.330340392265</v>
      </c>
      <c r="E9" s="33">
        <f>$C$29*'E Balans VL '!I10/100/3.6*1000000</f>
        <v>10.828394413650106</v>
      </c>
      <c r="F9" s="33">
        <f>$C$29*('E Balans VL '!L10+'E Balans VL '!N10)/100/3.6*1000000</f>
        <v>6434.0749482022202</v>
      </c>
      <c r="G9" s="34"/>
      <c r="H9" s="33"/>
      <c r="I9" s="33"/>
      <c r="J9" s="33">
        <f>$C$29*('E Balans VL '!D10+'E Balans VL '!E10)/100/3.6*1000000</f>
        <v>0</v>
      </c>
      <c r="K9" s="33"/>
      <c r="L9" s="33"/>
      <c r="M9" s="33"/>
      <c r="N9" s="33">
        <f>$C$29*'E Balans VL '!Y10/100/3.6*1000000</f>
        <v>225.77982463502696</v>
      </c>
      <c r="O9" s="33"/>
      <c r="P9" s="33"/>
      <c r="R9" s="32"/>
    </row>
    <row r="10" spans="1:18">
      <c r="A10" s="32" t="s">
        <v>49</v>
      </c>
      <c r="B10" s="37">
        <f t="shared" si="0"/>
        <v>10725.038940663098</v>
      </c>
      <c r="C10" s="33"/>
      <c r="D10" s="37">
        <f>IF(ISERROR(TER_ander_gas_kWh/1000),0,TER_ander_gas_kWh/1000)*0.902</f>
        <v>10981.677812872631</v>
      </c>
      <c r="E10" s="33">
        <f>$C$30*'E Balans VL '!I14/100/3.6*1000000</f>
        <v>65.380101997923177</v>
      </c>
      <c r="F10" s="33">
        <f>$C$30*('E Balans VL '!L14+'E Balans VL '!N14)/100/3.6*1000000</f>
        <v>2843.3547395378268</v>
      </c>
      <c r="G10" s="34"/>
      <c r="H10" s="33"/>
      <c r="I10" s="33"/>
      <c r="J10" s="33">
        <f>$C$30*('E Balans VL '!D14+'E Balans VL '!E14)/100/3.6*1000000</f>
        <v>0</v>
      </c>
      <c r="K10" s="33"/>
      <c r="L10" s="33"/>
      <c r="M10" s="33"/>
      <c r="N10" s="33">
        <f>$C$30*'E Balans VL '!Y14/100/3.6*1000000</f>
        <v>2471.8897247891896</v>
      </c>
      <c r="O10" s="33"/>
      <c r="P10" s="33"/>
      <c r="R10" s="32"/>
    </row>
    <row r="11" spans="1:18">
      <c r="A11" s="32" t="s">
        <v>54</v>
      </c>
      <c r="B11" s="37">
        <f t="shared" si="0"/>
        <v>4278.8777846869798</v>
      </c>
      <c r="C11" s="33"/>
      <c r="D11" s="37">
        <f>IF(ISERROR(TER_onderwijs_gas_kWh/1000),0,TER_onderwijs_gas_kWh/1000)*0.902</f>
        <v>17923.453457165055</v>
      </c>
      <c r="E11" s="33">
        <f>$C$31*'E Balans VL '!I11/100/3.6*1000000</f>
        <v>3.260727675451498</v>
      </c>
      <c r="F11" s="33">
        <f>$C$31*('E Balans VL '!L11+'E Balans VL '!N11)/100/3.6*1000000</f>
        <v>3096.4304572588126</v>
      </c>
      <c r="G11" s="34"/>
      <c r="H11" s="33"/>
      <c r="I11" s="33"/>
      <c r="J11" s="33">
        <f>$C$31*('E Balans VL '!D11+'E Balans VL '!E11)/100/3.6*1000000</f>
        <v>0</v>
      </c>
      <c r="K11" s="33"/>
      <c r="L11" s="33"/>
      <c r="M11" s="33"/>
      <c r="N11" s="33">
        <f>$C$31*'E Balans VL '!Y11/100/3.6*1000000</f>
        <v>12.610875464628684</v>
      </c>
      <c r="O11" s="33"/>
      <c r="P11" s="33"/>
      <c r="R11" s="32"/>
    </row>
    <row r="12" spans="1:18">
      <c r="A12" s="32" t="s">
        <v>249</v>
      </c>
      <c r="B12" s="37">
        <f t="shared" si="0"/>
        <v>12548.327026786899</v>
      </c>
      <c r="C12" s="33"/>
      <c r="D12" s="37">
        <f>IF(ISERROR(TER_rest_gas_kWh/1000),0,TER_rest_gas_kWh/1000)*0.902</f>
        <v>17338.742921806788</v>
      </c>
      <c r="E12" s="33">
        <f>$C$32*'E Balans VL '!I8/100/3.6*1000000</f>
        <v>269.12464333484343</v>
      </c>
      <c r="F12" s="33">
        <f>$C$32*('E Balans VL '!L8+'E Balans VL '!N8)/100/3.6*1000000</f>
        <v>2476.0077095524375</v>
      </c>
      <c r="G12" s="34"/>
      <c r="H12" s="33"/>
      <c r="I12" s="33"/>
      <c r="J12" s="33">
        <f>$C$32*('E Balans VL '!D8+'E Balans VL '!E8)/100/3.6*1000000</f>
        <v>0</v>
      </c>
      <c r="K12" s="33"/>
      <c r="L12" s="33"/>
      <c r="M12" s="33"/>
      <c r="N12" s="33">
        <f>$C$32*'E Balans VL '!Y8/100/3.6*1000000</f>
        <v>355.90474257871165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133036.56562996644</v>
      </c>
      <c r="C16" s="21">
        <f ca="1">C5+C13+C14</f>
        <v>0</v>
      </c>
      <c r="D16" s="21">
        <f t="shared" ref="D16:N16" ca="1" si="1">MAX((D5+D13+D14),0)</f>
        <v>152229.9440086578</v>
      </c>
      <c r="E16" s="21">
        <f t="shared" si="1"/>
        <v>1967.8630635304226</v>
      </c>
      <c r="F16" s="21">
        <f t="shared" ca="1" si="1"/>
        <v>27217.82940905328</v>
      </c>
      <c r="G16" s="21">
        <f t="shared" si="1"/>
        <v>0</v>
      </c>
      <c r="H16" s="21">
        <f t="shared" si="1"/>
        <v>0</v>
      </c>
      <c r="I16" s="21">
        <f t="shared" si="1"/>
        <v>0</v>
      </c>
      <c r="J16" s="21">
        <f t="shared" si="1"/>
        <v>0</v>
      </c>
      <c r="K16" s="21">
        <f t="shared" si="1"/>
        <v>0</v>
      </c>
      <c r="L16" s="21">
        <f t="shared" ca="1" si="1"/>
        <v>0</v>
      </c>
      <c r="M16" s="21">
        <f t="shared" si="1"/>
        <v>0</v>
      </c>
      <c r="N16" s="21">
        <f t="shared" ca="1" si="1"/>
        <v>3272.9909736352729</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0.21499361885493068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28602.012684817975</v>
      </c>
      <c r="C20" s="23">
        <f t="shared" ref="C20:P20" ca="1" si="2">C16*C18</f>
        <v>0</v>
      </c>
      <c r="D20" s="23">
        <f t="shared" ca="1" si="2"/>
        <v>30750.448689748875</v>
      </c>
      <c r="E20" s="23">
        <f t="shared" si="2"/>
        <v>446.70491542140593</v>
      </c>
      <c r="F20" s="23">
        <f t="shared" ca="1" si="2"/>
        <v>7267.1604522172265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23988.759802491</v>
      </c>
      <c r="C26" s="39">
        <f>IF(ISERROR(B26*3.6/1000000/'E Balans VL '!Z12*100),0,B26*3.6/1000000/'E Balans VL '!Z12*100)</f>
        <v>0.50480366767980522</v>
      </c>
      <c r="D26" s="234" t="s">
        <v>700</v>
      </c>
      <c r="F26" s="6"/>
    </row>
    <row r="27" spans="1:18">
      <c r="A27" s="229" t="s">
        <v>52</v>
      </c>
      <c r="B27" s="33">
        <f>IF(ISERROR(TER_horeca_ele_kWh/1000),0,TER_horeca_ele_kWh/1000)</f>
        <v>9658.8208735289591</v>
      </c>
      <c r="C27" s="39">
        <f>IF(ISERROR(B27*3.6/1000000/'E Balans VL '!Z9*100),0,B27*3.6/1000000/'E Balans VL '!Z9*100)</f>
        <v>0.81778522232638551</v>
      </c>
      <c r="D27" s="234" t="s">
        <v>700</v>
      </c>
      <c r="F27" s="6"/>
    </row>
    <row r="28" spans="1:18">
      <c r="A28" s="169" t="s">
        <v>51</v>
      </c>
      <c r="B28" s="33">
        <f>IF(ISERROR(TER_handel_ele_kWh/1000),0,TER_handel_ele_kWh/1000)</f>
        <v>45712.300996151593</v>
      </c>
      <c r="C28" s="39">
        <f>IF(ISERROR(B28*3.6/1000000/'E Balans VL '!Z13*100),0,B28*3.6/1000000/'E Balans VL '!Z13*100)</f>
        <v>1.2655387320250979</v>
      </c>
      <c r="D28" s="234" t="s">
        <v>700</v>
      </c>
      <c r="F28" s="6"/>
    </row>
    <row r="29" spans="1:18">
      <c r="A29" s="229" t="s">
        <v>50</v>
      </c>
      <c r="B29" s="33">
        <f>IF(ISERROR(TER_gezond_ele_kWh/1000),0,TER_gezond_ele_kWh/1000)</f>
        <v>26124.440205657898</v>
      </c>
      <c r="C29" s="39">
        <f>IF(ISERROR(B29*3.6/1000000/'E Balans VL '!Z10*100),0,B29*3.6/1000000/'E Balans VL '!Z10*100)</f>
        <v>3.3958876035487613</v>
      </c>
      <c r="D29" s="234" t="s">
        <v>700</v>
      </c>
      <c r="F29" s="6"/>
    </row>
    <row r="30" spans="1:18">
      <c r="A30" s="229" t="s">
        <v>49</v>
      </c>
      <c r="B30" s="33">
        <f>IF(ISERROR(TER_ander_ele_kWh/1000),0,TER_ander_ele_kWh/1000)</f>
        <v>10725.038940663098</v>
      </c>
      <c r="C30" s="39">
        <f>IF(ISERROR(B30*3.6/1000000/'E Balans VL '!Z14*100),0,B30*3.6/1000000/'E Balans VL '!Z14*100)</f>
        <v>0.83128887402200025</v>
      </c>
      <c r="D30" s="234" t="s">
        <v>700</v>
      </c>
      <c r="F30" s="6"/>
    </row>
    <row r="31" spans="1:18">
      <c r="A31" s="229" t="s">
        <v>54</v>
      </c>
      <c r="B31" s="33">
        <f>IF(ISERROR(TER_onderwijs_ele_kWh/1000),0,TER_onderwijs_ele_kWh/1000)</f>
        <v>4278.8777846869798</v>
      </c>
      <c r="C31" s="39">
        <f>IF(ISERROR(B31*3.6/1000000/'E Balans VL '!Z11*100),0,B31*3.6/1000000/'E Balans VL '!Z11*100)</f>
        <v>0.81862223074512708</v>
      </c>
      <c r="D31" s="234" t="s">
        <v>700</v>
      </c>
    </row>
    <row r="32" spans="1:18">
      <c r="A32" s="229" t="s">
        <v>249</v>
      </c>
      <c r="B32" s="33">
        <f>IF(ISERROR(TER_rest_ele_kWh/1000),0,TER_rest_ele_kWh/1000)</f>
        <v>12548.327026786899</v>
      </c>
      <c r="C32" s="39">
        <f>IF(ISERROR(B32*3.6/1000000/'E Balans VL '!Z8*100),0,B32*3.6/1000000/'E Balans VL '!Z8*100)</f>
        <v>0.10347059239147452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4</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6</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84539.912850697088</v>
      </c>
      <c r="C5" s="17">
        <f>IF(ISERROR('Eigen informatie GS &amp; warmtenet'!B59),0,'Eigen informatie GS &amp; warmtenet'!B59)</f>
        <v>0</v>
      </c>
      <c r="D5" s="30">
        <f>SUM(D6:D15)</f>
        <v>143011.30506306043</v>
      </c>
      <c r="E5" s="17">
        <f>SUM(E6:E15)</f>
        <v>931.49447195547521</v>
      </c>
      <c r="F5" s="17">
        <f>SUM(F6:F15)</f>
        <v>29226.963914485037</v>
      </c>
      <c r="G5" s="18"/>
      <c r="H5" s="17"/>
      <c r="I5" s="17"/>
      <c r="J5" s="17">
        <f>SUM(J6:J15)</f>
        <v>459.28854645447717</v>
      </c>
      <c r="K5" s="17"/>
      <c r="L5" s="17"/>
      <c r="M5" s="17"/>
      <c r="N5" s="17">
        <f>SUM(N6:N15)</f>
        <v>2689.8998801223838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3595.8094308847999</v>
      </c>
      <c r="C8" s="33"/>
      <c r="D8" s="37">
        <f>IF( ISERROR(IND_metaal_Gas_kWH/1000),0,IND_metaal_Gas_kWH/1000)*0.902</f>
        <v>6496.1287941770024</v>
      </c>
      <c r="E8" s="33">
        <f>C30*'E Balans VL '!I18/100/3.6*1000000</f>
        <v>25.266959491464458</v>
      </c>
      <c r="F8" s="33">
        <f>C30*'E Balans VL '!L18/100/3.6*1000000+C30*'E Balans VL '!N18/100/3.6*1000000</f>
        <v>394.79883795528451</v>
      </c>
      <c r="G8" s="34"/>
      <c r="H8" s="33"/>
      <c r="I8" s="33"/>
      <c r="J8" s="40">
        <f>C30*'E Balans VL '!D18/100/3.6*1000000+C30*'E Balans VL '!E18/100/3.6*1000000</f>
        <v>74.189298937215895</v>
      </c>
      <c r="K8" s="33"/>
      <c r="L8" s="33"/>
      <c r="M8" s="33"/>
      <c r="N8" s="33">
        <f>C30*'E Balans VL '!Y18/100/3.6*1000000</f>
        <v>13.477352716873666</v>
      </c>
      <c r="O8" s="33"/>
      <c r="P8" s="33"/>
      <c r="R8" s="32"/>
    </row>
    <row r="9" spans="1:18">
      <c r="A9" s="6" t="s">
        <v>32</v>
      </c>
      <c r="B9" s="37">
        <f t="shared" si="0"/>
        <v>22108.933714796902</v>
      </c>
      <c r="C9" s="33"/>
      <c r="D9" s="37">
        <f>IF( ISERROR(IND_andere_gas_kWh/1000),0,IND_andere_gas_kWh/1000)*0.902</f>
        <v>14990.856389400113</v>
      </c>
      <c r="E9" s="33">
        <f>C31*'E Balans VL '!I19/100/3.6*1000000</f>
        <v>371.3466260485684</v>
      </c>
      <c r="F9" s="33">
        <f>C31*'E Balans VL '!L19/100/3.6*1000000+C31*'E Balans VL '!N19/100/3.6*1000000</f>
        <v>17283.505147387536</v>
      </c>
      <c r="G9" s="34"/>
      <c r="H9" s="33"/>
      <c r="I9" s="33"/>
      <c r="J9" s="40">
        <f>C31*'E Balans VL '!D19/100/3.6*1000000+C31*'E Balans VL '!E19/100/3.6*1000000</f>
        <v>1.9940306570067479</v>
      </c>
      <c r="K9" s="33"/>
      <c r="L9" s="33"/>
      <c r="M9" s="33"/>
      <c r="N9" s="33">
        <f>C31*'E Balans VL '!Y19/100/3.6*1000000</f>
        <v>1638.6266948805032</v>
      </c>
      <c r="O9" s="33"/>
      <c r="P9" s="33"/>
      <c r="R9" s="32"/>
    </row>
    <row r="10" spans="1:18">
      <c r="A10" s="6" t="s">
        <v>40</v>
      </c>
      <c r="B10" s="37">
        <f t="shared" si="0"/>
        <v>4408.9956551916894</v>
      </c>
      <c r="C10" s="33"/>
      <c r="D10" s="37">
        <f>IF( ISERROR(IND_voed_gas_kWh/1000),0,IND_voed_gas_kWh/1000)*0.902</f>
        <v>2067.9249056668918</v>
      </c>
      <c r="E10" s="33">
        <f>C32*'E Balans VL '!I20/100/3.6*1000000</f>
        <v>40.225844199912537</v>
      </c>
      <c r="F10" s="33">
        <f>C32*'E Balans VL '!L20/100/3.6*1000000+C32*'E Balans VL '!N20/100/3.6*1000000</f>
        <v>711.30890449601407</v>
      </c>
      <c r="G10" s="34"/>
      <c r="H10" s="33"/>
      <c r="I10" s="33"/>
      <c r="J10" s="40">
        <f>C32*'E Balans VL '!D20/100/3.6*1000000+C32*'E Balans VL '!E20/100/3.6*1000000</f>
        <v>18.159134785554397</v>
      </c>
      <c r="K10" s="33"/>
      <c r="L10" s="33"/>
      <c r="M10" s="33"/>
      <c r="N10" s="33">
        <f>C32*'E Balans VL '!Y20/100/3.6*1000000</f>
        <v>64.500129844806054</v>
      </c>
      <c r="O10" s="33"/>
      <c r="P10" s="33"/>
      <c r="R10" s="32"/>
    </row>
    <row r="11" spans="1:18">
      <c r="A11" s="6" t="s">
        <v>39</v>
      </c>
      <c r="B11" s="37">
        <f t="shared" si="0"/>
        <v>138.45882593364001</v>
      </c>
      <c r="C11" s="33"/>
      <c r="D11" s="37">
        <f>IF( ISERROR(IND_textiel_gas_kWh/1000),0,IND_textiel_gas_kWh/1000)*0.902</f>
        <v>233.08353392952398</v>
      </c>
      <c r="E11" s="33">
        <f>C33*'E Balans VL '!I21/100/3.6*1000000</f>
        <v>0.31579889894050545</v>
      </c>
      <c r="F11" s="33">
        <f>C33*'E Balans VL '!L21/100/3.6*1000000+C33*'E Balans VL '!N21/100/3.6*1000000</f>
        <v>2.9596858243140591</v>
      </c>
      <c r="G11" s="34"/>
      <c r="H11" s="33"/>
      <c r="I11" s="33"/>
      <c r="J11" s="40">
        <f>C33*'E Balans VL '!D21/100/3.6*1000000+C33*'E Balans VL '!E21/100/3.6*1000000</f>
        <v>0</v>
      </c>
      <c r="K11" s="33"/>
      <c r="L11" s="33"/>
      <c r="M11" s="33"/>
      <c r="N11" s="33">
        <f>C33*'E Balans VL '!Y21/100/3.6*1000000</f>
        <v>0.98220823175591931</v>
      </c>
      <c r="O11" s="33"/>
      <c r="P11" s="33"/>
      <c r="R11" s="32"/>
    </row>
    <row r="12" spans="1:18">
      <c r="A12" s="6" t="s">
        <v>36</v>
      </c>
      <c r="B12" s="37">
        <f t="shared" si="0"/>
        <v>201.39732367093001</v>
      </c>
      <c r="C12" s="33"/>
      <c r="D12" s="37">
        <f>IF( ISERROR(IND_min_gas_kWh/1000),0,IND_min_gas_kWh/1000)*0.902</f>
        <v>149.45747867890324</v>
      </c>
      <c r="E12" s="33">
        <f>C34*'E Balans VL '!I22/100/3.6*1000000</f>
        <v>4.9953083794690265</v>
      </c>
      <c r="F12" s="33">
        <f>C34*'E Balans VL '!L22/100/3.6*1000000+C34*'E Balans VL '!N22/100/3.6*1000000</f>
        <v>21.400394018657309</v>
      </c>
      <c r="G12" s="34"/>
      <c r="H12" s="33"/>
      <c r="I12" s="33"/>
      <c r="J12" s="40">
        <f>C34*'E Balans VL '!D22/100/3.6*1000000+C34*'E Balans VL '!E22/100/3.6*1000000</f>
        <v>1.1440549707880261</v>
      </c>
      <c r="K12" s="33"/>
      <c r="L12" s="33"/>
      <c r="M12" s="33"/>
      <c r="N12" s="33">
        <f>C34*'E Balans VL '!Y22/100/3.6*1000000</f>
        <v>0</v>
      </c>
      <c r="O12" s="33"/>
      <c r="P12" s="33"/>
      <c r="R12" s="32"/>
    </row>
    <row r="13" spans="1:18">
      <c r="A13" s="6" t="s">
        <v>38</v>
      </c>
      <c r="B13" s="37">
        <f t="shared" si="0"/>
        <v>56.4654491869304</v>
      </c>
      <c r="C13" s="33"/>
      <c r="D13" s="37">
        <f>IF( ISERROR(IND_papier_gas_kWh/1000),0,IND_papier_gas_kWh/1000)*0.902</f>
        <v>58.395296465298706</v>
      </c>
      <c r="E13" s="33">
        <f>C35*'E Balans VL '!I23/100/3.6*1000000</f>
        <v>1.7372945097838721</v>
      </c>
      <c r="F13" s="33">
        <f>C35*'E Balans VL '!L23/100/3.6*1000000+C35*'E Balans VL '!N23/100/3.6*1000000</f>
        <v>11.989588213244126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54029.852451032202</v>
      </c>
      <c r="C15" s="33"/>
      <c r="D15" s="37">
        <f>IF( ISERROR(IND_rest_gas_kWh/1000),0,IND_rest_gas_kWh/1000)*0.902</f>
        <v>119015.45866474269</v>
      </c>
      <c r="E15" s="33">
        <f>C37*'E Balans VL '!I15/100/3.6*1000000</f>
        <v>487.60664042733646</v>
      </c>
      <c r="F15" s="33">
        <f>C37*'E Balans VL '!L15/100/3.6*1000000+C37*'E Balans VL '!N15/100/3.6*1000000</f>
        <v>10801.00135658999</v>
      </c>
      <c r="G15" s="34"/>
      <c r="H15" s="33"/>
      <c r="I15" s="33"/>
      <c r="J15" s="40">
        <f>C37*'E Balans VL '!D15/100/3.6*1000000+C37*'E Balans VL '!E15/100/3.6*1000000</f>
        <v>363.80202710391211</v>
      </c>
      <c r="K15" s="33"/>
      <c r="L15" s="33"/>
      <c r="M15" s="33"/>
      <c r="N15" s="33">
        <f>C37*'E Balans VL '!Y15/100/3.6*1000000</f>
        <v>972.313494448445</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84539.912850697088</v>
      </c>
      <c r="C18" s="21">
        <f>C5+C16</f>
        <v>0</v>
      </c>
      <c r="D18" s="21">
        <f>MAX((D5+D16),0)</f>
        <v>143011.30506306043</v>
      </c>
      <c r="E18" s="21">
        <f>MAX((E5+E16),0)</f>
        <v>931.49447195547521</v>
      </c>
      <c r="F18" s="21">
        <f>MAX((F5+F16),0)</f>
        <v>29226.963914485037</v>
      </c>
      <c r="G18" s="21"/>
      <c r="H18" s="21"/>
      <c r="I18" s="21"/>
      <c r="J18" s="21">
        <f>MAX((J5+J16),0)</f>
        <v>459.28854645447717</v>
      </c>
      <c r="K18" s="21"/>
      <c r="L18" s="21">
        <f>MAX((L5+L16),0)</f>
        <v>0</v>
      </c>
      <c r="M18" s="21"/>
      <c r="N18" s="21">
        <f>MAX((N5+N16),0)</f>
        <v>2689.8998801223838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0.21499361885493068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18175.541801451825</v>
      </c>
      <c r="C22" s="23">
        <f ca="1">C18*C20</f>
        <v>0</v>
      </c>
      <c r="D22" s="23">
        <f>D18*D20</f>
        <v>28888.283622738207</v>
      </c>
      <c r="E22" s="23">
        <f>E18*E20</f>
        <v>211.44924513389287</v>
      </c>
      <c r="F22" s="23">
        <f>F18*F20</f>
        <v>7803.5993651675053</v>
      </c>
      <c r="G22" s="23"/>
      <c r="H22" s="23"/>
      <c r="I22" s="23"/>
      <c r="J22" s="23">
        <f>J18*J20</f>
        <v>162.5881454448849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3595.8094308847999</v>
      </c>
      <c r="C30" s="39">
        <f>IF(ISERROR(B30*3.6/1000000/'E Balans VL '!Z18*100),0,B30*3.6/1000000/'E Balans VL '!Z18*100)</f>
        <v>0.23937522959924254</v>
      </c>
      <c r="D30" s="234" t="s">
        <v>700</v>
      </c>
    </row>
    <row r="31" spans="1:18">
      <c r="A31" s="6" t="s">
        <v>32</v>
      </c>
      <c r="B31" s="37">
        <f>IF( ISERROR(IND_ander_ele_kWh/1000),0,IND_ander_ele_kWh/1000)</f>
        <v>22108.933714796902</v>
      </c>
      <c r="C31" s="39">
        <f>IF(ISERROR(B31*3.6/1000000/'E Balans VL '!Z19*100),0,B31*3.6/1000000/'E Balans VL '!Z19*100)</f>
        <v>0.98000141504768512</v>
      </c>
      <c r="D31" s="234" t="s">
        <v>700</v>
      </c>
    </row>
    <row r="32" spans="1:18">
      <c r="A32" s="169" t="s">
        <v>40</v>
      </c>
      <c r="B32" s="37">
        <f>IF( ISERROR(IND_voed_ele_kWh/1000),0,IND_voed_ele_kWh/1000)</f>
        <v>4408.9956551916894</v>
      </c>
      <c r="C32" s="39">
        <f>IF(ISERROR(B32*3.6/1000000/'E Balans VL '!Z20*100),0,B32*3.6/1000000/'E Balans VL '!Z20*100)</f>
        <v>0.1472731026549956</v>
      </c>
      <c r="D32" s="234" t="s">
        <v>700</v>
      </c>
    </row>
    <row r="33" spans="1:5">
      <c r="A33" s="169" t="s">
        <v>39</v>
      </c>
      <c r="B33" s="37">
        <f>IF( ISERROR(IND_textiel_ele_kWh/1000),0,IND_textiel_ele_kWh/1000)</f>
        <v>138.45882593364001</v>
      </c>
      <c r="C33" s="39">
        <f>IF(ISERROR(B33*3.6/1000000/'E Balans VL '!Z21*100),0,B33*3.6/1000000/'E Balans VL '!Z21*100)</f>
        <v>1.8228423725751675E-2</v>
      </c>
      <c r="D33" s="234" t="s">
        <v>700</v>
      </c>
    </row>
    <row r="34" spans="1:5">
      <c r="A34" s="169" t="s">
        <v>36</v>
      </c>
      <c r="B34" s="37">
        <f>IF( ISERROR(IND_min_ele_kWh/1000),0,IND_min_ele_kWh/1000)</f>
        <v>201.39732367093001</v>
      </c>
      <c r="C34" s="39">
        <f>IF(ISERROR(B34*3.6/1000000/'E Balans VL '!Z22*100),0,B34*3.6/1000000/'E Balans VL '!Z22*100)</f>
        <v>3.9169567230145773E-2</v>
      </c>
      <c r="D34" s="234" t="s">
        <v>700</v>
      </c>
    </row>
    <row r="35" spans="1:5">
      <c r="A35" s="169" t="s">
        <v>38</v>
      </c>
      <c r="B35" s="37">
        <f>IF( ISERROR(IND_papier_ele_kWh/1000),0,IND_papier_ele_kWh/1000)</f>
        <v>56.4654491869304</v>
      </c>
      <c r="C35" s="39">
        <f>IF(ISERROR(B35*3.6/1000000/'E Balans VL '!Z22*100),0,B35*3.6/1000000/'E Balans VL '!Z22*100)</f>
        <v>1.0981909629155087E-2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54029.852451032202</v>
      </c>
      <c r="C37" s="39">
        <f>IF(ISERROR(B37*3.6/1000000/'E Balans VL '!Z15*100),0,B37*3.6/1000000/'E Balans VL '!Z15*100)</f>
        <v>0.40189408007668787</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1822.8521723665331</v>
      </c>
      <c r="C5" s="17">
        <f>'Eigen informatie GS &amp; warmtenet'!B60</f>
        <v>0</v>
      </c>
      <c r="D5" s="30">
        <f>IF(ISERROR(SUM(LB_lb_gas_kWh,LB_rest_gas_kWh)/1000),0,SUM(LB_lb_gas_kWh,LB_rest_gas_kWh)/1000)*0.902</f>
        <v>539.42966285241016</v>
      </c>
      <c r="E5" s="17">
        <f>B17*'E Balans VL '!I25/3.6*1000000/100</f>
        <v>19.089302580424675</v>
      </c>
      <c r="F5" s="17">
        <f>B17*('E Balans VL '!L25/3.6*1000000+'E Balans VL '!N25/3.6*1000000)/100</f>
        <v>7803.1923712188154</v>
      </c>
      <c r="G5" s="18"/>
      <c r="H5" s="17"/>
      <c r="I5" s="17"/>
      <c r="J5" s="17">
        <f>('E Balans VL '!D25+'E Balans VL '!E25)/3.6*1000000*landbouw!B17/100</f>
        <v>162.79703749508161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1822.8521723665331</v>
      </c>
      <c r="C8" s="21">
        <f>C5+C6</f>
        <v>0</v>
      </c>
      <c r="D8" s="21">
        <f>MAX((D5+D6),0)</f>
        <v>539.42966285241016</v>
      </c>
      <c r="E8" s="21">
        <f>MAX((E5+E6),0)</f>
        <v>19.089302580424675</v>
      </c>
      <c r="F8" s="21">
        <f>MAX((F5+F6),0)</f>
        <v>7803.1923712188154</v>
      </c>
      <c r="G8" s="21"/>
      <c r="H8" s="21"/>
      <c r="I8" s="21"/>
      <c r="J8" s="21">
        <f>MAX((J5+J6),0)</f>
        <v>162.79703749508161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0.21499361885493068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391.90158517465284</v>
      </c>
      <c r="C12" s="23">
        <f ca="1">C8*C10</f>
        <v>0</v>
      </c>
      <c r="D12" s="23">
        <f>D8*D10</f>
        <v>108.96479189618685</v>
      </c>
      <c r="E12" s="23">
        <f>E8*E10</f>
        <v>4.3332716857564018</v>
      </c>
      <c r="F12" s="23">
        <f>F8*F10</f>
        <v>2083.4523631154239</v>
      </c>
      <c r="G12" s="23"/>
      <c r="H12" s="23"/>
      <c r="I12" s="23"/>
      <c r="J12" s="23">
        <f>J8*J10</f>
        <v>57.630151273258889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0.28057213687674026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147.28143733009682</v>
      </c>
      <c r="C26" s="244">
        <f>B26*'GWP N2O_CH4'!B5</f>
        <v>3092.9101839320333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35.327927304851507</v>
      </c>
      <c r="C27" s="244">
        <f>B27*'GWP N2O_CH4'!B5</f>
        <v>741.88647340188163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2.1236196975182771</v>
      </c>
      <c r="C28" s="244">
        <f>B28*'GWP N2O_CH4'!B4</f>
        <v>658.3221062306659</v>
      </c>
      <c r="D28" s="50"/>
    </row>
    <row r="29" spans="1:4">
      <c r="A29" s="41" t="s">
        <v>266</v>
      </c>
      <c r="B29" s="244">
        <f>B34*'ha_N2O bodem landbouw'!B4</f>
        <v>22.276726417742672</v>
      </c>
      <c r="C29" s="244">
        <f>B29*'GWP N2O_CH4'!B4</f>
        <v>6905.7851895002286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3.6815216163009925E-3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2.416764634371931E-5</v>
      </c>
      <c r="C5" s="433" t="s">
        <v>204</v>
      </c>
      <c r="D5" s="418">
        <f>SUM(D6:D11)</f>
        <v>8.3312465607229046E-5</v>
      </c>
      <c r="E5" s="418">
        <f>SUM(E6:E11)</f>
        <v>9.2669690654697944E-3</v>
      </c>
      <c r="F5" s="431" t="s">
        <v>204</v>
      </c>
      <c r="G5" s="418">
        <f>SUM(G6:G11)</f>
        <v>1.8112059951450288</v>
      </c>
      <c r="H5" s="418">
        <f>SUM(H6:H11)</f>
        <v>0.27909935024356053</v>
      </c>
      <c r="I5" s="433" t="s">
        <v>204</v>
      </c>
      <c r="J5" s="433" t="s">
        <v>204</v>
      </c>
      <c r="K5" s="433" t="s">
        <v>204</v>
      </c>
      <c r="L5" s="433" t="s">
        <v>204</v>
      </c>
      <c r="M5" s="418">
        <f>SUM(M6:M11)</f>
        <v>9.0870827232228946E-2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7.568367745502197E-6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2.3963124690177289E-5</v>
      </c>
      <c r="E6" s="421">
        <f>vkm_GW_PW*SUMIFS(TableVerdeelsleutelVkm[LPG],TableVerdeelsleutelVkm[Voertuigtype],"Lichte voertuigen")*SUMIFS(TableECFTransport[EnergieConsumptieFactor (PJ per km)],TableECFTransport[Index],CONCATENATE($A6,"_LPG_LPG"))</f>
        <v>2.4971659671572765E-3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0.33262312934999755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7.9795570512095973E-2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1.8001727718037073E-2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4.4485044995833398E-7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0.20052842390123768</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5.4293033314058475E-6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8.6388478889696304E-3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5.1868075099251328E-6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2.7909965086696692E-5</v>
      </c>
      <c r="E8" s="421">
        <f>vkm_NGW_PW*SUMIFS(TableVerdeelsleutelVkm[LPG],TableVerdeelsleutelVkm[Voertuigtype],"Lichte voertuigen")*SUMIFS(TableECFTransport[EnergieConsumptieFactor (PJ per km)],TableECFTransport[Index],CONCATENATE($A8,"_LPG_LPG"))</f>
        <v>2.7447673526707372E-3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0.34615889791409626</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8.7880788220519604E-2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1.8956960379915639E-2</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2.0896562375337585E-7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0.13047754303732012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3.0783738825599946E-6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5.6210059021955259E-3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1.007368735006326E-5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3.1439375830355066E-5</v>
      </c>
      <c r="E10" s="421">
        <f>vkm_SW_PW*SUMIFS(TableVerdeelsleutelVkm[LPG],TableVerdeelsleutelVkm[Voertuigtype],"Lichte voertuigen")*SUMIFS(TableECFTransport[EnergieConsumptieFactor (PJ per km)],TableECFTransport[Index],CONCATENATE($A10,"_LPG_LPG"))</f>
        <v>4.0250357456417807E-3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0.50348283456309384</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0.11140587923580841</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2.6817089720865012E-2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6.8496766451701263E-7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0.29793516637928352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8.6045979225589236E-6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1.2835195622246068E-2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6.7132350954775859</v>
      </c>
      <c r="C14" s="21"/>
      <c r="D14" s="21">
        <f t="shared" ref="D14:M14" si="0">((D5)*10^9/3600)+D12</f>
        <v>23.142351557563625</v>
      </c>
      <c r="E14" s="21">
        <f t="shared" si="0"/>
        <v>2574.1580737416093</v>
      </c>
      <c r="F14" s="21"/>
      <c r="G14" s="21">
        <f t="shared" si="0"/>
        <v>503112.7764291747</v>
      </c>
      <c r="H14" s="21">
        <f t="shared" si="0"/>
        <v>77527.597289877929</v>
      </c>
      <c r="I14" s="21"/>
      <c r="J14" s="21"/>
      <c r="K14" s="21"/>
      <c r="L14" s="21"/>
      <c r="M14" s="21">
        <f t="shared" si="0"/>
        <v>25241.89645339693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0.21499361885493068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1.4433027074006524</v>
      </c>
      <c r="C18" s="23"/>
      <c r="D18" s="23">
        <f t="shared" ref="D18:M18" si="1">D14*D16</f>
        <v>4.6747550146278529</v>
      </c>
      <c r="E18" s="23">
        <f t="shared" si="1"/>
        <v>584.33388273934531</v>
      </c>
      <c r="F18" s="23"/>
      <c r="G18" s="23">
        <f t="shared" si="1"/>
        <v>134331.11130658965</v>
      </c>
      <c r="H18" s="23">
        <f t="shared" si="1"/>
        <v>19304.371725179604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2.0205003793240109E-4</v>
      </c>
      <c r="C50" s="315">
        <f t="shared" ref="C50:P50" si="2">SUM(C51:C52)</f>
        <v>0</v>
      </c>
      <c r="D50" s="315">
        <f t="shared" si="2"/>
        <v>0</v>
      </c>
      <c r="E50" s="315">
        <f t="shared" si="2"/>
        <v>0</v>
      </c>
      <c r="F50" s="315">
        <f t="shared" si="2"/>
        <v>0</v>
      </c>
      <c r="G50" s="315">
        <f t="shared" si="2"/>
        <v>4.3832727175673103E-2</v>
      </c>
      <c r="H50" s="315">
        <f t="shared" si="2"/>
        <v>0</v>
      </c>
      <c r="I50" s="315">
        <f t="shared" si="2"/>
        <v>0</v>
      </c>
      <c r="J50" s="315">
        <f t="shared" si="2"/>
        <v>0</v>
      </c>
      <c r="K50" s="315">
        <f t="shared" si="2"/>
        <v>0</v>
      </c>
      <c r="L50" s="315">
        <f t="shared" si="2"/>
        <v>0</v>
      </c>
      <c r="M50" s="315">
        <f t="shared" si="2"/>
        <v>1.8767490052416761E-3</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2.0205003793240109E-4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4.3832727175673103E-2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1.8767490052416761E-3</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56.125010536778078</v>
      </c>
      <c r="C54" s="21">
        <f t="shared" ref="C54:P54" si="3">(C50)*10^9/3600</f>
        <v>0</v>
      </c>
      <c r="D54" s="21">
        <f t="shared" si="3"/>
        <v>0</v>
      </c>
      <c r="E54" s="21">
        <f t="shared" si="3"/>
        <v>0</v>
      </c>
      <c r="F54" s="21">
        <f t="shared" si="3"/>
        <v>0</v>
      </c>
      <c r="G54" s="21">
        <f t="shared" si="3"/>
        <v>12175.757548798085</v>
      </c>
      <c r="H54" s="21">
        <f t="shared" si="3"/>
        <v>0</v>
      </c>
      <c r="I54" s="21">
        <f t="shared" si="3"/>
        <v>0</v>
      </c>
      <c r="J54" s="21">
        <f t="shared" si="3"/>
        <v>0</v>
      </c>
      <c r="K54" s="21">
        <f t="shared" si="3"/>
        <v>0</v>
      </c>
      <c r="L54" s="21">
        <f t="shared" si="3"/>
        <v>0</v>
      </c>
      <c r="M54" s="21">
        <f t="shared" si="3"/>
        <v>521.31916812268776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0.21499361885493068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12.066519123573034</v>
      </c>
      <c r="C58" s="23">
        <f t="shared" ref="C58:P58" ca="1" si="4">C54*C56</f>
        <v>0</v>
      </c>
      <c r="D58" s="23">
        <f t="shared" si="4"/>
        <v>0</v>
      </c>
      <c r="E58" s="23">
        <f t="shared" si="4"/>
        <v>0</v>
      </c>
      <c r="F58" s="23">
        <f t="shared" si="4"/>
        <v>0</v>
      </c>
      <c r="G58" s="23">
        <f t="shared" si="4"/>
        <v>3250.9272655290888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10518.051367728915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10518.051367728915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2021-11-11T13:47:15Z</dcterms:modified>
</cp:coreProperties>
</file>