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6AEBF322-7E41-429C-A83A-5B7597168EA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G20" i="18" l="1"/>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3" i="13"/>
  <c r="B32" i="13"/>
  <c r="B34" i="13"/>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<sst xmlns="http://schemas.openxmlformats.org/spreadsheetml/2006/main" count="2574" uniqueCount="980">
  <si>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</si>
  <si>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</si>
  <si>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</si>
  <si>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</si>
  <si>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</si>
  <si>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</si>
  <si>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</si>
  <si>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</si>
  <si>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</si>
  <si>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</si>
  <si>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</si>
  <si>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</si>
  <si>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</si>
  <si>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</si>
  <si>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</si>
  <si>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</si>
  <si>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</si>
  <si>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</si>
  <si>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</si>
  <si>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</si>
  <si>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</si>
  <si>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</si>
  <si>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</si>
  <si>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</si>
  <si>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</si>
  <si>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</si>
  <si>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</si>
  <si>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</si>
  <si>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</si>
  <si>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</si>
  <si>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</si>
  <si>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</si>
  <si>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</si>
  <si>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</si>
  <si>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</si>
  <si>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</si>
  <si>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</si>
  <si>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</si>
  <si>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</si>
  <si>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</si>
  <si>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</si>
  <si>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</si>
  <si>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</si>
  <si>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</si>
  <si>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</si>
  <si>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</si>
  <si>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</si>
  <si>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</si>
  <si>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</si>
  <si>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</si>
  <si>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</si>
  <si>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</si>
  <si>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</si>
  <si>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</si>
  <si>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</si>
  <si>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</si>
  <si>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</si>
  <si>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</si>
  <si>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</si>
  <si>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</si>
  <si>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</si>
  <si>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</si>
  <si>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</si>
  <si>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</si>
  <si>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</si>
  <si>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</si>
  <si>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</si>
  <si>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</si>
  <si>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</si>
  <si>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</si>
  <si>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</si>
  <si>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</si>
  <si>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</si>
  <si>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</si>
  <si>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</si>
  <si>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</si>
  <si>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</si>
  <si>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</si>
  <si>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</si>
  <si>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</si>
  <si>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</si>
  <si>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</si>
  <si>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</si>
  <si>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</si>
  <si>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</si>
  <si>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</si>
  <si>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</si>
  <si>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</si>
  <si>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</si>
  <si>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</si>
  <si>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</si>
  <si>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</si>
  <si>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</si>
  <si>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</si>
  <si>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</si>
  <si>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</si>
  <si>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</si>
  <si>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</si>
  <si>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</si>
  <si>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</si>
  <si>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</si>
  <si>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</si>
  <si>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</si>
  <si>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</si>
  <si>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</si>
  <si>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</si>
  <si>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</si>
  <si>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</si>
  <si>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</si>
  <si>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</si>
  <si>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</si>
  <si>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</si>
  <si>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</si>
  <si>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</si>
  <si>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</si>
  <si>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</si>
  <si>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</si>
  <si>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</si>
  <si>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</si>
  <si>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</si>
  <si>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</si>
  <si>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</si>
  <si>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</si>
  <si>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</si>
  <si>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</si>
  <si>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</si>
  <si>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</si>
  <si>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</si>
  <si>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</si>
  <si>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</si>
  <si>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</si>
  <si>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</si>
  <si>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</si>
  <si>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</si>
  <si>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</si>
  <si>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</si>
  <si>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</si>
  <si>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</si>
  <si>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</si>
  <si>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</si>
  <si>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</si>
  <si>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</si>
  <si>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</si>
  <si>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</si>
  <si>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</si>
  <si>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</si>
  <si>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</si>
  <si>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</si>
  <si>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</si>
  <si>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</si>
  <si>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</si>
  <si>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</si>
  <si>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</si>
  <si>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</si>
  <si>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</si>
  <si>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</si>
  <si>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</si>
  <si>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</si>
  <si>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</si>
  <si>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</si>
  <si>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</si>
  <si>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</si>
  <si>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</si>
  <si>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</si>
  <si>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</si>
  <si>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</si>
  <si>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</si>
  <si>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</si>
  <si>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</si>
  <si>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</si>
  <si>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</si>
  <si>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</si>
  <si>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</si>
  <si>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</si>
  <si>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</si>
  <si>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</si>
  <si>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</si>
  <si>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</si>
  <si>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</si>
  <si>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</si>
  <si>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</si>
  <si>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</si>
  <si>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</si>
  <si>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</si>
  <si>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</si>
  <si>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</si>
  <si>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</si>
  <si>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</si>
  <si>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</si>
  <si>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</si>
  <si>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</si>
  <si>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</si>
  <si>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</si>
  <si>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</si>
  <si>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</si>
  <si>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</si>
  <si>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</si>
  <si>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</si>
  <si>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</si>
  <si>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</si>
  <si>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</si>
  <si>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</si>
  <si>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</si>
  <si>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</si>
  <si>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</si>
  <si>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</si>
  <si>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</si>
  <si>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</si>
  <si>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</si>
  <si>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</si>
  <si>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</si>
  <si>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</si>
  <si>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</si>
  <si>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</si>
  <si>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</si>
  <si>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</si>
  <si>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</si>
  <si>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</si>
  <si>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</si>
  <si>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</si>
  <si>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</si>
  <si>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</si>
  <si>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</si>
  <si>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</si>
  <si>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</si>
  <si>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</si>
  <si>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</si>
  <si>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</si>
  <si>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</si>
  <si>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</si>
  <si>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</si>
  <si>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</si>
  <si>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</si>
  <si>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</si>
  <si>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</si>
  <si>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</si>
  <si>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</si>
  <si>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</si>
  <si>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</si>
  <si>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</si>
  <si>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</si>
  <si>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</si>
  <si>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</si>
  <si>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</si>
  <si>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</si>
  <si>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</si>
  <si>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</si>
  <si>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</si>
  <si>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</si>
  <si>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</si>
  <si>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</si>
  <si>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</si>
  <si>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</si>
  <si>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</si>
  <si>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</si>
  <si>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</si>
  <si>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</si>
  <si>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</si>
  <si>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</si>
  <si>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</si>
  <si>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</si>
  <si>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</si>
  <si>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</si>
  <si>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</si>
  <si>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</si>
  <si>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</si>
  <si>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</si>
  <si>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</si>
  <si>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</si>
  <si>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</si>
  <si>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</si>
  <si>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</si>
  <si>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</si>
  <si>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</si>
  <si>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</si>
  <si>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</si>
  <si>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</si>
  <si>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</si>
  <si>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</si>
  <si>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</si>
  <si>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</si>
  <si>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</si>
  <si>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</si>
  <si>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</si>
  <si>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</si>
  <si>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</si>
  <si>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</si>
  <si>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</si>
  <si>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</si>
  <si>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</si>
  <si>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</si>
  <si>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</si>
  <si>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</si>
  <si>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</si>
  <si>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</si>
  <si>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</si>
  <si>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</si>
  <si>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</si>
  <si>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</si>
  <si>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</si>
  <si>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</si>
  <si>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</si>
  <si>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</si>
  <si>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</si>
  <si>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</si>
  <si>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</si>
  <si>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</si>
  <si>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</si>
  <si>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</si>
  <si>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</si>
  <si>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</si>
  <si>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</si>
  <si>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</si>
  <si>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</si>
  <si>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</si>
  <si>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</si>
  <si>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</si>
  <si>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</si>
  <si>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</si>
  <si>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</si>
  <si>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</si>
  <si>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</si>
  <si>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</si>
  <si>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</si>
  <si>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</si>
  <si>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</si>
  <si>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</si>
  <si>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</si>
  <si>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</si>
  <si>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</si>
  <si>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</si>
  <si>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</si>
  <si>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</si>
  <si>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</si>
  <si>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</si>
  <si>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</si>
  <si>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</si>
  <si>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</si>
  <si>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</si>
  <si>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</si>
  <si>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</si>
  <si>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</si>
  <si>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</si>
  <si>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</si>
  <si>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</si>
  <si>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</si>
  <si>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</si>
  <si>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</si>
  <si>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</si>
  <si>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</si>
  <si>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</si>
  <si>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</si>
  <si>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</si>
  <si>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</si>
  <si>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</si>
  <si>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</si>
  <si>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</si>
  <si>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</si>
  <si>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</si>
  <si>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</si>
  <si>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</si>
  <si>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</si>
  <si>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</si>
  <si>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</si>
  <si>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</si>
  <si>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</si>
  <si>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</si>
  <si>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</si>
  <si>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</si>
  <si>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</si>
  <si>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</si>
  <si>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</si>
  <si>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</si>
  <si>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</si>
  <si>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</si>
  <si>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</si>
  <si>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</si>
  <si>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</si>
  <si>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</si>
  <si>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</si>
  <si>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</si>
  <si>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</si>
  <si>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</si>
  <si>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</si>
  <si>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</si>
  <si>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</si>
  <si>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</si>
  <si>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</si>
  <si>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</si>
  <si>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</si>
  <si>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</si>
  <si>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</si>
  <si>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</si>
  <si>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</si>
  <si>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</si>
  <si>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</si>
  <si>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</si>
  <si>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</si>
  <si>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</si>
  <si>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</si>
  <si>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</si>
  <si>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</si>
  <si>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</si>
  <si>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</si>
  <si>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</si>
  <si>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</si>
  <si>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</si>
  <si>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</si>
  <si>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</si>
  <si>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</si>
  <si>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</si>
  <si>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</si>
  <si>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</si>
  <si>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</si>
  <si>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</si>
  <si>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</si>
  <si>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</si>
  <si>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</si>
  <si>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</si>
  <si>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</si>
  <si>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</si>
  <si>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</si>
  <si>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</si>
  <si>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</si>
  <si>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</si>
  <si>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</si>
  <si>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</si>
  <si>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</si>
  <si>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</si>
  <si>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</si>
  <si>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</si>
  <si>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</si>
  <si>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</si>
  <si>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</si>
  <si>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</si>
  <si>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</si>
  <si>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</si>
  <si>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</si>
  <si>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</si>
  <si>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</si>
  <si>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</si>
  <si>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</si>
  <si>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</si>
  <si>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</si>
  <si>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</si>
  <si>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</si>
  <si>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</si>
  <si>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</si>
  <si>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</si>
  <si>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</si>
  <si>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</si>
  <si>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</si>
  <si>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</si>
  <si>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</si>
  <si>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</si>
  <si>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</si>
  <si>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</si>
  <si>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</si>
  <si>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</si>
  <si>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</si>
  <si>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</si>
  <si>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</si>
  <si>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</si>
  <si>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</si>
  <si>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</si>
  <si>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</si>
  <si>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</si>
  <si>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</si>
  <si>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</si>
  <si>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</si>
  <si>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</si>
  <si>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</si>
  <si>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</si>
  <si>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</si>
  <si>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</si>
  <si>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</si>
  <si>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</si>
  <si>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</si>
  <si>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</si>
  <si>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</si>
  <si>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</si>
  <si>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</si>
  <si>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</si>
  <si>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</si>
  <si>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</si>
  <si>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</si>
  <si>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</si>
  <si>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</si>
  <si>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</si>
  <si>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</si>
  <si>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</si>
  <si>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</si>
  <si>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</si>
  <si>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</si>
  <si>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</si>
  <si>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</si>
  <si>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</si>
  <si>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</si>
  <si>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</si>
  <si>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</si>
  <si>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</si>
  <si>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</si>
  <si>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</si>
  <si>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</si>
  <si>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</si>
  <si>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</si>
  <si>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</si>
  <si>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</si>
  <si>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</si>
  <si>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</si>
  <si>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</si>
  <si>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</si>
  <si>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</si>
  <si>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</si>
  <si>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</si>
  <si>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</si>
  <si>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</si>
  <si>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</si>
  <si>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</si>
  <si>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</si>
  <si>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</si>
  <si>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</si>
  <si>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</si>
  <si>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</si>
  <si>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</si>
  <si>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</si>
  <si>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</si>
  <si>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</si>
  <si>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</si>
  <si>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</si>
  <si>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</si>
  <si>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</si>
  <si>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</si>
  <si>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</si>
  <si>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</si>
  <si>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</si>
  <si>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</si>
  <si>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</si>
  <si>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</si>
  <si>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</si>
  <si>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</si>
  <si>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</si>
  <si>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</si>
  <si>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</si>
  <si>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</si>
  <si>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</si>
  <si>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</si>
  <si>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</si>
  <si>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</si>
  <si>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</si>
  <si>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</si>
  <si>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</si>
  <si>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</si>
  <si>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</si>
  <si>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</si>
  <si>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</si>
  <si>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</si>
  <si>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</si>
  <si>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</si>
  <si>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</si>
  <si>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</si>
  <si>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</si>
  <si>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</si>
  <si>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</si>
  <si>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</si>
  <si>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</si>
  <si>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</si>
  <si>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</si>
  <si>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</si>
  <si>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</si>
  <si>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</si>
  <si>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</si>
  <si>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</si>
  <si>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</si>
  <si>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</si>
  <si>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</si>
  <si>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</si>
  <si>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</si>
  <si>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</si>
  <si>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</si>
  <si>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</si>
  <si>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</si>
  <si>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</si>
  <si>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</si>
  <si>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</si>
  <si>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</si>
  <si>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</si>
  <si>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</si>
  <si>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</si>
  <si>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</si>
  <si>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</si>
  <si>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</si>
  <si>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</si>
  <si>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</si>
  <si>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</si>
  <si>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</si>
  <si>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</si>
  <si>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</si>
  <si>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</si>
  <si>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</si>
  <si>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</si>
  <si>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</si>
  <si>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</si>
  <si>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</si>
  <si>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</si>
  <si>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</si>
  <si>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</si>
  <si>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</si>
  <si>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</si>
  <si>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</si>
  <si>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</si>
  <si>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</si>
  <si>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</si>
  <si>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</si>
  <si>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</si>
  <si>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</si>
  <si>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</si>
  <si>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</si>
  <si>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</si>
  <si>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</si>
  <si>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</si>
  <si>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</si>
  <si>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</si>
  <si>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</si>
  <si>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</si>
  <si>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</si>
  <si>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</si>
  <si>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</si>
  <si>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</si>
  <si>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</si>
  <si>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</si>
  <si>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</si>
  <si>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</si>
  <si>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</si>
  <si>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</si>
  <si>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</si>
  <si>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</si>
  <si>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</si>
  <si>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</si>
  <si>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</si>
  <si>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</si>
  <si>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</si>
  <si>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</si>
  <si>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</si>
  <si>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</si>
  <si>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</si>
  <si>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</si>
  <si>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</si>
  <si>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</si>
  <si>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</si>
  <si>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</si>
  <si>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</si>
  <si>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</si>
  <si>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</si>
  <si>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</si>
  <si>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</si>
  <si>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</si>
  <si>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</si>
  <si>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</si>
  <si>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</si>
  <si>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</si>
  <si>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</si>
  <si>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</si>
  <si>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</si>
  <si>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</si>
  <si>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</si>
  <si>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</si>
  <si>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</si>
  <si>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</si>
  <si>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</si>
  <si>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</si>
  <si>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</si>
  <si>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</si>
  <si>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</si>
  <si>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</si>
  <si>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</si>
  <si>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</si>
  <si>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</si>
  <si>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</si>
  <si>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</si>
  <si>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</si>
  <si>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</si>
  <si>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</si>
  <si>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</si>
  <si>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</si>
  <si>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</si>
  <si>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</si>
  <si>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</si>
  <si>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</si>
  <si>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</si>
  <si>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</si>
  <si>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</si>
  <si>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</si>
  <si>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</si>
  <si>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</si>
  <si>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</si>
  <si>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</si>
  <si>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</si>
  <si>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</si>
  <si>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</si>
  <si>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</si>
  <si>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</si>
  <si>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</si>
  <si>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</si>
  <si>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</si>
  <si>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</si>
  <si>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</si>
  <si>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</si>
  <si>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</si>
  <si>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</si>
  <si>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</si>
  <si>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</si>
  <si>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</si>
  <si>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</si>
  <si>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</si>
  <si>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</si>
  <si>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</si>
  <si>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</si>
  <si>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</si>
  <si>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</si>
  <si>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</si>
  <si>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</si>
  <si>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</si>
  <si>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</si>
  <si>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</si>
  <si>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</si>
  <si>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</si>
  <si>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</si>
  <si>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</si>
  <si>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</si>
  <si>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</si>
  <si>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</si>
  <si>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</si>
  <si>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</si>
  <si>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</si>
  <si>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</si>
  <si>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</si>
  <si>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</si>
  <si>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</si>
  <si>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</si>
  <si>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</si>
  <si>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</si>
  <si>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</si>
  <si>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</si>
  <si>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</si>
  <si>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</si>
  <si>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</si>
  <si>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</si>
  <si>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</si>
  <si>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</si>
  <si>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</si>
  <si>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</si>
  <si>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</si>
  <si>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</si>
  <si>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</si>
  <si>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</si>
  <si>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</si>
  <si>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</si>
  <si>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</si>
  <si>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</si>
  <si>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</si>
  <si>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</si>
  <si>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</si>
  <si>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</si>
  <si>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</si>
  <si>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</si>
  <si>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</si>
  <si>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</si>
  <si>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</si>
  <si>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</si>
  <si>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</si>
  <si>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</si>
  <si>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</si>
  <si>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</si>
  <si>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</si>
  <si>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</si>
  <si>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</si>
  <si>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</si>
  <si>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</si>
  <si>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</si>
  <si>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</si>
  <si>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</si>
  <si>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</si>
  <si>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</si>
  <si>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</si>
  <si>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</si>
  <si>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</si>
  <si>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</si>
  <si>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</si>
  <si>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</si>
  <si>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</si>
  <si>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</si>
  <si>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</si>
  <si>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</si>
  <si>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</si>
  <si>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</si>
  <si>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</si>
  <si>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</si>
  <si>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</si>
  <si>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</si>
  <si>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</si>
  <si>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</si>
  <si>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</si>
  <si>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</si>
  <si>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</si>
  <si>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</si>
  <si>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</si>
  <si>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</si>
  <si>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</si>
  <si>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</si>
  <si>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</si>
  <si>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</si>
  <si>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</si>
  <si>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</si>
  <si>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</si>
  <si>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</si>
  <si>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</si>
  <si>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</si>
  <si>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</si>
  <si>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</si>
  <si>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</si>
  <si>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</si>
  <si>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</si>
  <si>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</si>
  <si>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</si>
  <si>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</si>
  <si>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</si>
  <si>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</si>
  <si>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</si>
  <si>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</si>
  <si>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</si>
  <si>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</si>
  <si>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</si>
  <si>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</si>
  <si>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</si>
  <si>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</si>
  <si>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</si>
  <si>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</si>
  <si>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</si>
  <si>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</si>
  <si>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</si>
  <si>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</si>
  <si>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</si>
  <si>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</si>
  <si>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</si>
  <si>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</si>
  <si>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</si>
  <si>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</si>
  <si>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</si>
  <si>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</si>
  <si>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</si>
  <si>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</si>
  <si>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</si>
  <si>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</si>
  <si>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</si>
  <si>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</si>
  <si>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</si>
  <si>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</si>
  <si>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</si>
  <si>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</si>
  <si>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</si>
  <si>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</si>
  <si>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</si>
  <si>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</si>
  <si>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</si>
  <si>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</si>
  <si>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</si>
  <si>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</si>
  <si>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</si>
  <si>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</si>
  <si>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</si>
  <si>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</si>
  <si>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</si>
  <si>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</si>
  <si>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</si>
  <si>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</si>
  <si>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</si>
  <si>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</si>
  <si>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</si>
  <si>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</si>
  <si>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</si>
  <si>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</si>
  <si>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</si>
  <si>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</si>
  <si>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</si>
  <si>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</si>
  <si>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</si>
  <si>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</si>
  <si>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</si>
  <si>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</si>
  <si>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</si>
  <si>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</si>
  <si>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</si>
  <si>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</si>
  <si>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</si>
  <si>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</si>
  <si>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</si>
  <si>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</si>
  <si>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</si>
  <si>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</si>
  <si>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</si>
  <si>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</si>
  <si>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</si>
  <si>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</si>
  <si>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</si>
  <si>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</si>
  <si>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</si>
  <si>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</si>
  <si>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</si>
  <si>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</si>
  <si>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</si>
  <si>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</si>
  <si>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</si>
  <si>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</si>
  <si>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</si>
  <si>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</si>
  <si>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</si>
  <si>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</si>
  <si>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</si>
  <si>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</si>
  <si>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</si>
  <si>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</si>
  <si>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</si>
  <si>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</si>
  <si>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</si>
  <si>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</si>
  <si>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</si>
  <si>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</si>
  <si>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</si>
  <si>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</si>
  <si>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</si>
  <si>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</si>
  <si>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</si>
  <si>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</si>
  <si>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</si>
  <si>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</si>
  <si>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</si>
  <si>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</si>
  <si>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</si>
  <si>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</si>
  <si>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</si>
  <si>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</si>
  <si>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</si>
  <si>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</si>
  <si>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</si>
  <si>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</si>
  <si>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</si>
  <si>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</si>
  <si>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</si>
  <si>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</si>
  <si>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</si>
  <si>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</si>
  <si>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</si>
  <si>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</si>
  <si>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</si>
  <si>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</si>
  <si>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</si>
  <si>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</si>
  <si>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</si>
  <si>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</si>
  <si>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</si>
  <si>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</si>
  <si>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</si>
  <si>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</si>
  <si>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</si>
  <si>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</si>
  <si>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</si>
  <si>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</si>
  <si>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</si>
  <si>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</si>
  <si>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37017</t>
  </si>
  <si>
    <t>WIELSBEKE</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</si>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</sst>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E113E14A-0159-4535-AA86-A0820626A75C}"/>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37017</v>
      </c>
      <c r="B6" s="384"/>
      <c r="C6" s="385"/>
    </row>
    <row r="7" spans="1:7" s="382" customFormat="1" ht="15.75" customHeight="1">
      <c r="A7" s="386" t="str">
        <f>txtMunicipality</f>
        <v>WIELSBEKE</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29439.72021458844</v>
      </c>
      <c r="D10" s="674">
        <f ca="1">tertiair!C16</f>
        <v>0</v>
      </c>
      <c r="E10" s="674">
        <f ca="1">tertiair!D16</f>
        <v>7287.6384896975396</v>
      </c>
      <c r="F10" s="674">
        <f>tertiair!E16</f>
        <v>554.38614952783325</v>
      </c>
      <c r="G10" s="674">
        <f ca="1">tertiair!F16</f>
        <v>5217.6403611078522</v>
      </c>
      <c r="H10" s="674">
        <f>tertiair!G16</f>
        <v>0</v>
      </c>
      <c r="I10" s="674">
        <f>tertiair!H16</f>
        <v>0</v>
      </c>
      <c r="J10" s="674">
        <f>tertiair!I16</f>
        <v>0</v>
      </c>
      <c r="K10" s="674">
        <f>tertiair!J16</f>
        <v>0</v>
      </c>
      <c r="L10" s="674">
        <f>tertiair!K16</f>
        <v>0</v>
      </c>
      <c r="M10" s="674">
        <f ca="1">tertiair!L16</f>
        <v>0</v>
      </c>
      <c r="N10" s="674">
        <f>tertiair!M16</f>
        <v>0</v>
      </c>
      <c r="O10" s="674">
        <f ca="1">tertiair!N16</f>
        <v>927.37285027069072</v>
      </c>
      <c r="P10" s="674">
        <f>tertiair!O16</f>
        <v>0</v>
      </c>
      <c r="Q10" s="675">
        <f>tertiair!P16</f>
        <v>57.2</v>
      </c>
      <c r="R10" s="677">
        <f ca="1">SUM(C10:Q10)</f>
        <v>43483.958065192346</v>
      </c>
      <c r="S10" s="67"/>
    </row>
    <row r="11" spans="1:19" s="443" customFormat="1">
      <c r="A11" s="789" t="s">
        <v>214</v>
      </c>
      <c r="B11" s="794"/>
      <c r="C11" s="674">
        <f>huishoudens!B8</f>
        <v>16141.886775483317</v>
      </c>
      <c r="D11" s="674">
        <f>huishoudens!C8</f>
        <v>0</v>
      </c>
      <c r="E11" s="674">
        <f>huishoudens!D8</f>
        <v>27342.004696056199</v>
      </c>
      <c r="F11" s="674">
        <f>huishoudens!E8</f>
        <v>873.94622768909619</v>
      </c>
      <c r="G11" s="674">
        <f>huishoudens!F8</f>
        <v>29831.626305321319</v>
      </c>
      <c r="H11" s="674">
        <f>huishoudens!G8</f>
        <v>0</v>
      </c>
      <c r="I11" s="674">
        <f>huishoudens!H8</f>
        <v>0</v>
      </c>
      <c r="J11" s="674">
        <f>huishoudens!I8</f>
        <v>0</v>
      </c>
      <c r="K11" s="674">
        <f>huishoudens!J8</f>
        <v>671.73259265601666</v>
      </c>
      <c r="L11" s="674">
        <f>huishoudens!K8</f>
        <v>0</v>
      </c>
      <c r="M11" s="674">
        <f>huishoudens!L8</f>
        <v>0</v>
      </c>
      <c r="N11" s="674">
        <f>huishoudens!M8</f>
        <v>0</v>
      </c>
      <c r="O11" s="674">
        <f>huishoudens!N8</f>
        <v>4446.0276311953839</v>
      </c>
      <c r="P11" s="674">
        <f>huishoudens!O8</f>
        <v>37.520000000000003</v>
      </c>
      <c r="Q11" s="675">
        <f>huishoudens!P8</f>
        <v>76.266666666666666</v>
      </c>
      <c r="R11" s="677">
        <f>SUM(C11:Q11)</f>
        <v>79421.010895067986</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333374.30507509294</v>
      </c>
      <c r="D13" s="674">
        <f>industrie!C18</f>
        <v>1632.8571428571429</v>
      </c>
      <c r="E13" s="674">
        <f>industrie!D18</f>
        <v>322035.54790196707</v>
      </c>
      <c r="F13" s="674">
        <f>industrie!E18</f>
        <v>3553.3124657523513</v>
      </c>
      <c r="G13" s="674">
        <f>industrie!F18</f>
        <v>141443.25788235298</v>
      </c>
      <c r="H13" s="674">
        <f>industrie!G18</f>
        <v>0</v>
      </c>
      <c r="I13" s="674">
        <f>industrie!H18</f>
        <v>0</v>
      </c>
      <c r="J13" s="674">
        <f>industrie!I18</f>
        <v>0</v>
      </c>
      <c r="K13" s="674">
        <f>industrie!J18</f>
        <v>428.49870754790999</v>
      </c>
      <c r="L13" s="674">
        <f>industrie!K18</f>
        <v>0</v>
      </c>
      <c r="M13" s="674">
        <f>industrie!L18</f>
        <v>0</v>
      </c>
      <c r="N13" s="674">
        <f>industrie!M18</f>
        <v>0</v>
      </c>
      <c r="O13" s="674">
        <f>industrie!N18</f>
        <v>13878.524050538279</v>
      </c>
      <c r="P13" s="674">
        <f>industrie!O18</f>
        <v>0</v>
      </c>
      <c r="Q13" s="675">
        <f>industrie!P18</f>
        <v>0</v>
      </c>
      <c r="R13" s="677">
        <f>SUM(C13:Q13)</f>
        <v>816346.30322610866</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378955.91206516471</v>
      </c>
      <c r="D16" s="707">
        <f t="shared" ref="D16:R16" ca="1" si="0">SUM(D9:D15)</f>
        <v>1632.8571428571429</v>
      </c>
      <c r="E16" s="707">
        <f t="shared" ca="1" si="0"/>
        <v>356665.1910877208</v>
      </c>
      <c r="F16" s="707">
        <f t="shared" si="0"/>
        <v>4981.6448429692809</v>
      </c>
      <c r="G16" s="707">
        <f t="shared" ca="1" si="0"/>
        <v>176492.52454878215</v>
      </c>
      <c r="H16" s="707">
        <f t="shared" si="0"/>
        <v>0</v>
      </c>
      <c r="I16" s="707">
        <f t="shared" si="0"/>
        <v>0</v>
      </c>
      <c r="J16" s="707">
        <f t="shared" si="0"/>
        <v>0</v>
      </c>
      <c r="K16" s="707">
        <f t="shared" si="0"/>
        <v>1100.2313002039266</v>
      </c>
      <c r="L16" s="707">
        <f t="shared" si="0"/>
        <v>0</v>
      </c>
      <c r="M16" s="707">
        <f t="shared" ca="1" si="0"/>
        <v>0</v>
      </c>
      <c r="N16" s="707">
        <f t="shared" si="0"/>
        <v>0</v>
      </c>
      <c r="O16" s="707">
        <f t="shared" ca="1" si="0"/>
        <v>19251.924532004356</v>
      </c>
      <c r="P16" s="707">
        <f t="shared" si="0"/>
        <v>37.520000000000003</v>
      </c>
      <c r="Q16" s="707">
        <f t="shared" si="0"/>
        <v>133.46666666666667</v>
      </c>
      <c r="R16" s="707">
        <f t="shared" ca="1" si="0"/>
        <v>939251.27218636894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1.9938588578609648</v>
      </c>
      <c r="D19" s="674">
        <f>transport!C54</f>
        <v>0</v>
      </c>
      <c r="E19" s="674">
        <f>transport!D54</f>
        <v>0</v>
      </c>
      <c r="F19" s="674">
        <f>transport!E54</f>
        <v>0</v>
      </c>
      <c r="G19" s="674">
        <f>transport!F54</f>
        <v>0</v>
      </c>
      <c r="H19" s="674">
        <f>transport!G54</f>
        <v>432.54766115242495</v>
      </c>
      <c r="I19" s="674">
        <f>transport!H54</f>
        <v>0</v>
      </c>
      <c r="J19" s="674">
        <f>transport!I54</f>
        <v>0</v>
      </c>
      <c r="K19" s="674">
        <f>transport!J54</f>
        <v>0</v>
      </c>
      <c r="L19" s="674">
        <f>transport!K54</f>
        <v>0</v>
      </c>
      <c r="M19" s="674">
        <f>transport!L54</f>
        <v>0</v>
      </c>
      <c r="N19" s="674">
        <f>transport!M54</f>
        <v>18.520029327263991</v>
      </c>
      <c r="O19" s="674">
        <f>transport!N54</f>
        <v>0</v>
      </c>
      <c r="P19" s="674">
        <f>transport!O54</f>
        <v>0</v>
      </c>
      <c r="Q19" s="675">
        <f>transport!P54</f>
        <v>0</v>
      </c>
      <c r="R19" s="677">
        <f>SUM(C19:Q19)</f>
        <v>453.06154933754993</v>
      </c>
      <c r="S19" s="67"/>
    </row>
    <row r="20" spans="1:19" s="443" customFormat="1">
      <c r="A20" s="789" t="s">
        <v>296</v>
      </c>
      <c r="B20" s="794"/>
      <c r="C20" s="674">
        <f>transport!B14</f>
        <v>0.40209621860966538</v>
      </c>
      <c r="D20" s="674">
        <f>transport!C14</f>
        <v>0</v>
      </c>
      <c r="E20" s="674">
        <f>transport!D14</f>
        <v>1.4744866191197186</v>
      </c>
      <c r="F20" s="674">
        <f>transport!E14</f>
        <v>149.144506277863</v>
      </c>
      <c r="G20" s="674">
        <f>transport!F14</f>
        <v>0</v>
      </c>
      <c r="H20" s="674">
        <f>transport!G14</f>
        <v>37693.500950733251</v>
      </c>
      <c r="I20" s="674">
        <f>transport!H14</f>
        <v>4771.076596866721</v>
      </c>
      <c r="J20" s="674">
        <f>transport!I14</f>
        <v>0</v>
      </c>
      <c r="K20" s="674">
        <f>transport!J14</f>
        <v>0</v>
      </c>
      <c r="L20" s="674">
        <f>transport!K14</f>
        <v>0</v>
      </c>
      <c r="M20" s="674">
        <f>transport!L14</f>
        <v>0</v>
      </c>
      <c r="N20" s="674">
        <f>transport!M14</f>
        <v>1843.3940238196519</v>
      </c>
      <c r="O20" s="674">
        <f>transport!N14</f>
        <v>0</v>
      </c>
      <c r="P20" s="674">
        <f>transport!O14</f>
        <v>0</v>
      </c>
      <c r="Q20" s="675">
        <f>transport!P14</f>
        <v>0</v>
      </c>
      <c r="R20" s="677">
        <f>SUM(C20:Q20)</f>
        <v>44458.992660535216</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2.3959550764706301</v>
      </c>
      <c r="D22" s="792">
        <f t="shared" ref="D22:R22" si="1">SUM(D18:D21)</f>
        <v>0</v>
      </c>
      <c r="E22" s="792">
        <f t="shared" si="1"/>
        <v>1.4744866191197186</v>
      </c>
      <c r="F22" s="792">
        <f t="shared" si="1"/>
        <v>149.144506277863</v>
      </c>
      <c r="G22" s="792">
        <f t="shared" si="1"/>
        <v>0</v>
      </c>
      <c r="H22" s="792">
        <f t="shared" si="1"/>
        <v>38126.048611885679</v>
      </c>
      <c r="I22" s="792">
        <f t="shared" si="1"/>
        <v>4771.076596866721</v>
      </c>
      <c r="J22" s="792">
        <f t="shared" si="1"/>
        <v>0</v>
      </c>
      <c r="K22" s="792">
        <f t="shared" si="1"/>
        <v>0</v>
      </c>
      <c r="L22" s="792">
        <f t="shared" si="1"/>
        <v>0</v>
      </c>
      <c r="M22" s="792">
        <f t="shared" si="1"/>
        <v>0</v>
      </c>
      <c r="N22" s="792">
        <f t="shared" si="1"/>
        <v>1861.9140531469159</v>
      </c>
      <c r="O22" s="792">
        <f t="shared" si="1"/>
        <v>0</v>
      </c>
      <c r="P22" s="792">
        <f t="shared" si="1"/>
        <v>0</v>
      </c>
      <c r="Q22" s="792">
        <f t="shared" si="1"/>
        <v>0</v>
      </c>
      <c r="R22" s="792">
        <f t="shared" si="1"/>
        <v>44912.054209872767</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1065.4318357098418</v>
      </c>
      <c r="D24" s="674">
        <f>+landbouw!C8</f>
        <v>0</v>
      </c>
      <c r="E24" s="674">
        <f>+landbouw!D8</f>
        <v>265.00204303253992</v>
      </c>
      <c r="F24" s="674">
        <f>+landbouw!E8</f>
        <v>11.157432840139775</v>
      </c>
      <c r="G24" s="674">
        <f>+landbouw!F8</f>
        <v>4560.8578131002669</v>
      </c>
      <c r="H24" s="674">
        <f>+landbouw!G8</f>
        <v>0</v>
      </c>
      <c r="I24" s="674">
        <f>+landbouw!H8</f>
        <v>0</v>
      </c>
      <c r="J24" s="674">
        <f>+landbouw!I8</f>
        <v>0</v>
      </c>
      <c r="K24" s="674">
        <f>+landbouw!J8</f>
        <v>95.152612557345762</v>
      </c>
      <c r="L24" s="674">
        <f>+landbouw!K8</f>
        <v>0</v>
      </c>
      <c r="M24" s="674">
        <f>+landbouw!L8</f>
        <v>0</v>
      </c>
      <c r="N24" s="674">
        <f>+landbouw!M8</f>
        <v>0</v>
      </c>
      <c r="O24" s="674">
        <f>+landbouw!N8</f>
        <v>0</v>
      </c>
      <c r="P24" s="674">
        <f>+landbouw!O8</f>
        <v>0</v>
      </c>
      <c r="Q24" s="675">
        <f>+landbouw!P8</f>
        <v>0</v>
      </c>
      <c r="R24" s="677">
        <f>SUM(C24:Q24)</f>
        <v>5997.6017372401338</v>
      </c>
      <c r="S24" s="67"/>
    </row>
    <row r="25" spans="1:19" s="443" customFormat="1" ht="15" thickBot="1">
      <c r="A25" s="811" t="s">
        <v>889</v>
      </c>
      <c r="B25" s="966"/>
      <c r="C25" s="967">
        <f>IF(Onbekend_ele_kWh="---",0,Onbekend_ele_kWh)/1000+IF(REST_rest_ele_kWh="---",0,REST_rest_ele_kWh)/1000</f>
        <v>780.11164557062193</v>
      </c>
      <c r="D25" s="967"/>
      <c r="E25" s="967">
        <f>IF(onbekend_gas_kWh="---",0,onbekend_gas_kWh)/1000+IF(REST_rest_gas_kWh="---",0,REST_rest_gas_kWh)/1000</f>
        <v>1340.18845391235</v>
      </c>
      <c r="F25" s="967"/>
      <c r="G25" s="967"/>
      <c r="H25" s="967"/>
      <c r="I25" s="967"/>
      <c r="J25" s="967"/>
      <c r="K25" s="967"/>
      <c r="L25" s="967"/>
      <c r="M25" s="967"/>
      <c r="N25" s="967"/>
      <c r="O25" s="967"/>
      <c r="P25" s="967"/>
      <c r="Q25" s="968"/>
      <c r="R25" s="677">
        <f>SUM(C25:Q25)</f>
        <v>2120.3000994829717</v>
      </c>
      <c r="S25" s="67"/>
    </row>
    <row r="26" spans="1:19" s="443" customFormat="1" ht="15.75" thickBot="1">
      <c r="A26" s="680" t="s">
        <v>890</v>
      </c>
      <c r="B26" s="797"/>
      <c r="C26" s="792">
        <f>SUM(C24:C25)</f>
        <v>1845.5434812804638</v>
      </c>
      <c r="D26" s="792">
        <f t="shared" ref="D26:R26" si="2">SUM(D24:D25)</f>
        <v>0</v>
      </c>
      <c r="E26" s="792">
        <f t="shared" si="2"/>
        <v>1605.1904969448899</v>
      </c>
      <c r="F26" s="792">
        <f t="shared" si="2"/>
        <v>11.157432840139775</v>
      </c>
      <c r="G26" s="792">
        <f t="shared" si="2"/>
        <v>4560.8578131002669</v>
      </c>
      <c r="H26" s="792">
        <f t="shared" si="2"/>
        <v>0</v>
      </c>
      <c r="I26" s="792">
        <f t="shared" si="2"/>
        <v>0</v>
      </c>
      <c r="J26" s="792">
        <f t="shared" si="2"/>
        <v>0</v>
      </c>
      <c r="K26" s="792">
        <f t="shared" si="2"/>
        <v>95.152612557345762</v>
      </c>
      <c r="L26" s="792">
        <f t="shared" si="2"/>
        <v>0</v>
      </c>
      <c r="M26" s="792">
        <f t="shared" si="2"/>
        <v>0</v>
      </c>
      <c r="N26" s="792">
        <f t="shared" si="2"/>
        <v>0</v>
      </c>
      <c r="O26" s="792">
        <f t="shared" si="2"/>
        <v>0</v>
      </c>
      <c r="P26" s="792">
        <f t="shared" si="2"/>
        <v>0</v>
      </c>
      <c r="Q26" s="792">
        <f t="shared" si="2"/>
        <v>0</v>
      </c>
      <c r="R26" s="792">
        <f t="shared" si="2"/>
        <v>8117.9018367231056</v>
      </c>
      <c r="S26" s="67"/>
    </row>
    <row r="27" spans="1:19" s="443" customFormat="1" ht="17.25" thickTop="1" thickBot="1">
      <c r="A27" s="681" t="s">
        <v>109</v>
      </c>
      <c r="B27" s="784"/>
      <c r="C27" s="682">
        <f ca="1">C22+C16+C26</f>
        <v>380803.85150152165</v>
      </c>
      <c r="D27" s="682">
        <f t="shared" ref="D27:R27" ca="1" si="3">D22+D16+D26</f>
        <v>1632.8571428571429</v>
      </c>
      <c r="E27" s="682">
        <f t="shared" ca="1" si="3"/>
        <v>358271.8560712848</v>
      </c>
      <c r="F27" s="682">
        <f t="shared" si="3"/>
        <v>5141.9467820872833</v>
      </c>
      <c r="G27" s="682">
        <f t="shared" ca="1" si="3"/>
        <v>181053.38236188242</v>
      </c>
      <c r="H27" s="682">
        <f t="shared" si="3"/>
        <v>38126.048611885679</v>
      </c>
      <c r="I27" s="682">
        <f t="shared" si="3"/>
        <v>4771.076596866721</v>
      </c>
      <c r="J27" s="682">
        <f t="shared" si="3"/>
        <v>0</v>
      </c>
      <c r="K27" s="682">
        <f t="shared" si="3"/>
        <v>1195.3839127612723</v>
      </c>
      <c r="L27" s="682">
        <f t="shared" si="3"/>
        <v>0</v>
      </c>
      <c r="M27" s="682">
        <f t="shared" ca="1" si="3"/>
        <v>0</v>
      </c>
      <c r="N27" s="682">
        <f t="shared" si="3"/>
        <v>1861.9140531469159</v>
      </c>
      <c r="O27" s="682">
        <f t="shared" ca="1" si="3"/>
        <v>19251.924532004356</v>
      </c>
      <c r="P27" s="682">
        <f t="shared" si="3"/>
        <v>37.520000000000003</v>
      </c>
      <c r="Q27" s="682">
        <f t="shared" si="3"/>
        <v>133.46666666666667</v>
      </c>
      <c r="R27" s="682">
        <f t="shared" ca="1" si="3"/>
        <v>992281.22823296476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6429.4533051249437</v>
      </c>
      <c r="D40" s="674">
        <f ca="1">tertiair!C20</f>
        <v>0</v>
      </c>
      <c r="E40" s="674">
        <f ca="1">tertiair!D20</f>
        <v>1472.1029749189031</v>
      </c>
      <c r="F40" s="674">
        <f>tertiair!E20</f>
        <v>125.84565594281815</v>
      </c>
      <c r="G40" s="674">
        <f ca="1">tertiair!F20</f>
        <v>1393.1099764157966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9420.5119124024604</v>
      </c>
    </row>
    <row r="41" spans="1:18">
      <c r="A41" s="802" t="s">
        <v>214</v>
      </c>
      <c r="B41" s="809"/>
      <c r="C41" s="674">
        <f ca="1">huishoudens!B12</f>
        <v>3525.2885055665506</v>
      </c>
      <c r="D41" s="674">
        <f ca="1">huishoudens!C12</f>
        <v>0</v>
      </c>
      <c r="E41" s="674">
        <f>huishoudens!D12</f>
        <v>5523.084948603353</v>
      </c>
      <c r="F41" s="674">
        <f>huishoudens!E12</f>
        <v>198.38579368542483</v>
      </c>
      <c r="G41" s="674">
        <f>huishoudens!F12</f>
        <v>7965.0442235207929</v>
      </c>
      <c r="H41" s="674">
        <f>huishoudens!G12</f>
        <v>0</v>
      </c>
      <c r="I41" s="674">
        <f>huishoudens!H12</f>
        <v>0</v>
      </c>
      <c r="J41" s="674">
        <f>huishoudens!I12</f>
        <v>0</v>
      </c>
      <c r="K41" s="674">
        <f>huishoudens!J12</f>
        <v>237.79333780022989</v>
      </c>
      <c r="L41" s="674">
        <f>huishoudens!K12</f>
        <v>0</v>
      </c>
      <c r="M41" s="674">
        <f>huishoudens!L12</f>
        <v>0</v>
      </c>
      <c r="N41" s="674">
        <f>huishoudens!M12</f>
        <v>0</v>
      </c>
      <c r="O41" s="674">
        <f>huishoudens!N12</f>
        <v>0</v>
      </c>
      <c r="P41" s="674">
        <f>huishoudens!O12</f>
        <v>0</v>
      </c>
      <c r="Q41" s="749">
        <f>huishoudens!P12</f>
        <v>0</v>
      </c>
      <c r="R41" s="830">
        <f t="shared" ca="1" si="4"/>
        <v>17449.596809176353</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72806.891912873849</v>
      </c>
      <c r="D43" s="674">
        <f ca="1">industrie!C22</f>
        <v>388.04369747899159</v>
      </c>
      <c r="E43" s="674">
        <f>industrie!D22</f>
        <v>65051.180676197357</v>
      </c>
      <c r="F43" s="674">
        <f>industrie!E22</f>
        <v>806.60192972578375</v>
      </c>
      <c r="G43" s="674">
        <f>industrie!F22</f>
        <v>37765.349854588247</v>
      </c>
      <c r="H43" s="674">
        <f>industrie!G22</f>
        <v>0</v>
      </c>
      <c r="I43" s="674">
        <f>industrie!H22</f>
        <v>0</v>
      </c>
      <c r="J43" s="674">
        <f>industrie!I22</f>
        <v>0</v>
      </c>
      <c r="K43" s="674">
        <f>industrie!J22</f>
        <v>151.68854247196012</v>
      </c>
      <c r="L43" s="674">
        <f>industrie!K22</f>
        <v>0</v>
      </c>
      <c r="M43" s="674">
        <f>industrie!L22</f>
        <v>0</v>
      </c>
      <c r="N43" s="674">
        <f>industrie!M22</f>
        <v>0</v>
      </c>
      <c r="O43" s="674">
        <f>industrie!N22</f>
        <v>0</v>
      </c>
      <c r="P43" s="674">
        <f>industrie!O22</f>
        <v>0</v>
      </c>
      <c r="Q43" s="749">
        <f>industrie!P22</f>
        <v>0</v>
      </c>
      <c r="R43" s="829">
        <f t="shared" ca="1" si="4"/>
        <v>176969.75661333618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82761.633723565348</v>
      </c>
      <c r="D46" s="707">
        <f t="shared" ref="D46:Q46" ca="1" si="5">SUM(D39:D45)</f>
        <v>388.04369747899159</v>
      </c>
      <c r="E46" s="707">
        <f t="shared" ca="1" si="5"/>
        <v>72046.368599719615</v>
      </c>
      <c r="F46" s="707">
        <f t="shared" si="5"/>
        <v>1130.8333793540269</v>
      </c>
      <c r="G46" s="707">
        <f t="shared" ca="1" si="5"/>
        <v>47123.504054524834</v>
      </c>
      <c r="H46" s="707">
        <f t="shared" si="5"/>
        <v>0</v>
      </c>
      <c r="I46" s="707">
        <f t="shared" si="5"/>
        <v>0</v>
      </c>
      <c r="J46" s="707">
        <f t="shared" si="5"/>
        <v>0</v>
      </c>
      <c r="K46" s="707">
        <f t="shared" si="5"/>
        <v>389.48188027218998</v>
      </c>
      <c r="L46" s="707">
        <f t="shared" si="5"/>
        <v>0</v>
      </c>
      <c r="M46" s="707">
        <f t="shared" ca="1" si="5"/>
        <v>0</v>
      </c>
      <c r="N46" s="707">
        <f t="shared" si="5"/>
        <v>0</v>
      </c>
      <c r="O46" s="707">
        <f t="shared" ca="1" si="5"/>
        <v>0</v>
      </c>
      <c r="P46" s="707">
        <f t="shared" si="5"/>
        <v>0</v>
      </c>
      <c r="Q46" s="707">
        <f t="shared" si="5"/>
        <v>0</v>
      </c>
      <c r="R46" s="707">
        <f ca="1">SUM(R39:R45)</f>
        <v>203839.865334915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0.43544647605972636</v>
      </c>
      <c r="D49" s="674">
        <f ca="1">transport!C58</f>
        <v>0</v>
      </c>
      <c r="E49" s="674">
        <f>transport!D58</f>
        <v>0</v>
      </c>
      <c r="F49" s="674">
        <f>transport!E58</f>
        <v>0</v>
      </c>
      <c r="G49" s="674">
        <f>transport!F58</f>
        <v>0</v>
      </c>
      <c r="H49" s="674">
        <f>transport!G58</f>
        <v>115.49022552769746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115.92567200375719</v>
      </c>
    </row>
    <row r="50" spans="1:18">
      <c r="A50" s="805" t="s">
        <v>296</v>
      </c>
      <c r="B50" s="815"/>
      <c r="C50" s="973">
        <f ca="1">transport!B18</f>
        <v>8.7815333939113546E-2</v>
      </c>
      <c r="D50" s="973">
        <f>transport!C18</f>
        <v>0</v>
      </c>
      <c r="E50" s="973">
        <f>transport!D18</f>
        <v>0.29784629706218319</v>
      </c>
      <c r="F50" s="973">
        <f>transport!E18</f>
        <v>33.855802925074904</v>
      </c>
      <c r="G50" s="973">
        <f>transport!F18</f>
        <v>0</v>
      </c>
      <c r="H50" s="973">
        <f>transport!G18</f>
        <v>10064.164753845778</v>
      </c>
      <c r="I50" s="973">
        <f>transport!H18</f>
        <v>1187.9980726198135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11286.404291021669</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0.52326180999883987</v>
      </c>
      <c r="D52" s="707">
        <f t="shared" ref="D52:Q52" ca="1" si="6">SUM(D48:D51)</f>
        <v>0</v>
      </c>
      <c r="E52" s="707">
        <f t="shared" si="6"/>
        <v>0.29784629706218319</v>
      </c>
      <c r="F52" s="707">
        <f t="shared" si="6"/>
        <v>33.855802925074904</v>
      </c>
      <c r="G52" s="707">
        <f t="shared" si="6"/>
        <v>0</v>
      </c>
      <c r="H52" s="707">
        <f t="shared" si="6"/>
        <v>10179.654979373476</v>
      </c>
      <c r="I52" s="707">
        <f t="shared" si="6"/>
        <v>1187.9980726198135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11402.329963025426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232.68374113472336</v>
      </c>
      <c r="D54" s="973">
        <f ca="1">+landbouw!C12</f>
        <v>0</v>
      </c>
      <c r="E54" s="973">
        <f>+landbouw!D12</f>
        <v>53.530412692573066</v>
      </c>
      <c r="F54" s="973">
        <f>+landbouw!E12</f>
        <v>2.5327372547117291</v>
      </c>
      <c r="G54" s="973">
        <f>+landbouw!F12</f>
        <v>1217.7490360977713</v>
      </c>
      <c r="H54" s="973">
        <f>+landbouw!G12</f>
        <v>0</v>
      </c>
      <c r="I54" s="973">
        <f>+landbouw!H12</f>
        <v>0</v>
      </c>
      <c r="J54" s="973">
        <f>+landbouw!I12</f>
        <v>0</v>
      </c>
      <c r="K54" s="973">
        <f>+landbouw!J12</f>
        <v>33.684024845300399</v>
      </c>
      <c r="L54" s="973">
        <f>+landbouw!K12</f>
        <v>0</v>
      </c>
      <c r="M54" s="973">
        <f>+landbouw!L12</f>
        <v>0</v>
      </c>
      <c r="N54" s="973">
        <f>+landbouw!M12</f>
        <v>0</v>
      </c>
      <c r="O54" s="973">
        <f>+landbouw!N12</f>
        <v>0</v>
      </c>
      <c r="P54" s="973">
        <f>+landbouw!O12</f>
        <v>0</v>
      </c>
      <c r="Q54" s="974">
        <f>+landbouw!P12</f>
        <v>0</v>
      </c>
      <c r="R54" s="706">
        <f ca="1">SUM(C54:Q54)</f>
        <v>1540.1799520250797</v>
      </c>
    </row>
    <row r="55" spans="1:18" ht="15" thickBot="1">
      <c r="A55" s="805" t="s">
        <v>889</v>
      </c>
      <c r="B55" s="815"/>
      <c r="C55" s="973">
        <f ca="1">C25*'EF ele_warmte'!B12</f>
        <v>170.37157151700916</v>
      </c>
      <c r="D55" s="973"/>
      <c r="E55" s="973">
        <f>E25*EF_CO2_aardgas</f>
        <v>270.71806769029473</v>
      </c>
      <c r="F55" s="973"/>
      <c r="G55" s="973"/>
      <c r="H55" s="973"/>
      <c r="I55" s="973"/>
      <c r="J55" s="973"/>
      <c r="K55" s="973"/>
      <c r="L55" s="973"/>
      <c r="M55" s="973"/>
      <c r="N55" s="973"/>
      <c r="O55" s="973"/>
      <c r="P55" s="973"/>
      <c r="Q55" s="974"/>
      <c r="R55" s="706">
        <f ca="1">SUM(C55:Q55)</f>
        <v>441.08963920730389</v>
      </c>
    </row>
    <row r="56" spans="1:18" ht="15.75" thickBot="1">
      <c r="A56" s="803" t="s">
        <v>890</v>
      </c>
      <c r="B56" s="816"/>
      <c r="C56" s="707">
        <f ca="1">SUM(C54:C55)</f>
        <v>403.05531265173249</v>
      </c>
      <c r="D56" s="707">
        <f t="shared" ref="D56:Q56" ca="1" si="7">SUM(D54:D55)</f>
        <v>0</v>
      </c>
      <c r="E56" s="707">
        <f t="shared" si="7"/>
        <v>324.2484803828678</v>
      </c>
      <c r="F56" s="707">
        <f t="shared" si="7"/>
        <v>2.5327372547117291</v>
      </c>
      <c r="G56" s="707">
        <f t="shared" si="7"/>
        <v>1217.7490360977713</v>
      </c>
      <c r="H56" s="707">
        <f t="shared" si="7"/>
        <v>0</v>
      </c>
      <c r="I56" s="707">
        <f t="shared" si="7"/>
        <v>0</v>
      </c>
      <c r="J56" s="707">
        <f t="shared" si="7"/>
        <v>0</v>
      </c>
      <c r="K56" s="707">
        <f t="shared" si="7"/>
        <v>33.684024845300399</v>
      </c>
      <c r="L56" s="707">
        <f t="shared" si="7"/>
        <v>0</v>
      </c>
      <c r="M56" s="707">
        <f t="shared" si="7"/>
        <v>0</v>
      </c>
      <c r="N56" s="707">
        <f t="shared" si="7"/>
        <v>0</v>
      </c>
      <c r="O56" s="707">
        <f t="shared" si="7"/>
        <v>0</v>
      </c>
      <c r="P56" s="707">
        <f t="shared" si="7"/>
        <v>0</v>
      </c>
      <c r="Q56" s="708">
        <f t="shared" si="7"/>
        <v>0</v>
      </c>
      <c r="R56" s="709">
        <f ca="1">SUM(R54:R55)</f>
        <v>1981.2695912323836</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83165.21229802708</v>
      </c>
      <c r="D61" s="715">
        <f t="shared" ref="D61:Q61" ca="1" si="8">D46+D52+D56</f>
        <v>388.04369747899159</v>
      </c>
      <c r="E61" s="715">
        <f t="shared" ca="1" si="8"/>
        <v>72370.91492639955</v>
      </c>
      <c r="F61" s="715">
        <f t="shared" si="8"/>
        <v>1167.2219195338134</v>
      </c>
      <c r="G61" s="715">
        <f t="shared" ca="1" si="8"/>
        <v>48341.253090622602</v>
      </c>
      <c r="H61" s="715">
        <f t="shared" si="8"/>
        <v>10179.654979373476</v>
      </c>
      <c r="I61" s="715">
        <f t="shared" si="8"/>
        <v>1187.9980726198135</v>
      </c>
      <c r="J61" s="715">
        <f t="shared" si="8"/>
        <v>0</v>
      </c>
      <c r="K61" s="715">
        <f t="shared" si="8"/>
        <v>423.16590511749041</v>
      </c>
      <c r="L61" s="715">
        <f t="shared" si="8"/>
        <v>0</v>
      </c>
      <c r="M61" s="715">
        <f t="shared" ca="1" si="8"/>
        <v>0</v>
      </c>
      <c r="N61" s="715">
        <f t="shared" si="8"/>
        <v>0</v>
      </c>
      <c r="O61" s="715">
        <f t="shared" ca="1" si="8"/>
        <v>0</v>
      </c>
      <c r="P61" s="715">
        <f t="shared" si="8"/>
        <v>0</v>
      </c>
      <c r="Q61" s="715">
        <f t="shared" si="8"/>
        <v>0</v>
      </c>
      <c r="R61" s="715">
        <f ca="1">R46+R52+R56</f>
        <v>217223.46488917281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0.21839383181158492</v>
      </c>
      <c r="D63" s="759">
        <f t="shared" ca="1" si="9"/>
        <v>0.23764705882352941</v>
      </c>
      <c r="E63" s="975">
        <f t="shared" ca="1" si="9"/>
        <v>0.20200000000000007</v>
      </c>
      <c r="F63" s="759">
        <f t="shared" si="9"/>
        <v>0.22700000000000004</v>
      </c>
      <c r="G63" s="759">
        <f t="shared" ca="1" si="9"/>
        <v>0.26699999999999996</v>
      </c>
      <c r="H63" s="759">
        <f t="shared" si="9"/>
        <v>0.26699999999999996</v>
      </c>
      <c r="I63" s="759">
        <f t="shared" si="9"/>
        <v>0.24899999999999997</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4576.7713667171956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1143</v>
      </c>
      <c r="D76" s="985">
        <f>'lokale energieproductie'!C8</f>
        <v>1344.7058823529412</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271.63058823529417</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4576.7713667171956</v>
      </c>
      <c r="C78" s="730">
        <f>SUM(C72:C77)</f>
        <v>1143</v>
      </c>
      <c r="D78" s="731">
        <f t="shared" ref="D78:H78" si="10">SUM(D76:D77)</f>
        <v>1344.7058823529412</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271.63058823529417</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1632.8571428571429</v>
      </c>
      <c r="D87" s="752">
        <f>'lokale energieproductie'!C17</f>
        <v>1921.0084033613443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388.04369747899159</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1632.8571428571429</v>
      </c>
      <c r="D90" s="730">
        <f t="shared" ref="D90:H90" si="12">SUM(D87:D89)</f>
        <v>1921.0084033613443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388.04369747899159</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16141.886775483317</v>
      </c>
      <c r="C4" s="447">
        <f>huishoudens!C8</f>
        <v>0</v>
      </c>
      <c r="D4" s="447">
        <f>huishoudens!D8</f>
        <v>27342.004696056199</v>
      </c>
      <c r="E4" s="447">
        <f>huishoudens!E8</f>
        <v>873.94622768909619</v>
      </c>
      <c r="F4" s="447">
        <f>huishoudens!F8</f>
        <v>29831.626305321319</v>
      </c>
      <c r="G4" s="447">
        <f>huishoudens!G8</f>
        <v>0</v>
      </c>
      <c r="H4" s="447">
        <f>huishoudens!H8</f>
        <v>0</v>
      </c>
      <c r="I4" s="447">
        <f>huishoudens!I8</f>
        <v>0</v>
      </c>
      <c r="J4" s="447">
        <f>huishoudens!J8</f>
        <v>671.73259265601666</v>
      </c>
      <c r="K4" s="447">
        <f>huishoudens!K8</f>
        <v>0</v>
      </c>
      <c r="L4" s="447">
        <f>huishoudens!L8</f>
        <v>0</v>
      </c>
      <c r="M4" s="447">
        <f>huishoudens!M8</f>
        <v>0</v>
      </c>
      <c r="N4" s="447">
        <f>huishoudens!N8</f>
        <v>4446.0276311953839</v>
      </c>
      <c r="O4" s="447">
        <f>huishoudens!O8</f>
        <v>37.520000000000003</v>
      </c>
      <c r="P4" s="448">
        <f>huishoudens!P8</f>
        <v>76.266666666666666</v>
      </c>
      <c r="Q4" s="449">
        <f>SUM(B4:P4)</f>
        <v>79421.010895067986</v>
      </c>
    </row>
    <row r="5" spans="1:17">
      <c r="A5" s="446" t="s">
        <v>149</v>
      </c>
      <c r="B5" s="447">
        <f ca="1">tertiair!B16</f>
        <v>28485.249214588439</v>
      </c>
      <c r="C5" s="447">
        <f ca="1">tertiair!C16</f>
        <v>0</v>
      </c>
      <c r="D5" s="447">
        <f ca="1">tertiair!D16</f>
        <v>7287.6384896975396</v>
      </c>
      <c r="E5" s="447">
        <f>tertiair!E16</f>
        <v>554.38614952783325</v>
      </c>
      <c r="F5" s="447">
        <f ca="1">tertiair!F16</f>
        <v>5217.6403611078522</v>
      </c>
      <c r="G5" s="447">
        <f>tertiair!G16</f>
        <v>0</v>
      </c>
      <c r="H5" s="447">
        <f>tertiair!H16</f>
        <v>0</v>
      </c>
      <c r="I5" s="447">
        <f>tertiair!I16</f>
        <v>0</v>
      </c>
      <c r="J5" s="447">
        <f>tertiair!J16</f>
        <v>0</v>
      </c>
      <c r="K5" s="447">
        <f>tertiair!K16</f>
        <v>0</v>
      </c>
      <c r="L5" s="447">
        <f ca="1">tertiair!L16</f>
        <v>0</v>
      </c>
      <c r="M5" s="447">
        <f>tertiair!M16</f>
        <v>0</v>
      </c>
      <c r="N5" s="447">
        <f ca="1">tertiair!N16</f>
        <v>927.37285027069072</v>
      </c>
      <c r="O5" s="447">
        <f>tertiair!O16</f>
        <v>0</v>
      </c>
      <c r="P5" s="448">
        <f>tertiair!P16</f>
        <v>57.2</v>
      </c>
      <c r="Q5" s="446">
        <f t="shared" ref="Q5:Q14" ca="1" si="0">SUM(B5:P5)</f>
        <v>42529.487065192348</v>
      </c>
    </row>
    <row r="6" spans="1:17">
      <c r="A6" s="446" t="s">
        <v>187</v>
      </c>
      <c r="B6" s="447">
        <f>'openbare verlichting'!B8</f>
        <v>954.471</v>
      </c>
      <c r="C6" s="447"/>
      <c r="D6" s="447"/>
      <c r="E6" s="447"/>
      <c r="F6" s="447"/>
      <c r="G6" s="447"/>
      <c r="H6" s="447"/>
      <c r="I6" s="447"/>
      <c r="J6" s="447"/>
      <c r="K6" s="447"/>
      <c r="L6" s="447"/>
      <c r="M6" s="447"/>
      <c r="N6" s="447"/>
      <c r="O6" s="447"/>
      <c r="P6" s="448"/>
      <c r="Q6" s="446">
        <f t="shared" si="0"/>
        <v>954.471</v>
      </c>
    </row>
    <row r="7" spans="1:17">
      <c r="A7" s="446" t="s">
        <v>105</v>
      </c>
      <c r="B7" s="447">
        <f>landbouw!B8</f>
        <v>1065.4318357098418</v>
      </c>
      <c r="C7" s="447">
        <f>landbouw!C8</f>
        <v>0</v>
      </c>
      <c r="D7" s="447">
        <f>landbouw!D8</f>
        <v>265.00204303253992</v>
      </c>
      <c r="E7" s="447">
        <f>landbouw!E8</f>
        <v>11.157432840139775</v>
      </c>
      <c r="F7" s="447">
        <f>landbouw!F8</f>
        <v>4560.8578131002669</v>
      </c>
      <c r="G7" s="447">
        <f>landbouw!G8</f>
        <v>0</v>
      </c>
      <c r="H7" s="447">
        <f>landbouw!H8</f>
        <v>0</v>
      </c>
      <c r="I7" s="447">
        <f>landbouw!I8</f>
        <v>0</v>
      </c>
      <c r="J7" s="447">
        <f>landbouw!J8</f>
        <v>95.152612557345762</v>
      </c>
      <c r="K7" s="447">
        <f>landbouw!K8</f>
        <v>0</v>
      </c>
      <c r="L7" s="447">
        <f>landbouw!L8</f>
        <v>0</v>
      </c>
      <c r="M7" s="447">
        <f>landbouw!M8</f>
        <v>0</v>
      </c>
      <c r="N7" s="447">
        <f>landbouw!N8</f>
        <v>0</v>
      </c>
      <c r="O7" s="447">
        <f>landbouw!O8</f>
        <v>0</v>
      </c>
      <c r="P7" s="448">
        <f>landbouw!P8</f>
        <v>0</v>
      </c>
      <c r="Q7" s="446">
        <f t="shared" si="0"/>
        <v>5997.6017372401338</v>
      </c>
    </row>
    <row r="8" spans="1:17">
      <c r="A8" s="446" t="s">
        <v>637</v>
      </c>
      <c r="B8" s="447">
        <f>industrie!B18</f>
        <v>333374.30507509294</v>
      </c>
      <c r="C8" s="447">
        <f>industrie!C18</f>
        <v>1632.8571428571429</v>
      </c>
      <c r="D8" s="447">
        <f>industrie!D18</f>
        <v>322035.54790196707</v>
      </c>
      <c r="E8" s="447">
        <f>industrie!E18</f>
        <v>3553.3124657523513</v>
      </c>
      <c r="F8" s="447">
        <f>industrie!F18</f>
        <v>141443.25788235298</v>
      </c>
      <c r="G8" s="447">
        <f>industrie!G18</f>
        <v>0</v>
      </c>
      <c r="H8" s="447">
        <f>industrie!H18</f>
        <v>0</v>
      </c>
      <c r="I8" s="447">
        <f>industrie!I18</f>
        <v>0</v>
      </c>
      <c r="J8" s="447">
        <f>industrie!J18</f>
        <v>428.49870754790999</v>
      </c>
      <c r="K8" s="447">
        <f>industrie!K18</f>
        <v>0</v>
      </c>
      <c r="L8" s="447">
        <f>industrie!L18</f>
        <v>0</v>
      </c>
      <c r="M8" s="447">
        <f>industrie!M18</f>
        <v>0</v>
      </c>
      <c r="N8" s="447">
        <f>industrie!N18</f>
        <v>13878.524050538279</v>
      </c>
      <c r="O8" s="447">
        <f>industrie!O18</f>
        <v>0</v>
      </c>
      <c r="P8" s="448">
        <f>industrie!P18</f>
        <v>0</v>
      </c>
      <c r="Q8" s="446">
        <f t="shared" si="0"/>
        <v>816346.30322610866</v>
      </c>
    </row>
    <row r="9" spans="1:17" s="452" customFormat="1">
      <c r="A9" s="450" t="s">
        <v>556</v>
      </c>
      <c r="B9" s="451">
        <f>transport!B14</f>
        <v>0.40209621860966538</v>
      </c>
      <c r="C9" s="451">
        <f>transport!C14</f>
        <v>0</v>
      </c>
      <c r="D9" s="451">
        <f>transport!D14</f>
        <v>1.4744866191197186</v>
      </c>
      <c r="E9" s="451">
        <f>transport!E14</f>
        <v>149.144506277863</v>
      </c>
      <c r="F9" s="451">
        <f>transport!F14</f>
        <v>0</v>
      </c>
      <c r="G9" s="451">
        <f>transport!G14</f>
        <v>37693.500950733251</v>
      </c>
      <c r="H9" s="451">
        <f>transport!H14</f>
        <v>4771.076596866721</v>
      </c>
      <c r="I9" s="451">
        <f>transport!I14</f>
        <v>0</v>
      </c>
      <c r="J9" s="451">
        <f>transport!J14</f>
        <v>0</v>
      </c>
      <c r="K9" s="451">
        <f>transport!K14</f>
        <v>0</v>
      </c>
      <c r="L9" s="451">
        <f>transport!L14</f>
        <v>0</v>
      </c>
      <c r="M9" s="451">
        <f>transport!M14</f>
        <v>1843.3940238196519</v>
      </c>
      <c r="N9" s="451">
        <f>transport!N14</f>
        <v>0</v>
      </c>
      <c r="O9" s="451">
        <f>transport!O14</f>
        <v>0</v>
      </c>
      <c r="P9" s="451">
        <f>transport!P14</f>
        <v>0</v>
      </c>
      <c r="Q9" s="450">
        <f>SUM(B9:P9)</f>
        <v>44458.992660535216</v>
      </c>
    </row>
    <row r="10" spans="1:17">
      <c r="A10" s="446" t="s">
        <v>546</v>
      </c>
      <c r="B10" s="447">
        <f>transport!B54</f>
        <v>1.9938588578609648</v>
      </c>
      <c r="C10" s="447">
        <f>transport!C54</f>
        <v>0</v>
      </c>
      <c r="D10" s="447">
        <f>transport!D54</f>
        <v>0</v>
      </c>
      <c r="E10" s="447">
        <f>transport!E54</f>
        <v>0</v>
      </c>
      <c r="F10" s="447">
        <f>transport!F54</f>
        <v>0</v>
      </c>
      <c r="G10" s="447">
        <f>transport!G54</f>
        <v>432.54766115242495</v>
      </c>
      <c r="H10" s="447">
        <f>transport!H54</f>
        <v>0</v>
      </c>
      <c r="I10" s="447">
        <f>transport!I54</f>
        <v>0</v>
      </c>
      <c r="J10" s="447">
        <f>transport!J54</f>
        <v>0</v>
      </c>
      <c r="K10" s="447">
        <f>transport!K54</f>
        <v>0</v>
      </c>
      <c r="L10" s="447">
        <f>transport!L54</f>
        <v>0</v>
      </c>
      <c r="M10" s="447">
        <f>transport!M54</f>
        <v>18.520029327263991</v>
      </c>
      <c r="N10" s="447">
        <f>transport!N54</f>
        <v>0</v>
      </c>
      <c r="O10" s="447">
        <f>transport!O54</f>
        <v>0</v>
      </c>
      <c r="P10" s="448">
        <f>transport!P54</f>
        <v>0</v>
      </c>
      <c r="Q10" s="446">
        <f t="shared" si="0"/>
        <v>453.06154933754993</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780.11164557062193</v>
      </c>
      <c r="C14" s="454"/>
      <c r="D14" s="454">
        <f>'SEAP template'!E25</f>
        <v>1340.18845391235</v>
      </c>
      <c r="E14" s="454"/>
      <c r="F14" s="454"/>
      <c r="G14" s="454"/>
      <c r="H14" s="454"/>
      <c r="I14" s="454"/>
      <c r="J14" s="454"/>
      <c r="K14" s="454"/>
      <c r="L14" s="454"/>
      <c r="M14" s="454"/>
      <c r="N14" s="454"/>
      <c r="O14" s="454"/>
      <c r="P14" s="455"/>
      <c r="Q14" s="446">
        <f t="shared" si="0"/>
        <v>2120.3000994829717</v>
      </c>
    </row>
    <row r="15" spans="1:17" s="459" customFormat="1">
      <c r="A15" s="456" t="s">
        <v>550</v>
      </c>
      <c r="B15" s="457">
        <f ca="1">SUM(B4:B14)</f>
        <v>380803.8515015216</v>
      </c>
      <c r="C15" s="457">
        <f t="shared" ref="C15:Q15" ca="1" si="1">SUM(C4:C14)</f>
        <v>1632.8571428571429</v>
      </c>
      <c r="D15" s="457">
        <f t="shared" ca="1" si="1"/>
        <v>358271.8560712848</v>
      </c>
      <c r="E15" s="457">
        <f t="shared" si="1"/>
        <v>5141.9467820872833</v>
      </c>
      <c r="F15" s="457">
        <f t="shared" ca="1" si="1"/>
        <v>181053.38236188242</v>
      </c>
      <c r="G15" s="457">
        <f t="shared" si="1"/>
        <v>38126.048611885679</v>
      </c>
      <c r="H15" s="457">
        <f t="shared" si="1"/>
        <v>4771.076596866721</v>
      </c>
      <c r="I15" s="457">
        <f t="shared" si="1"/>
        <v>0</v>
      </c>
      <c r="J15" s="457">
        <f t="shared" si="1"/>
        <v>1195.3839127612723</v>
      </c>
      <c r="K15" s="457">
        <f t="shared" si="1"/>
        <v>0</v>
      </c>
      <c r="L15" s="457">
        <f t="shared" ca="1" si="1"/>
        <v>0</v>
      </c>
      <c r="M15" s="457">
        <f t="shared" si="1"/>
        <v>1861.9140531469159</v>
      </c>
      <c r="N15" s="457">
        <f t="shared" ca="1" si="1"/>
        <v>19251.924532004356</v>
      </c>
      <c r="O15" s="457">
        <f t="shared" si="1"/>
        <v>37.520000000000003</v>
      </c>
      <c r="P15" s="457">
        <f t="shared" si="1"/>
        <v>133.46666666666667</v>
      </c>
      <c r="Q15" s="457">
        <f t="shared" ca="1" si="1"/>
        <v>992281.22823296499</v>
      </c>
    </row>
    <row r="17" spans="1:17">
      <c r="A17" s="460" t="s">
        <v>551</v>
      </c>
      <c r="B17" s="764">
        <f ca="1">huishoudens!B10</f>
        <v>0.21839383181158492</v>
      </c>
      <c r="C17" s="764">
        <f ca="1">huishoudens!C10</f>
        <v>0.23764705882352941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3525.2885055665506</v>
      </c>
      <c r="C22" s="447">
        <f t="shared" ref="C22:C32" ca="1" si="3">C4*$C$17</f>
        <v>0</v>
      </c>
      <c r="D22" s="447">
        <f t="shared" ref="D22:D32" si="4">D4*$D$17</f>
        <v>5523.084948603353</v>
      </c>
      <c r="E22" s="447">
        <f t="shared" ref="E22:E32" si="5">E4*$E$17</f>
        <v>198.38579368542483</v>
      </c>
      <c r="F22" s="447">
        <f t="shared" ref="F22:F32" si="6">F4*$F$17</f>
        <v>7965.0442235207929</v>
      </c>
      <c r="G22" s="447">
        <f t="shared" ref="G22:G32" si="7">G4*$G$17</f>
        <v>0</v>
      </c>
      <c r="H22" s="447">
        <f t="shared" ref="H22:H32" si="8">H4*$H$17</f>
        <v>0</v>
      </c>
      <c r="I22" s="447">
        <f t="shared" ref="I22:I32" si="9">I4*$I$17</f>
        <v>0</v>
      </c>
      <c r="J22" s="447">
        <f t="shared" ref="J22:J32" si="10">J4*$J$17</f>
        <v>237.79333780022989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17449.596809176353</v>
      </c>
    </row>
    <row r="23" spans="1:17">
      <c r="A23" s="446" t="s">
        <v>149</v>
      </c>
      <c r="B23" s="447">
        <f t="shared" ca="1" si="2"/>
        <v>6221.0027260819088</v>
      </c>
      <c r="C23" s="447">
        <f t="shared" ca="1" si="3"/>
        <v>0</v>
      </c>
      <c r="D23" s="447">
        <f t="shared" ca="1" si="4"/>
        <v>1472.1029749189031</v>
      </c>
      <c r="E23" s="447">
        <f t="shared" si="5"/>
        <v>125.84565594281815</v>
      </c>
      <c r="F23" s="447">
        <f t="shared" ca="1" si="6"/>
        <v>1393.1099764157966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9212.0613333594265</v>
      </c>
    </row>
    <row r="24" spans="1:17">
      <c r="A24" s="446" t="s">
        <v>187</v>
      </c>
      <c r="B24" s="447">
        <f t="shared" ca="1" si="2"/>
        <v>208.45057904303528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208.45057904303528</v>
      </c>
    </row>
    <row r="25" spans="1:17">
      <c r="A25" s="446" t="s">
        <v>105</v>
      </c>
      <c r="B25" s="447">
        <f t="shared" ca="1" si="2"/>
        <v>232.68374113472336</v>
      </c>
      <c r="C25" s="447">
        <f t="shared" ca="1" si="3"/>
        <v>0</v>
      </c>
      <c r="D25" s="447">
        <f t="shared" si="4"/>
        <v>53.530412692573066</v>
      </c>
      <c r="E25" s="447">
        <f t="shared" si="5"/>
        <v>2.5327372547117291</v>
      </c>
      <c r="F25" s="447">
        <f t="shared" si="6"/>
        <v>1217.7490360977713</v>
      </c>
      <c r="G25" s="447">
        <f t="shared" si="7"/>
        <v>0</v>
      </c>
      <c r="H25" s="447">
        <f t="shared" si="8"/>
        <v>0</v>
      </c>
      <c r="I25" s="447">
        <f t="shared" si="9"/>
        <v>0</v>
      </c>
      <c r="J25" s="447">
        <f t="shared" si="10"/>
        <v>33.684024845300399</v>
      </c>
      <c r="K25" s="447">
        <f t="shared" si="11"/>
        <v>0</v>
      </c>
      <c r="L25" s="447">
        <f t="shared" si="12"/>
        <v>0</v>
      </c>
      <c r="M25" s="447">
        <f t="shared" si="13"/>
        <v>0</v>
      </c>
      <c r="N25" s="447">
        <f t="shared" si="14"/>
        <v>0</v>
      </c>
      <c r="O25" s="447">
        <f t="shared" si="15"/>
        <v>0</v>
      </c>
      <c r="P25" s="448">
        <f t="shared" si="16"/>
        <v>0</v>
      </c>
      <c r="Q25" s="446">
        <f t="shared" ca="1" si="17"/>
        <v>1540.1799520250797</v>
      </c>
    </row>
    <row r="26" spans="1:17">
      <c r="A26" s="446" t="s">
        <v>637</v>
      </c>
      <c r="B26" s="447">
        <f t="shared" ca="1" si="2"/>
        <v>72806.891912873849</v>
      </c>
      <c r="C26" s="447">
        <f t="shared" ca="1" si="3"/>
        <v>388.04369747899159</v>
      </c>
      <c r="D26" s="447">
        <f t="shared" si="4"/>
        <v>65051.180676197357</v>
      </c>
      <c r="E26" s="447">
        <f t="shared" si="5"/>
        <v>806.60192972578375</v>
      </c>
      <c r="F26" s="447">
        <f t="shared" si="6"/>
        <v>37765.349854588247</v>
      </c>
      <c r="G26" s="447">
        <f t="shared" si="7"/>
        <v>0</v>
      </c>
      <c r="H26" s="447">
        <f t="shared" si="8"/>
        <v>0</v>
      </c>
      <c r="I26" s="447">
        <f t="shared" si="9"/>
        <v>0</v>
      </c>
      <c r="J26" s="447">
        <f t="shared" si="10"/>
        <v>151.68854247196012</v>
      </c>
      <c r="K26" s="447">
        <f t="shared" si="11"/>
        <v>0</v>
      </c>
      <c r="L26" s="447">
        <f t="shared" si="12"/>
        <v>0</v>
      </c>
      <c r="M26" s="447">
        <f t="shared" si="13"/>
        <v>0</v>
      </c>
      <c r="N26" s="447">
        <f t="shared" si="14"/>
        <v>0</v>
      </c>
      <c r="O26" s="447">
        <f t="shared" si="15"/>
        <v>0</v>
      </c>
      <c r="P26" s="448">
        <f t="shared" si="16"/>
        <v>0</v>
      </c>
      <c r="Q26" s="446">
        <f t="shared" ca="1" si="17"/>
        <v>176969.75661333618</v>
      </c>
    </row>
    <row r="27" spans="1:17" s="452" customFormat="1">
      <c r="A27" s="450" t="s">
        <v>556</v>
      </c>
      <c r="B27" s="758">
        <f t="shared" ca="1" si="2"/>
        <v>8.7815333939113546E-2</v>
      </c>
      <c r="C27" s="451">
        <f t="shared" ca="1" si="3"/>
        <v>0</v>
      </c>
      <c r="D27" s="451">
        <f t="shared" si="4"/>
        <v>0.29784629706218319</v>
      </c>
      <c r="E27" s="451">
        <f t="shared" si="5"/>
        <v>33.855802925074904</v>
      </c>
      <c r="F27" s="451">
        <f t="shared" si="6"/>
        <v>0</v>
      </c>
      <c r="G27" s="451">
        <f t="shared" si="7"/>
        <v>10064.164753845778</v>
      </c>
      <c r="H27" s="451">
        <f t="shared" si="8"/>
        <v>1187.9980726198135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11286.404291021669</v>
      </c>
    </row>
    <row r="28" spans="1:17">
      <c r="A28" s="446" t="s">
        <v>546</v>
      </c>
      <c r="B28" s="447">
        <f t="shared" ca="1" si="2"/>
        <v>0.43544647605972636</v>
      </c>
      <c r="C28" s="447">
        <f t="shared" ca="1" si="3"/>
        <v>0</v>
      </c>
      <c r="D28" s="447">
        <f t="shared" si="4"/>
        <v>0</v>
      </c>
      <c r="E28" s="447">
        <f t="shared" si="5"/>
        <v>0</v>
      </c>
      <c r="F28" s="447">
        <f t="shared" si="6"/>
        <v>0</v>
      </c>
      <c r="G28" s="447">
        <f t="shared" si="7"/>
        <v>115.49022552769746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115.92567200375719</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170.37157151700916</v>
      </c>
      <c r="C32" s="447">
        <f t="shared" ca="1" si="3"/>
        <v>0</v>
      </c>
      <c r="D32" s="447">
        <f t="shared" si="4"/>
        <v>270.71806769029473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441.08963920730389</v>
      </c>
    </row>
    <row r="33" spans="1:17" s="459" customFormat="1">
      <c r="A33" s="456" t="s">
        <v>550</v>
      </c>
      <c r="B33" s="457">
        <f ca="1">SUM(B22:B32)</f>
        <v>83165.21229802708</v>
      </c>
      <c r="C33" s="457">
        <f t="shared" ref="C33:Q33" ca="1" si="19">SUM(C22:C32)</f>
        <v>388.04369747899159</v>
      </c>
      <c r="D33" s="457">
        <f t="shared" ca="1" si="19"/>
        <v>72370.91492639955</v>
      </c>
      <c r="E33" s="457">
        <f t="shared" si="19"/>
        <v>1167.2219195338134</v>
      </c>
      <c r="F33" s="457">
        <f t="shared" ca="1" si="19"/>
        <v>48341.253090622609</v>
      </c>
      <c r="G33" s="457">
        <f t="shared" si="19"/>
        <v>10179.654979373476</v>
      </c>
      <c r="H33" s="457">
        <f t="shared" si="19"/>
        <v>1187.9980726198135</v>
      </c>
      <c r="I33" s="457">
        <f t="shared" si="19"/>
        <v>0</v>
      </c>
      <c r="J33" s="457">
        <f t="shared" si="19"/>
        <v>423.16590511749041</v>
      </c>
      <c r="K33" s="457">
        <f t="shared" si="19"/>
        <v>0</v>
      </c>
      <c r="L33" s="457">
        <f t="shared" ca="1" si="19"/>
        <v>0</v>
      </c>
      <c r="M33" s="457">
        <f t="shared" si="19"/>
        <v>0</v>
      </c>
      <c r="N33" s="457">
        <f t="shared" ca="1" si="19"/>
        <v>0</v>
      </c>
      <c r="O33" s="457">
        <f t="shared" si="19"/>
        <v>0</v>
      </c>
      <c r="P33" s="457">
        <f t="shared" si="19"/>
        <v>0</v>
      </c>
      <c r="Q33" s="457">
        <f t="shared" ca="1" si="19"/>
        <v>217223.46488917278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4576.7713667171956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1143</v>
      </c>
      <c r="D8" s="1006">
        <f>'SEAP template'!D76</f>
        <v>1344.7058823529412</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271.63058823529417</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4576.7713667171956</v>
      </c>
      <c r="C10" s="1010">
        <f>SUM(C4:C9)</f>
        <v>1143</v>
      </c>
      <c r="D10" s="1010">
        <f t="shared" ref="D10:H10" si="0">SUM(D8:D9)</f>
        <v>1344.7058823529412</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271.63058823529417</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0.21839383181158492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1632.8571428571429</v>
      </c>
      <c r="D17" s="1007">
        <f>'SEAP template'!D87</f>
        <v>1921.0084033613443</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388.04369747899159</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1632.8571428571429</v>
      </c>
      <c r="D20" s="1010">
        <f t="shared" ref="D20:H20" si="2">SUM(D17:D19)</f>
        <v>1921.0084033613443</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388.04369747899159</v>
      </c>
    </row>
    <row r="22" spans="1:16">
      <c r="A22" s="460" t="s">
        <v>910</v>
      </c>
      <c r="B22" s="764" t="s">
        <v>904</v>
      </c>
      <c r="C22" s="764">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0.21839383181158492</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0.21839383181158492</v>
      </c>
      <c r="C17" s="496">
        <f ca="1">'EF ele_warmte'!B22</f>
        <v>0.23764705882352941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0.21839383181158492</v>
      </c>
      <c r="C29" s="497">
        <f ca="1">'EF ele_warmte'!B22</f>
        <v>0.23764705882352941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3593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1051</v>
      </c>
      <c r="C14" s="326"/>
      <c r="D14" s="326"/>
      <c r="E14" s="326"/>
      <c r="F14" s="326"/>
    </row>
    <row r="15" spans="1:6">
      <c r="A15" s="1280" t="s">
        <v>177</v>
      </c>
      <c r="B15" s="1281">
        <v>518</v>
      </c>
      <c r="C15" s="326"/>
      <c r="D15" s="326"/>
      <c r="E15" s="326"/>
      <c r="F15" s="326"/>
    </row>
    <row r="16" spans="1:6">
      <c r="A16" s="1280" t="s">
        <v>6</v>
      </c>
      <c r="B16" s="1281">
        <v>279</v>
      </c>
      <c r="C16" s="326"/>
      <c r="D16" s="326"/>
      <c r="E16" s="326"/>
      <c r="F16" s="326"/>
    </row>
    <row r="17" spans="1:6">
      <c r="A17" s="1280" t="s">
        <v>7</v>
      </c>
      <c r="B17" s="1281">
        <v>580</v>
      </c>
      <c r="C17" s="326"/>
      <c r="D17" s="326"/>
      <c r="E17" s="326"/>
      <c r="F17" s="326"/>
    </row>
    <row r="18" spans="1:6">
      <c r="A18" s="1280" t="s">
        <v>8</v>
      </c>
      <c r="B18" s="1281">
        <v>750</v>
      </c>
      <c r="C18" s="326"/>
      <c r="D18" s="326"/>
      <c r="E18" s="326"/>
      <c r="F18" s="326"/>
    </row>
    <row r="19" spans="1:6">
      <c r="A19" s="1280" t="s">
        <v>9</v>
      </c>
      <c r="B19" s="1281">
        <v>766</v>
      </c>
      <c r="C19" s="326"/>
      <c r="D19" s="326"/>
      <c r="E19" s="326"/>
      <c r="F19" s="326"/>
    </row>
    <row r="20" spans="1:6">
      <c r="A20" s="1280" t="s">
        <v>10</v>
      </c>
      <c r="B20" s="1281">
        <v>482</v>
      </c>
      <c r="C20" s="326"/>
      <c r="D20" s="326"/>
      <c r="E20" s="326"/>
      <c r="F20" s="326"/>
    </row>
    <row r="21" spans="1:6">
      <c r="A21" s="1280" t="s">
        <v>11</v>
      </c>
      <c r="B21" s="1281">
        <v>4297</v>
      </c>
      <c r="C21" s="326"/>
      <c r="D21" s="326"/>
      <c r="E21" s="326"/>
      <c r="F21" s="326"/>
    </row>
    <row r="22" spans="1:6">
      <c r="A22" s="1280" t="s">
        <v>12</v>
      </c>
      <c r="B22" s="1281">
        <v>15617</v>
      </c>
      <c r="C22" s="326"/>
      <c r="D22" s="326"/>
      <c r="E22" s="326"/>
      <c r="F22" s="326"/>
    </row>
    <row r="23" spans="1:6">
      <c r="A23" s="1280" t="s">
        <v>13</v>
      </c>
      <c r="B23" s="1281">
        <v>188</v>
      </c>
      <c r="C23" s="326"/>
      <c r="D23" s="326"/>
      <c r="E23" s="326"/>
      <c r="F23" s="326"/>
    </row>
    <row r="24" spans="1:6">
      <c r="A24" s="1280" t="s">
        <v>14</v>
      </c>
      <c r="B24" s="1281">
        <v>10</v>
      </c>
      <c r="C24" s="326"/>
      <c r="D24" s="326"/>
      <c r="E24" s="326"/>
      <c r="F24" s="326"/>
    </row>
    <row r="25" spans="1:6">
      <c r="A25" s="1280" t="s">
        <v>15</v>
      </c>
      <c r="B25" s="1281">
        <v>1168</v>
      </c>
      <c r="C25" s="326"/>
      <c r="D25" s="326"/>
      <c r="E25" s="326"/>
      <c r="F25" s="326"/>
    </row>
    <row r="26" spans="1:6">
      <c r="A26" s="1280" t="s">
        <v>16</v>
      </c>
      <c r="B26" s="1281">
        <v>56</v>
      </c>
      <c r="C26" s="326"/>
      <c r="D26" s="326"/>
      <c r="E26" s="326"/>
      <c r="F26" s="326"/>
    </row>
    <row r="27" spans="1:6">
      <c r="A27" s="1280" t="s">
        <v>17</v>
      </c>
      <c r="B27" s="1281">
        <v>3</v>
      </c>
      <c r="C27" s="326"/>
      <c r="D27" s="326"/>
      <c r="E27" s="326"/>
      <c r="F27" s="326"/>
    </row>
    <row r="28" spans="1:6">
      <c r="A28" s="1280" t="s">
        <v>18</v>
      </c>
      <c r="B28" s="1282">
        <v>40290</v>
      </c>
      <c r="C28" s="326"/>
      <c r="D28" s="326"/>
      <c r="E28" s="326"/>
      <c r="F28" s="326"/>
    </row>
    <row r="29" spans="1:6">
      <c r="A29" s="1280" t="s">
        <v>972</v>
      </c>
      <c r="B29" s="1282">
        <v>25</v>
      </c>
      <c r="C29" s="326"/>
      <c r="D29" s="326"/>
      <c r="E29" s="326"/>
      <c r="F29" s="326"/>
    </row>
    <row r="30" spans="1:6">
      <c r="A30" s="1275" t="s">
        <v>973</v>
      </c>
      <c r="B30" s="1283">
        <v>10</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3</v>
      </c>
      <c r="F36" s="1281">
        <v>5770.4255036732002</v>
      </c>
    </row>
    <row r="37" spans="1:6">
      <c r="A37" s="1280" t="s">
        <v>24</v>
      </c>
      <c r="B37" s="1280" t="s">
        <v>27</v>
      </c>
      <c r="C37" s="1281">
        <v>0</v>
      </c>
      <c r="D37" s="1281">
        <v>0</v>
      </c>
      <c r="E37" s="1281">
        <v>0</v>
      </c>
      <c r="F37" s="1281">
        <v>0</v>
      </c>
    </row>
    <row r="38" spans="1:6">
      <c r="A38" s="1280" t="s">
        <v>24</v>
      </c>
      <c r="B38" s="1280" t="s">
        <v>28</v>
      </c>
      <c r="C38" s="1281">
        <v>0</v>
      </c>
      <c r="D38" s="1281">
        <v>0</v>
      </c>
      <c r="E38" s="1281">
        <v>0</v>
      </c>
      <c r="F38" s="1281">
        <v>0</v>
      </c>
    </row>
    <row r="39" spans="1:6">
      <c r="A39" s="1280" t="s">
        <v>29</v>
      </c>
      <c r="B39" s="1280" t="s">
        <v>30</v>
      </c>
      <c r="C39" s="1281">
        <v>1871</v>
      </c>
      <c r="D39" s="1281">
        <v>30290129.599911001</v>
      </c>
      <c r="E39" s="1281">
        <v>3351</v>
      </c>
      <c r="F39" s="1281">
        <v>15272532.487216201</v>
      </c>
    </row>
    <row r="40" spans="1:6">
      <c r="A40" s="1280" t="s">
        <v>29</v>
      </c>
      <c r="B40" s="1280" t="s">
        <v>28</v>
      </c>
      <c r="C40" s="1281">
        <v>1</v>
      </c>
      <c r="D40" s="1281">
        <v>22514.187290997001</v>
      </c>
      <c r="E40" s="1281">
        <v>1</v>
      </c>
      <c r="F40" s="1281">
        <v>8187.5009912721998</v>
      </c>
    </row>
    <row r="41" spans="1:6">
      <c r="A41" s="1280" t="s">
        <v>31</v>
      </c>
      <c r="B41" s="1280" t="s">
        <v>32</v>
      </c>
      <c r="C41" s="1281">
        <v>32</v>
      </c>
      <c r="D41" s="1281">
        <v>58913009.4737354</v>
      </c>
      <c r="E41" s="1281">
        <v>128</v>
      </c>
      <c r="F41" s="1281">
        <v>162265722.01688501</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11</v>
      </c>
      <c r="F44" s="1281">
        <v>298394.51091870299</v>
      </c>
    </row>
    <row r="45" spans="1:6">
      <c r="A45" s="1280" t="s">
        <v>31</v>
      </c>
      <c r="B45" s="1280" t="s">
        <v>36</v>
      </c>
      <c r="C45" s="1281">
        <v>0</v>
      </c>
      <c r="D45" s="1281">
        <v>0</v>
      </c>
      <c r="E45" s="1281">
        <v>3</v>
      </c>
      <c r="F45" s="1281">
        <v>475453.57432635798</v>
      </c>
    </row>
    <row r="46" spans="1:6">
      <c r="A46" s="1280" t="s">
        <v>31</v>
      </c>
      <c r="B46" s="1280" t="s">
        <v>37</v>
      </c>
      <c r="C46" s="1281">
        <v>0</v>
      </c>
      <c r="D46" s="1281">
        <v>0</v>
      </c>
      <c r="E46" s="1281">
        <v>0</v>
      </c>
      <c r="F46" s="1281">
        <v>0</v>
      </c>
    </row>
    <row r="47" spans="1:6">
      <c r="A47" s="1280" t="s">
        <v>31</v>
      </c>
      <c r="B47" s="1280" t="s">
        <v>38</v>
      </c>
      <c r="C47" s="1281">
        <v>3</v>
      </c>
      <c r="D47" s="1281">
        <v>64981.020309286803</v>
      </c>
      <c r="E47" s="1281">
        <v>4</v>
      </c>
      <c r="F47" s="1281">
        <v>754839.03480349598</v>
      </c>
    </row>
    <row r="48" spans="1:6">
      <c r="A48" s="1280" t="s">
        <v>31</v>
      </c>
      <c r="B48" s="1280" t="s">
        <v>28</v>
      </c>
      <c r="C48" s="1281">
        <v>26</v>
      </c>
      <c r="D48" s="1281">
        <v>181196479.51982501</v>
      </c>
      <c r="E48" s="1281">
        <v>46</v>
      </c>
      <c r="F48" s="1281">
        <v>59940015.880230904</v>
      </c>
    </row>
    <row r="49" spans="1:6">
      <c r="A49" s="1280" t="s">
        <v>31</v>
      </c>
      <c r="B49" s="1280" t="s">
        <v>39</v>
      </c>
      <c r="C49" s="1281">
        <v>9</v>
      </c>
      <c r="D49" s="1281">
        <v>119650965.929187</v>
      </c>
      <c r="E49" s="1281">
        <v>32</v>
      </c>
      <c r="F49" s="1281">
        <v>108154740.39763699</v>
      </c>
    </row>
    <row r="50" spans="1:6">
      <c r="A50" s="1280" t="s">
        <v>31</v>
      </c>
      <c r="B50" s="1280" t="s">
        <v>40</v>
      </c>
      <c r="C50" s="1281">
        <v>8</v>
      </c>
      <c r="D50" s="1281">
        <v>818978.89916205697</v>
      </c>
      <c r="E50" s="1281">
        <v>9</v>
      </c>
      <c r="F50" s="1281">
        <v>342139.66029145999</v>
      </c>
    </row>
    <row r="51" spans="1:6">
      <c r="A51" s="1280" t="s">
        <v>41</v>
      </c>
      <c r="B51" s="1280" t="s">
        <v>42</v>
      </c>
      <c r="C51" s="1281">
        <v>0</v>
      </c>
      <c r="D51" s="1281">
        <v>0</v>
      </c>
      <c r="E51" s="1281">
        <v>61</v>
      </c>
      <c r="F51" s="1281">
        <v>966008.38195795205</v>
      </c>
    </row>
    <row r="52" spans="1:6">
      <c r="A52" s="1280" t="s">
        <v>41</v>
      </c>
      <c r="B52" s="1280" t="s">
        <v>28</v>
      </c>
      <c r="C52" s="1281">
        <v>8</v>
      </c>
      <c r="D52" s="1281">
        <v>293793.83928219503</v>
      </c>
      <c r="E52" s="1281">
        <v>6</v>
      </c>
      <c r="F52" s="1281">
        <v>99423.4537518898</v>
      </c>
    </row>
    <row r="53" spans="1:6">
      <c r="A53" s="1280" t="s">
        <v>43</v>
      </c>
      <c r="B53" s="1280" t="s">
        <v>44</v>
      </c>
      <c r="C53" s="1281">
        <v>67</v>
      </c>
      <c r="D53" s="1281">
        <v>1340188.4539123501</v>
      </c>
      <c r="E53" s="1281">
        <v>148</v>
      </c>
      <c r="F53" s="1281">
        <v>780111.64557062194</v>
      </c>
    </row>
    <row r="54" spans="1:6">
      <c r="A54" s="1280" t="s">
        <v>45</v>
      </c>
      <c r="B54" s="1280" t="s">
        <v>46</v>
      </c>
      <c r="C54" s="1281">
        <v>0</v>
      </c>
      <c r="D54" s="1281">
        <v>0</v>
      </c>
      <c r="E54" s="1281">
        <v>1</v>
      </c>
      <c r="F54" s="1281">
        <v>954471</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13</v>
      </c>
      <c r="D57" s="1281">
        <v>359182.02629480301</v>
      </c>
      <c r="E57" s="1281">
        <v>39</v>
      </c>
      <c r="F57" s="1281">
        <v>2214453.4086096599</v>
      </c>
    </row>
    <row r="58" spans="1:6">
      <c r="A58" s="1280" t="s">
        <v>48</v>
      </c>
      <c r="B58" s="1280" t="s">
        <v>50</v>
      </c>
      <c r="C58" s="1281">
        <v>3</v>
      </c>
      <c r="D58" s="1281">
        <v>135055.220973391</v>
      </c>
      <c r="E58" s="1281">
        <v>8</v>
      </c>
      <c r="F58" s="1281">
        <v>72090.043256455596</v>
      </c>
    </row>
    <row r="59" spans="1:6">
      <c r="A59" s="1280" t="s">
        <v>48</v>
      </c>
      <c r="B59" s="1280" t="s">
        <v>51</v>
      </c>
      <c r="C59" s="1281">
        <v>20</v>
      </c>
      <c r="D59" s="1281">
        <v>841512.88672090799</v>
      </c>
      <c r="E59" s="1281">
        <v>97</v>
      </c>
      <c r="F59" s="1281">
        <v>6851961.70500628</v>
      </c>
    </row>
    <row r="60" spans="1:6">
      <c r="A60" s="1280" t="s">
        <v>48</v>
      </c>
      <c r="B60" s="1280" t="s">
        <v>52</v>
      </c>
      <c r="C60" s="1281">
        <v>11</v>
      </c>
      <c r="D60" s="1281">
        <v>375238.61237469898</v>
      </c>
      <c r="E60" s="1281">
        <v>13</v>
      </c>
      <c r="F60" s="1281">
        <v>221761.13719821599</v>
      </c>
    </row>
    <row r="61" spans="1:6">
      <c r="A61" s="1280" t="s">
        <v>48</v>
      </c>
      <c r="B61" s="1280" t="s">
        <v>53</v>
      </c>
      <c r="C61" s="1281">
        <v>61</v>
      </c>
      <c r="D61" s="1281">
        <v>3663649.48687047</v>
      </c>
      <c r="E61" s="1281">
        <v>159</v>
      </c>
      <c r="F61" s="1281">
        <v>6201357.6013142103</v>
      </c>
    </row>
    <row r="62" spans="1:6">
      <c r="A62" s="1280" t="s">
        <v>48</v>
      </c>
      <c r="B62" s="1280" t="s">
        <v>54</v>
      </c>
      <c r="C62" s="1281">
        <v>0</v>
      </c>
      <c r="D62" s="1281">
        <v>0</v>
      </c>
      <c r="E62" s="1281">
        <v>3</v>
      </c>
      <c r="F62" s="1281">
        <v>52030.0930372168</v>
      </c>
    </row>
    <row r="63" spans="1:6">
      <c r="A63" s="1280" t="s">
        <v>48</v>
      </c>
      <c r="B63" s="1280" t="s">
        <v>28</v>
      </c>
      <c r="C63" s="1281">
        <v>70</v>
      </c>
      <c r="D63" s="1281">
        <v>2704783.5956986998</v>
      </c>
      <c r="E63" s="1281">
        <v>83</v>
      </c>
      <c r="F63" s="1281">
        <v>12871595.226166399</v>
      </c>
    </row>
    <row r="64" spans="1:6">
      <c r="A64" s="1280" t="s">
        <v>55</v>
      </c>
      <c r="B64" s="1280" t="s">
        <v>56</v>
      </c>
      <c r="C64" s="1281">
        <v>0</v>
      </c>
      <c r="D64" s="1281">
        <v>0</v>
      </c>
      <c r="E64" s="1281">
        <v>0</v>
      </c>
      <c r="F64" s="1281">
        <v>0</v>
      </c>
    </row>
    <row r="65" spans="1:6">
      <c r="A65" s="1280" t="s">
        <v>55</v>
      </c>
      <c r="B65" s="1280" t="s">
        <v>28</v>
      </c>
      <c r="C65" s="1281">
        <v>0</v>
      </c>
      <c r="D65" s="1281">
        <v>0</v>
      </c>
      <c r="E65" s="1281">
        <v>2</v>
      </c>
      <c r="F65" s="1281">
        <v>4818.6196333799999</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74776.1972229557</v>
      </c>
      <c r="E68" s="1283">
        <v>34</v>
      </c>
      <c r="F68" s="1283">
        <v>1059738.82317023</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21110213</v>
      </c>
      <c r="E73" s="445"/>
      <c r="F73" s="326"/>
    </row>
    <row r="74" spans="1:6">
      <c r="A74" s="1280" t="s">
        <v>63</v>
      </c>
      <c r="B74" s="1280" t="s">
        <v>754</v>
      </c>
      <c r="C74" s="1293" t="s">
        <v>755</v>
      </c>
      <c r="D74" s="1281">
        <v>4326660.2523071393</v>
      </c>
      <c r="E74" s="445"/>
      <c r="F74" s="326"/>
    </row>
    <row r="75" spans="1:6">
      <c r="A75" s="1280" t="s">
        <v>64</v>
      </c>
      <c r="B75" s="1280" t="s">
        <v>752</v>
      </c>
      <c r="C75" s="1293" t="s">
        <v>756</v>
      </c>
      <c r="D75" s="1281">
        <v>13537212</v>
      </c>
      <c r="E75" s="445"/>
      <c r="F75" s="326"/>
    </row>
    <row r="76" spans="1:6">
      <c r="A76" s="1280" t="s">
        <v>64</v>
      </c>
      <c r="B76" s="1280" t="s">
        <v>754</v>
      </c>
      <c r="C76" s="1293" t="s">
        <v>757</v>
      </c>
      <c r="D76" s="1281">
        <v>1967581.2523071398</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118635.49538572061</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861.16678727584519</v>
      </c>
      <c r="C91" s="326"/>
      <c r="D91" s="326"/>
      <c r="E91" s="326"/>
      <c r="F91" s="326"/>
    </row>
    <row r="92" spans="1:6">
      <c r="A92" s="1275" t="s">
        <v>68</v>
      </c>
      <c r="B92" s="1276">
        <v>3715.6045794413503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1190</v>
      </c>
      <c r="C97" s="326"/>
      <c r="D97" s="326"/>
      <c r="E97" s="326"/>
      <c r="F97" s="326"/>
    </row>
    <row r="98" spans="1:6">
      <c r="A98" s="1280" t="s">
        <v>71</v>
      </c>
      <c r="B98" s="1281">
        <v>0</v>
      </c>
      <c r="C98" s="326"/>
      <c r="D98" s="326"/>
      <c r="E98" s="326"/>
      <c r="F98" s="326"/>
    </row>
    <row r="99" spans="1:6">
      <c r="A99" s="1280" t="s">
        <v>72</v>
      </c>
      <c r="B99" s="1281">
        <v>52</v>
      </c>
      <c r="C99" s="326"/>
      <c r="D99" s="326"/>
      <c r="E99" s="326"/>
      <c r="F99" s="326"/>
    </row>
    <row r="100" spans="1:6">
      <c r="A100" s="1280" t="s">
        <v>73</v>
      </c>
      <c r="B100" s="1281">
        <v>255</v>
      </c>
      <c r="C100" s="326"/>
      <c r="D100" s="326"/>
      <c r="E100" s="326"/>
      <c r="F100" s="326"/>
    </row>
    <row r="101" spans="1:6">
      <c r="A101" s="1280" t="s">
        <v>74</v>
      </c>
      <c r="B101" s="1281">
        <v>72</v>
      </c>
      <c r="C101" s="326"/>
      <c r="D101" s="326"/>
      <c r="E101" s="326"/>
      <c r="F101" s="326"/>
    </row>
    <row r="102" spans="1:6">
      <c r="A102" s="1280" t="s">
        <v>75</v>
      </c>
      <c r="B102" s="1281">
        <v>71</v>
      </c>
      <c r="C102" s="326"/>
      <c r="D102" s="326"/>
      <c r="E102" s="326"/>
      <c r="F102" s="326"/>
    </row>
    <row r="103" spans="1:6">
      <c r="A103" s="1280" t="s">
        <v>76</v>
      </c>
      <c r="B103" s="1281">
        <v>104</v>
      </c>
      <c r="C103" s="326"/>
      <c r="D103" s="326"/>
      <c r="E103" s="326"/>
      <c r="F103" s="326"/>
    </row>
    <row r="104" spans="1:6">
      <c r="A104" s="1280" t="s">
        <v>77</v>
      </c>
      <c r="B104" s="1281">
        <v>1539</v>
      </c>
      <c r="C104" s="326"/>
      <c r="D104" s="326"/>
      <c r="E104" s="326"/>
      <c r="F104" s="326"/>
    </row>
    <row r="105" spans="1:6">
      <c r="A105" s="1275" t="s">
        <v>78</v>
      </c>
      <c r="B105" s="128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3</v>
      </c>
      <c r="C123" s="1281">
        <v>3</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21</v>
      </c>
      <c r="C129" s="326"/>
      <c r="D129" s="326"/>
      <c r="E129" s="326"/>
      <c r="F129" s="326"/>
    </row>
    <row r="130" spans="1:6">
      <c r="A130" s="1280" t="s">
        <v>284</v>
      </c>
      <c r="B130" s="1281">
        <v>0</v>
      </c>
      <c r="C130" s="326"/>
      <c r="D130" s="326"/>
      <c r="E130" s="326"/>
      <c r="F130" s="326"/>
    </row>
    <row r="131" spans="1:6">
      <c r="A131" s="1280" t="s">
        <v>285</v>
      </c>
      <c r="B131" s="1281">
        <v>3</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380803.85150152165</v>
      </c>
      <c r="C3" s="43" t="s">
        <v>163</v>
      </c>
      <c r="D3" s="43"/>
      <c r="E3" s="156"/>
      <c r="F3" s="43"/>
      <c r="G3" s="43"/>
      <c r="H3" s="43"/>
      <c r="I3" s="43"/>
      <c r="J3" s="43"/>
      <c r="K3" s="96"/>
    </row>
    <row r="4" spans="1:11">
      <c r="A4" s="352" t="s">
        <v>164</v>
      </c>
      <c r="B4" s="49">
        <f>IF(ISERROR('SEAP template'!B78+'SEAP template'!C78),0,'SEAP template'!B78+'SEAP template'!C78)</f>
        <v>5719.7713667171956</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271.63058823529417</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0.21839383181158492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388.04369747899159</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1632.8571428571429</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954.471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954.471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0.21839383181158492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208.45057904303528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15280.719988207473</v>
      </c>
      <c r="C5" s="17">
        <f>IF(ISERROR('Eigen informatie GS &amp; warmtenet'!B57),0,'Eigen informatie GS &amp; warmtenet'!B57)</f>
        <v>0</v>
      </c>
      <c r="D5" s="30">
        <f>(SUM(HH_hh_gas_kWh,HH_rest_gas_kWh)/1000)*0.902</f>
        <v>27342.004696056199</v>
      </c>
      <c r="E5" s="17">
        <f>B32*B41</f>
        <v>873.94622768909619</v>
      </c>
      <c r="F5" s="17">
        <f>B36*B45</f>
        <v>29831.626305321319</v>
      </c>
      <c r="G5" s="18"/>
      <c r="H5" s="17"/>
      <c r="I5" s="17"/>
      <c r="J5" s="17">
        <f>B35*B44+C35*C44</f>
        <v>671.73259265601666</v>
      </c>
      <c r="K5" s="17"/>
      <c r="L5" s="17"/>
      <c r="M5" s="17"/>
      <c r="N5" s="17">
        <f>B34*B43+C34*C43</f>
        <v>4446.0276311953839</v>
      </c>
      <c r="O5" s="17">
        <f>B52*B53*B54</f>
        <v>37.520000000000003</v>
      </c>
      <c r="P5" s="17">
        <f>B60*B61*B62/1000-B60*B61*B62/1000/B63</f>
        <v>76.266666666666666</v>
      </c>
    </row>
    <row r="6" spans="1:16">
      <c r="A6" s="16" t="s">
        <v>615</v>
      </c>
      <c r="B6" s="766">
        <f>kWh_PV_kleiner_dan_10kW</f>
        <v>861.16678727584519</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16141.886775483317</v>
      </c>
      <c r="C8" s="21">
        <f>C5</f>
        <v>0</v>
      </c>
      <c r="D8" s="21">
        <f>D5</f>
        <v>27342.004696056199</v>
      </c>
      <c r="E8" s="21">
        <f>E5</f>
        <v>873.94622768909619</v>
      </c>
      <c r="F8" s="21">
        <f>F5</f>
        <v>29831.626305321319</v>
      </c>
      <c r="G8" s="21"/>
      <c r="H8" s="21"/>
      <c r="I8" s="21"/>
      <c r="J8" s="21">
        <f>J5</f>
        <v>671.73259265601666</v>
      </c>
      <c r="K8" s="21"/>
      <c r="L8" s="21">
        <f>L5</f>
        <v>0</v>
      </c>
      <c r="M8" s="21">
        <f>M5</f>
        <v>0</v>
      </c>
      <c r="N8" s="21">
        <f>N5</f>
        <v>4446.0276311953839</v>
      </c>
      <c r="O8" s="21">
        <f>O5</f>
        <v>37.520000000000003</v>
      </c>
      <c r="P8" s="21">
        <f>P5</f>
        <v>76.266666666666666</v>
      </c>
    </row>
    <row r="9" spans="1:16">
      <c r="B9" s="19"/>
      <c r="C9" s="19"/>
      <c r="D9" s="256"/>
      <c r="E9" s="19"/>
      <c r="F9" s="19"/>
      <c r="G9" s="19"/>
      <c r="H9" s="19"/>
      <c r="I9" s="19"/>
      <c r="J9" s="19"/>
      <c r="K9" s="19"/>
      <c r="L9" s="19"/>
      <c r="M9" s="19"/>
      <c r="N9" s="19"/>
      <c r="O9" s="19"/>
      <c r="P9" s="19"/>
    </row>
    <row r="10" spans="1:16">
      <c r="A10" s="24" t="s">
        <v>207</v>
      </c>
      <c r="B10" s="25">
        <f ca="1">'EF ele_warmte'!B12</f>
        <v>0.21839383181158492</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3525.2885055665506</v>
      </c>
      <c r="C12" s="23">
        <f ca="1">C10*C8</f>
        <v>0</v>
      </c>
      <c r="D12" s="23">
        <f>D8*D10</f>
        <v>5523.084948603353</v>
      </c>
      <c r="E12" s="23">
        <f>E10*E8</f>
        <v>198.38579368542483</v>
      </c>
      <c r="F12" s="23">
        <f>F10*F8</f>
        <v>7965.0442235207929</v>
      </c>
      <c r="G12" s="23"/>
      <c r="H12" s="23"/>
      <c r="I12" s="23"/>
      <c r="J12" s="23">
        <f>J10*J8</f>
        <v>237.79333780022989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3593</v>
      </c>
      <c r="C26" s="36"/>
      <c r="D26" s="226"/>
    </row>
    <row r="27" spans="1:5" s="15" customFormat="1">
      <c r="A27" s="228" t="s">
        <v>695</v>
      </c>
      <c r="B27" s="37">
        <f>SUM(HH_hh_gas_aantal,HH_rest_gas_aantal)</f>
        <v>1872</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1778.4</v>
      </c>
      <c r="C31" s="34" t="s">
        <v>104</v>
      </c>
      <c r="D31" s="172"/>
    </row>
    <row r="32" spans="1:5">
      <c r="A32" s="169" t="s">
        <v>72</v>
      </c>
      <c r="B32" s="33">
        <f>IF((B21*($B$26-($B$27-0.05*$B$27)-$B$60))&lt;0,0,B21*($B$26-($B$27-0.05*$B$27)-$B$60))</f>
        <v>12.836373000076124</v>
      </c>
      <c r="C32" s="34" t="s">
        <v>104</v>
      </c>
      <c r="D32" s="172"/>
    </row>
    <row r="33" spans="1:6">
      <c r="A33" s="169" t="s">
        <v>73</v>
      </c>
      <c r="B33" s="33">
        <f>IF((B22*($B$26-($B$27-0.05*$B$27)-$B$60))&lt;0,0,B22*($B$26-($B$27-0.05*$B$27)-$B$60))</f>
        <v>367.88870373687564</v>
      </c>
      <c r="C33" s="34" t="s">
        <v>104</v>
      </c>
      <c r="D33" s="172"/>
    </row>
    <row r="34" spans="1:6">
      <c r="A34" s="169" t="s">
        <v>74</v>
      </c>
      <c r="B34" s="33">
        <f>IF((B24*($B$26-($B$27-0.05*$B$27)-$B$60))&lt;0,0,B24*($B$26-($B$27-0.05*$B$27)-$B$60))</f>
        <v>73.360895490348881</v>
      </c>
      <c r="C34" s="33">
        <f>B26*C24</f>
        <v>734.68806972488721</v>
      </c>
      <c r="D34" s="231"/>
    </row>
    <row r="35" spans="1:6">
      <c r="A35" s="169" t="s">
        <v>76</v>
      </c>
      <c r="B35" s="33">
        <f>IF((B19*($B$26-($B$27-0.05*$B$27)-$B$60))&lt;0,0,B19*($B$26-($B$27-0.05*$B$27)-$B$60))</f>
        <v>38.203491071655137</v>
      </c>
      <c r="C35" s="33">
        <f>B35/2</f>
        <v>19.101745535827568</v>
      </c>
      <c r="D35" s="231"/>
    </row>
    <row r="36" spans="1:6">
      <c r="A36" s="169" t="s">
        <v>77</v>
      </c>
      <c r="B36" s="33">
        <f>IF((B18*($B$26-($B$27-0.05*$B$27)-$B$60))&lt;0,0,B18*($B$26-($B$27-0.05*$B$27)-$B$60))</f>
        <v>1318.3105367010442</v>
      </c>
      <c r="C36" s="34" t="s">
        <v>104</v>
      </c>
      <c r="D36" s="172"/>
    </row>
    <row r="37" spans="1:6">
      <c r="A37" s="169" t="s">
        <v>78</v>
      </c>
      <c r="B37" s="33">
        <f>B60</f>
        <v>4</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24</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28485.249214588439</v>
      </c>
      <c r="C5" s="17">
        <f>IF(ISERROR('Eigen informatie GS &amp; warmtenet'!B58),0,'Eigen informatie GS &amp; warmtenet'!B58)</f>
        <v>0</v>
      </c>
      <c r="D5" s="30">
        <f>SUM(D6:D12)</f>
        <v>7287.6384896975396</v>
      </c>
      <c r="E5" s="17">
        <f>SUM(E6:E12)</f>
        <v>554.38614952783325</v>
      </c>
      <c r="F5" s="17">
        <f>SUM(F6:F12)</f>
        <v>5217.6403611078522</v>
      </c>
      <c r="G5" s="18"/>
      <c r="H5" s="17"/>
      <c r="I5" s="17"/>
      <c r="J5" s="17">
        <f>SUM(J6:J12)</f>
        <v>0</v>
      </c>
      <c r="K5" s="17"/>
      <c r="L5" s="17"/>
      <c r="M5" s="17"/>
      <c r="N5" s="17">
        <f>SUM(N6:N12)</f>
        <v>927.37285027069072</v>
      </c>
      <c r="O5" s="17">
        <f>B38*B39*B40</f>
        <v>0</v>
      </c>
      <c r="P5" s="17">
        <f>B46*B47*B48/1000-B46*B47*B48/1000/B49</f>
        <v>57.2</v>
      </c>
      <c r="R5" s="32"/>
    </row>
    <row r="6" spans="1:18">
      <c r="A6" s="32" t="s">
        <v>53</v>
      </c>
      <c r="B6" s="37">
        <f>B26</f>
        <v>6201.3576013142101</v>
      </c>
      <c r="C6" s="33"/>
      <c r="D6" s="37">
        <f>IF(ISERROR(TER_kantoor_gas_kWh/1000),0,TER_kantoor_gas_kWh/1000)*0.902</f>
        <v>3304.6118371571638</v>
      </c>
      <c r="E6" s="33">
        <f>$C$26*'E Balans VL '!I12/100/3.6*1000000</f>
        <v>217.07191061559547</v>
      </c>
      <c r="F6" s="33">
        <f>$C$26*('E Balans VL '!L12+'E Balans VL '!N12)/100/3.6*1000000</f>
        <v>940.25895420226391</v>
      </c>
      <c r="G6" s="34"/>
      <c r="H6" s="33"/>
      <c r="I6" s="33"/>
      <c r="J6" s="33">
        <f>$C$26*('E Balans VL '!D12+'E Balans VL '!E12)/100/3.6*1000000</f>
        <v>0</v>
      </c>
      <c r="K6" s="33"/>
      <c r="L6" s="33"/>
      <c r="M6" s="33"/>
      <c r="N6" s="33">
        <f>$C$26*'E Balans VL '!Y12/100/3.6*1000000</f>
        <v>47.934553286647571</v>
      </c>
      <c r="O6" s="33"/>
      <c r="P6" s="33"/>
      <c r="R6" s="32"/>
    </row>
    <row r="7" spans="1:18">
      <c r="A7" s="32" t="s">
        <v>52</v>
      </c>
      <c r="B7" s="37">
        <f t="shared" ref="B7:B12" si="0">B27</f>
        <v>221.76113719821598</v>
      </c>
      <c r="C7" s="33"/>
      <c r="D7" s="37">
        <f>IF(ISERROR(TER_horeca_gas_kWh/1000),0,TER_horeca_gas_kWh/1000)*0.902</f>
        <v>338.46522836197846</v>
      </c>
      <c r="E7" s="33">
        <f>$C$27*'E Balans VL '!I9/100/3.6*1000000</f>
        <v>12.510276842972772</v>
      </c>
      <c r="F7" s="33">
        <f>$C$27*('E Balans VL '!L9+'E Balans VL '!N9)/100/3.6*1000000</f>
        <v>38.63201734181952</v>
      </c>
      <c r="G7" s="34"/>
      <c r="H7" s="33"/>
      <c r="I7" s="33"/>
      <c r="J7" s="33">
        <f>$C$27*('E Balans VL '!D9+'E Balans VL '!E9)/100/3.6*1000000</f>
        <v>0</v>
      </c>
      <c r="K7" s="33"/>
      <c r="L7" s="33"/>
      <c r="M7" s="33"/>
      <c r="N7" s="33">
        <f>$C$27*'E Balans VL '!Y9/100/3.6*1000000</f>
        <v>0</v>
      </c>
      <c r="O7" s="33"/>
      <c r="P7" s="33"/>
      <c r="R7" s="32"/>
    </row>
    <row r="8" spans="1:18">
      <c r="A8" s="6" t="s">
        <v>51</v>
      </c>
      <c r="B8" s="37">
        <f t="shared" si="0"/>
        <v>6851.9617050062798</v>
      </c>
      <c r="C8" s="33"/>
      <c r="D8" s="37">
        <f>IF(ISERROR(TER_handel_gas_kWh/1000),0,TER_handel_gas_kWh/1000)*0.902</f>
        <v>759.04462382225904</v>
      </c>
      <c r="E8" s="33">
        <f>$C$28*'E Balans VL '!I13/100/3.6*1000000</f>
        <v>35.177275244289525</v>
      </c>
      <c r="F8" s="33">
        <f>$C$28*('E Balans VL '!L13+'E Balans VL '!N13)/100/3.6*1000000</f>
        <v>1056.4666212352186</v>
      </c>
      <c r="G8" s="34"/>
      <c r="H8" s="33"/>
      <c r="I8" s="33"/>
      <c r="J8" s="33">
        <f>$C$28*('E Balans VL '!D13+'E Balans VL '!E13)/100/3.6*1000000</f>
        <v>0</v>
      </c>
      <c r="K8" s="33"/>
      <c r="L8" s="33"/>
      <c r="M8" s="33"/>
      <c r="N8" s="33">
        <f>$C$28*'E Balans VL '!Y13/100/3.6*1000000</f>
        <v>3.2047461288822303</v>
      </c>
      <c r="O8" s="33"/>
      <c r="P8" s="33"/>
      <c r="R8" s="32"/>
    </row>
    <row r="9" spans="1:18">
      <c r="A9" s="32" t="s">
        <v>50</v>
      </c>
      <c r="B9" s="37">
        <f t="shared" si="0"/>
        <v>72.090043256455601</v>
      </c>
      <c r="C9" s="33"/>
      <c r="D9" s="37">
        <f>IF(ISERROR(TER_gezond_gas_kWh/1000),0,TER_gezond_gas_kWh/1000)*0.902</f>
        <v>121.81980931799868</v>
      </c>
      <c r="E9" s="33">
        <f>$C$29*'E Balans VL '!I10/100/3.6*1000000</f>
        <v>2.9880809522913172E-2</v>
      </c>
      <c r="F9" s="33">
        <f>$C$29*('E Balans VL '!L10+'E Balans VL '!N10)/100/3.6*1000000</f>
        <v>17.75474374492897</v>
      </c>
      <c r="G9" s="34"/>
      <c r="H9" s="33"/>
      <c r="I9" s="33"/>
      <c r="J9" s="33">
        <f>$C$29*('E Balans VL '!D10+'E Balans VL '!E10)/100/3.6*1000000</f>
        <v>0</v>
      </c>
      <c r="K9" s="33"/>
      <c r="L9" s="33"/>
      <c r="M9" s="33"/>
      <c r="N9" s="33">
        <f>$C$29*'E Balans VL '!Y10/100/3.6*1000000</f>
        <v>0.62303640561258722</v>
      </c>
      <c r="O9" s="33"/>
      <c r="P9" s="33"/>
      <c r="R9" s="32"/>
    </row>
    <row r="10" spans="1:18">
      <c r="A10" s="32" t="s">
        <v>49</v>
      </c>
      <c r="B10" s="37">
        <f t="shared" si="0"/>
        <v>2214.4534086096601</v>
      </c>
      <c r="C10" s="33"/>
      <c r="D10" s="37">
        <f>IF(ISERROR(TER_ander_gas_kWh/1000),0,TER_ander_gas_kWh/1000)*0.902</f>
        <v>323.98218771791232</v>
      </c>
      <c r="E10" s="33">
        <f>$C$30*'E Balans VL '!I14/100/3.6*1000000</f>
        <v>13.499362615423461</v>
      </c>
      <c r="F10" s="33">
        <f>$C$30*('E Balans VL '!L14+'E Balans VL '!N14)/100/3.6*1000000</f>
        <v>587.08193319311908</v>
      </c>
      <c r="G10" s="34"/>
      <c r="H10" s="33"/>
      <c r="I10" s="33"/>
      <c r="J10" s="33">
        <f>$C$30*('E Balans VL '!D14+'E Balans VL '!E14)/100/3.6*1000000</f>
        <v>0</v>
      </c>
      <c r="K10" s="33"/>
      <c r="L10" s="33"/>
      <c r="M10" s="33"/>
      <c r="N10" s="33">
        <f>$C$30*'E Balans VL '!Y14/100/3.6*1000000</f>
        <v>510.38365986838858</v>
      </c>
      <c r="O10" s="33"/>
      <c r="P10" s="33"/>
      <c r="R10" s="32"/>
    </row>
    <row r="11" spans="1:18">
      <c r="A11" s="32" t="s">
        <v>54</v>
      </c>
      <c r="B11" s="37">
        <f t="shared" si="0"/>
        <v>52.030093037216801</v>
      </c>
      <c r="C11" s="33"/>
      <c r="D11" s="37">
        <f>IF(ISERROR(TER_onderwijs_gas_kWh/1000),0,TER_onderwijs_gas_kWh/1000)*0.902</f>
        <v>0</v>
      </c>
      <c r="E11" s="33">
        <f>$C$31*'E Balans VL '!I11/100/3.6*1000000</f>
        <v>3.9649640129924918E-2</v>
      </c>
      <c r="F11" s="33">
        <f>$C$31*('E Balans VL '!L11+'E Balans VL '!N11)/100/3.6*1000000</f>
        <v>37.651826689467732</v>
      </c>
      <c r="G11" s="34"/>
      <c r="H11" s="33"/>
      <c r="I11" s="33"/>
      <c r="J11" s="33">
        <f>$C$31*('E Balans VL '!D11+'E Balans VL '!E11)/100/3.6*1000000</f>
        <v>0</v>
      </c>
      <c r="K11" s="33"/>
      <c r="L11" s="33"/>
      <c r="M11" s="33"/>
      <c r="N11" s="33">
        <f>$C$31*'E Balans VL '!Y11/100/3.6*1000000</f>
        <v>0.15334511914632429</v>
      </c>
      <c r="O11" s="33"/>
      <c r="P11" s="33"/>
      <c r="R11" s="32"/>
    </row>
    <row r="12" spans="1:18">
      <c r="A12" s="32" t="s">
        <v>249</v>
      </c>
      <c r="B12" s="37">
        <f t="shared" si="0"/>
        <v>12871.595226166399</v>
      </c>
      <c r="C12" s="33"/>
      <c r="D12" s="37">
        <f>IF(ISERROR(TER_rest_gas_kWh/1000),0,TER_rest_gas_kWh/1000)*0.902</f>
        <v>2439.714803320227</v>
      </c>
      <c r="E12" s="33">
        <f>$C$32*'E Balans VL '!I8/100/3.6*1000000</f>
        <v>276.05779375989914</v>
      </c>
      <c r="F12" s="33">
        <f>$C$32*('E Balans VL '!L8+'E Balans VL '!N8)/100/3.6*1000000</f>
        <v>2539.7942647010345</v>
      </c>
      <c r="G12" s="34"/>
      <c r="H12" s="33"/>
      <c r="I12" s="33"/>
      <c r="J12" s="33">
        <f>$C$32*('E Balans VL '!D8+'E Balans VL '!E8)/100/3.6*1000000</f>
        <v>0</v>
      </c>
      <c r="K12" s="33"/>
      <c r="L12" s="33"/>
      <c r="M12" s="33"/>
      <c r="N12" s="33">
        <f>$C$32*'E Balans VL '!Y8/100/3.6*1000000</f>
        <v>365.07350946201336</v>
      </c>
      <c r="O12" s="33"/>
      <c r="P12" s="33"/>
      <c r="R12" s="32"/>
    </row>
    <row r="13" spans="1:18">
      <c r="A13" s="16" t="s">
        <v>483</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28485.249214588439</v>
      </c>
      <c r="C16" s="21">
        <f ca="1">C5+C13+C14</f>
        <v>0</v>
      </c>
      <c r="D16" s="21">
        <f t="shared" ref="D16:N16" ca="1" si="1">MAX((D5+D13+D14),0)</f>
        <v>7287.6384896975396</v>
      </c>
      <c r="E16" s="21">
        <f t="shared" si="1"/>
        <v>554.38614952783325</v>
      </c>
      <c r="F16" s="21">
        <f t="shared" ca="1" si="1"/>
        <v>5217.6403611078522</v>
      </c>
      <c r="G16" s="21">
        <f t="shared" si="1"/>
        <v>0</v>
      </c>
      <c r="H16" s="21">
        <f t="shared" si="1"/>
        <v>0</v>
      </c>
      <c r="I16" s="21">
        <f t="shared" si="1"/>
        <v>0</v>
      </c>
      <c r="J16" s="21">
        <f t="shared" si="1"/>
        <v>0</v>
      </c>
      <c r="K16" s="21">
        <f t="shared" si="1"/>
        <v>0</v>
      </c>
      <c r="L16" s="21">
        <f t="shared" ca="1" si="1"/>
        <v>0</v>
      </c>
      <c r="M16" s="21">
        <f t="shared" si="1"/>
        <v>0</v>
      </c>
      <c r="N16" s="21">
        <f t="shared" ca="1" si="1"/>
        <v>927.37285027069072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0.21839383181158492</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6221.0027260819088</v>
      </c>
      <c r="C20" s="23">
        <f t="shared" ref="C20:P20" ca="1" si="2">C16*C18</f>
        <v>0</v>
      </c>
      <c r="D20" s="23">
        <f t="shared" ca="1" si="2"/>
        <v>1472.1029749189031</v>
      </c>
      <c r="E20" s="23">
        <f t="shared" si="2"/>
        <v>125.84565594281815</v>
      </c>
      <c r="F20" s="23">
        <f t="shared" ca="1" si="2"/>
        <v>1393.1099764157966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6201.3576013142101</v>
      </c>
      <c r="C26" s="39">
        <f>IF(ISERROR(B26*3.6/1000000/'E Balans VL '!Z12*100),0,B26*3.6/1000000/'E Balans VL '!Z12*100)</f>
        <v>0.13049728654219064</v>
      </c>
      <c r="D26" s="234" t="s">
        <v>700</v>
      </c>
      <c r="F26" s="6"/>
    </row>
    <row r="27" spans="1:18">
      <c r="A27" s="229" t="s">
        <v>52</v>
      </c>
      <c r="B27" s="33">
        <f>IF(ISERROR(TER_horeca_ele_kWh/1000),0,TER_horeca_ele_kWh/1000)</f>
        <v>221.76113719821598</v>
      </c>
      <c r="C27" s="39">
        <f>IF(ISERROR(B27*3.6/1000000/'E Balans VL '!Z9*100),0,B27*3.6/1000000/'E Balans VL '!Z9*100)</f>
        <v>1.8775892343548116E-2</v>
      </c>
      <c r="D27" s="234" t="s">
        <v>700</v>
      </c>
      <c r="F27" s="6"/>
    </row>
    <row r="28" spans="1:18">
      <c r="A28" s="169" t="s">
        <v>51</v>
      </c>
      <c r="B28" s="33">
        <f>IF(ISERROR(TER_handel_ele_kWh/1000),0,TER_handel_ele_kWh/1000)</f>
        <v>6851.9617050062798</v>
      </c>
      <c r="C28" s="39">
        <f>IF(ISERROR(B28*3.6/1000000/'E Balans VL '!Z13*100),0,B28*3.6/1000000/'E Balans VL '!Z13*100)</f>
        <v>0.18969561232037305</v>
      </c>
      <c r="D28" s="234" t="s">
        <v>700</v>
      </c>
      <c r="F28" s="6"/>
    </row>
    <row r="29" spans="1:18">
      <c r="A29" s="229" t="s">
        <v>50</v>
      </c>
      <c r="B29" s="33">
        <f>IF(ISERROR(TER_gezond_ele_kWh/1000),0,TER_gezond_ele_kWh/1000)</f>
        <v>72.090043256455601</v>
      </c>
      <c r="C29" s="39">
        <f>IF(ISERROR(B29*3.6/1000000/'E Balans VL '!Z10*100),0,B29*3.6/1000000/'E Balans VL '!Z10*100)</f>
        <v>9.3709064120299085E-3</v>
      </c>
      <c r="D29" s="234" t="s">
        <v>700</v>
      </c>
      <c r="F29" s="6"/>
    </row>
    <row r="30" spans="1:18">
      <c r="A30" s="229" t="s">
        <v>49</v>
      </c>
      <c r="B30" s="33">
        <f>IF(ISERROR(TER_ander_ele_kWh/1000),0,TER_ander_ele_kWh/1000)</f>
        <v>2214.4534086096601</v>
      </c>
      <c r="C30" s="39">
        <f>IF(ISERROR(B30*3.6/1000000/'E Balans VL '!Z14*100),0,B30*3.6/1000000/'E Balans VL '!Z14*100)</f>
        <v>0.17164044725636124</v>
      </c>
      <c r="D30" s="234" t="s">
        <v>700</v>
      </c>
      <c r="F30" s="6"/>
    </row>
    <row r="31" spans="1:18">
      <c r="A31" s="229" t="s">
        <v>54</v>
      </c>
      <c r="B31" s="33">
        <f>IF(ISERROR(TER_onderwijs_ele_kWh/1000),0,TER_onderwijs_ele_kWh/1000)</f>
        <v>52.030093037216801</v>
      </c>
      <c r="C31" s="39">
        <f>IF(ISERROR(B31*3.6/1000000/'E Balans VL '!Z11*100),0,B31*3.6/1000000/'E Balans VL '!Z11*100)</f>
        <v>9.9542433720431218E-3</v>
      </c>
      <c r="D31" s="234" t="s">
        <v>700</v>
      </c>
    </row>
    <row r="32" spans="1:18">
      <c r="A32" s="229" t="s">
        <v>249</v>
      </c>
      <c r="B32" s="33">
        <f>IF(ISERROR(TER_rest_ele_kWh/1000),0,TER_rest_ele_kWh/1000)</f>
        <v>12871.595226166399</v>
      </c>
      <c r="C32" s="39">
        <f>IF(ISERROR(B32*3.6/1000000/'E Balans VL '!Z8*100),0,B32*3.6/1000000/'E Balans VL '!Z8*100)</f>
        <v>0.1061361869380399</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0</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3</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332231.30507509294</v>
      </c>
      <c r="C5" s="17">
        <f>IF(ISERROR('Eigen informatie GS &amp; warmtenet'!B59),0,'Eigen informatie GS &amp; warmtenet'!B59)</f>
        <v>0</v>
      </c>
      <c r="D5" s="30">
        <f>SUM(D6:D15)</f>
        <v>325301.26218768134</v>
      </c>
      <c r="E5" s="17">
        <f>SUM(E6:E15)</f>
        <v>3553.3124657523513</v>
      </c>
      <c r="F5" s="17">
        <f>SUM(F6:F15)</f>
        <v>141443.25788235298</v>
      </c>
      <c r="G5" s="18"/>
      <c r="H5" s="17"/>
      <c r="I5" s="17"/>
      <c r="J5" s="17">
        <f>SUM(J6:J15)</f>
        <v>428.49870754790999</v>
      </c>
      <c r="K5" s="17"/>
      <c r="L5" s="17"/>
      <c r="M5" s="17"/>
      <c r="N5" s="17">
        <f>SUM(N6:N15)</f>
        <v>13878.524050538279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298.39451091870296</v>
      </c>
      <c r="C8" s="33"/>
      <c r="D8" s="37">
        <f>IF( ISERROR(IND_metaal_Gas_kWH/1000),0,IND_metaal_Gas_kWH/1000)*0.902</f>
        <v>0</v>
      </c>
      <c r="E8" s="33">
        <f>C30*'E Balans VL '!I18/100/3.6*1000000</f>
        <v>2.0967523904633096</v>
      </c>
      <c r="F8" s="33">
        <f>C30*'E Balans VL '!L18/100/3.6*1000000+C30*'E Balans VL '!N18/100/3.6*1000000</f>
        <v>32.761971519150165</v>
      </c>
      <c r="G8" s="34"/>
      <c r="H8" s="33"/>
      <c r="I8" s="33"/>
      <c r="J8" s="40">
        <f>C30*'E Balans VL '!D18/100/3.6*1000000+C30*'E Balans VL '!E18/100/3.6*1000000</f>
        <v>6.1565219173266073</v>
      </c>
      <c r="K8" s="33"/>
      <c r="L8" s="33"/>
      <c r="M8" s="33"/>
      <c r="N8" s="33">
        <f>C30*'E Balans VL '!Y18/100/3.6*1000000</f>
        <v>1.1184041172729244</v>
      </c>
      <c r="O8" s="33"/>
      <c r="P8" s="33"/>
      <c r="R8" s="32"/>
    </row>
    <row r="9" spans="1:18">
      <c r="A9" s="6" t="s">
        <v>32</v>
      </c>
      <c r="B9" s="37">
        <f t="shared" si="0"/>
        <v>162265.722016885</v>
      </c>
      <c r="C9" s="33"/>
      <c r="D9" s="37">
        <f>IF( ISERROR(IND_andere_gas_kWh/1000),0,IND_andere_gas_kWh/1000)*0.902</f>
        <v>53139.534545309332</v>
      </c>
      <c r="E9" s="33">
        <f>C31*'E Balans VL '!I19/100/3.6*1000000</f>
        <v>2725.4515831298063</v>
      </c>
      <c r="F9" s="33">
        <f>C31*'E Balans VL '!L19/100/3.6*1000000+C31*'E Balans VL '!N19/100/3.6*1000000</f>
        <v>126850.09950734981</v>
      </c>
      <c r="G9" s="34"/>
      <c r="H9" s="33"/>
      <c r="I9" s="33"/>
      <c r="J9" s="40">
        <f>C31*'E Balans VL '!D19/100/3.6*1000000+C31*'E Balans VL '!E19/100/3.6*1000000</f>
        <v>14.634935743936484</v>
      </c>
      <c r="K9" s="33"/>
      <c r="L9" s="33"/>
      <c r="M9" s="33"/>
      <c r="N9" s="33">
        <f>C31*'E Balans VL '!Y19/100/3.6*1000000</f>
        <v>12026.493325771382</v>
      </c>
      <c r="O9" s="33"/>
      <c r="P9" s="33"/>
      <c r="R9" s="32"/>
    </row>
    <row r="10" spans="1:18">
      <c r="A10" s="6" t="s">
        <v>40</v>
      </c>
      <c r="B10" s="37">
        <f t="shared" si="0"/>
        <v>342.13966029146002</v>
      </c>
      <c r="C10" s="33"/>
      <c r="D10" s="37">
        <f>IF( ISERROR(IND_voed_gas_kWh/1000),0,IND_voed_gas_kWh/1000)*0.902</f>
        <v>738.71896704417543</v>
      </c>
      <c r="E10" s="33">
        <f>C32*'E Balans VL '!I20/100/3.6*1000000</f>
        <v>3.1215400843702823</v>
      </c>
      <c r="F10" s="33">
        <f>C32*'E Balans VL '!L20/100/3.6*1000000+C32*'E Balans VL '!N20/100/3.6*1000000</f>
        <v>55.197828707312709</v>
      </c>
      <c r="G10" s="34"/>
      <c r="H10" s="33"/>
      <c r="I10" s="33"/>
      <c r="J10" s="40">
        <f>C32*'E Balans VL '!D20/100/3.6*1000000+C32*'E Balans VL '!E20/100/3.6*1000000</f>
        <v>1.4091554386996319</v>
      </c>
      <c r="K10" s="33"/>
      <c r="L10" s="33"/>
      <c r="M10" s="33"/>
      <c r="N10" s="33">
        <f>C32*'E Balans VL '!Y20/100/3.6*1000000</f>
        <v>5.0052334453701244</v>
      </c>
      <c r="O10" s="33"/>
      <c r="P10" s="33"/>
      <c r="R10" s="32"/>
    </row>
    <row r="11" spans="1:18">
      <c r="A11" s="6" t="s">
        <v>39</v>
      </c>
      <c r="B11" s="37">
        <f t="shared" si="0"/>
        <v>108154.740397637</v>
      </c>
      <c r="C11" s="33"/>
      <c r="D11" s="37">
        <f>IF( ISERROR(IND_textiel_gas_kWh/1000),0,IND_textiel_gas_kWh/1000)*0.902</f>
        <v>107925.17126812668</v>
      </c>
      <c r="E11" s="33">
        <f>C33*'E Balans VL '!I21/100/3.6*1000000</f>
        <v>246.68090100041516</v>
      </c>
      <c r="F11" s="33">
        <f>C33*'E Balans VL '!L21/100/3.6*1000000+C33*'E Balans VL '!N21/100/3.6*1000000</f>
        <v>2311.9078890692854</v>
      </c>
      <c r="G11" s="34"/>
      <c r="H11" s="33"/>
      <c r="I11" s="33"/>
      <c r="J11" s="40">
        <f>C33*'E Balans VL '!D21/100/3.6*1000000+C33*'E Balans VL '!E21/100/3.6*1000000</f>
        <v>0</v>
      </c>
      <c r="K11" s="33"/>
      <c r="L11" s="33"/>
      <c r="M11" s="33"/>
      <c r="N11" s="33">
        <f>C33*'E Balans VL '!Y21/100/3.6*1000000</f>
        <v>767.23513727393026</v>
      </c>
      <c r="O11" s="33"/>
      <c r="P11" s="33"/>
      <c r="R11" s="32"/>
    </row>
    <row r="12" spans="1:18">
      <c r="A12" s="6" t="s">
        <v>36</v>
      </c>
      <c r="B12" s="37">
        <f t="shared" si="0"/>
        <v>475.45357432635797</v>
      </c>
      <c r="C12" s="33"/>
      <c r="D12" s="37">
        <f>IF( ISERROR(IND_min_gas_kWh/1000),0,IND_min_gas_kWh/1000)*0.902</f>
        <v>0</v>
      </c>
      <c r="E12" s="33">
        <f>C34*'E Balans VL '!I22/100/3.6*1000000</f>
        <v>11.792794365835814</v>
      </c>
      <c r="F12" s="33">
        <f>C34*'E Balans VL '!L22/100/3.6*1000000+C34*'E Balans VL '!N22/100/3.6*1000000</f>
        <v>50.521494738371672</v>
      </c>
      <c r="G12" s="34"/>
      <c r="H12" s="33"/>
      <c r="I12" s="33"/>
      <c r="J12" s="40">
        <f>C34*'E Balans VL '!D22/100/3.6*1000000+C34*'E Balans VL '!E22/100/3.6*1000000</f>
        <v>2.7008552803600034</v>
      </c>
      <c r="K12" s="33"/>
      <c r="L12" s="33"/>
      <c r="M12" s="33"/>
      <c r="N12" s="33">
        <f>C34*'E Balans VL '!Y22/100/3.6*1000000</f>
        <v>0</v>
      </c>
      <c r="O12" s="33"/>
      <c r="P12" s="33"/>
      <c r="R12" s="32"/>
    </row>
    <row r="13" spans="1:18">
      <c r="A13" s="6" t="s">
        <v>38</v>
      </c>
      <c r="B13" s="37">
        <f t="shared" si="0"/>
        <v>754.83903480349602</v>
      </c>
      <c r="C13" s="33"/>
      <c r="D13" s="37">
        <f>IF( ISERROR(IND_papier_gas_kWh/1000),0,IND_papier_gas_kWh/1000)*0.902</f>
        <v>58.6128803189767</v>
      </c>
      <c r="E13" s="33">
        <f>C35*'E Balans VL '!I23/100/3.6*1000000</f>
        <v>23.224427146471808</v>
      </c>
      <c r="F13" s="33">
        <f>C35*'E Balans VL '!L23/100/3.6*1000000+C35*'E Balans VL '!N23/100/3.6*1000000</f>
        <v>160.27870715445133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59940.015880230902</v>
      </c>
      <c r="C15" s="33"/>
      <c r="D15" s="37">
        <f>IF( ISERROR(IND_rest_gas_kWh/1000),0,IND_rest_gas_kWh/1000)*0.902</f>
        <v>163439.22452688217</v>
      </c>
      <c r="E15" s="33">
        <f>C37*'E Balans VL '!I15/100/3.6*1000000</f>
        <v>540.94446763498831</v>
      </c>
      <c r="F15" s="33">
        <f>C37*'E Balans VL '!L15/100/3.6*1000000+C37*'E Balans VL '!N15/100/3.6*1000000</f>
        <v>11982.49048381459</v>
      </c>
      <c r="G15" s="34"/>
      <c r="H15" s="33"/>
      <c r="I15" s="33"/>
      <c r="J15" s="40">
        <f>C37*'E Balans VL '!D15/100/3.6*1000000+C37*'E Balans VL '!E15/100/3.6*1000000</f>
        <v>403.59723916758725</v>
      </c>
      <c r="K15" s="33"/>
      <c r="L15" s="33"/>
      <c r="M15" s="33"/>
      <c r="N15" s="33">
        <f>C37*'E Balans VL '!Y15/100/3.6*1000000</f>
        <v>1078.6719499303238</v>
      </c>
      <c r="O15" s="33"/>
      <c r="P15" s="33"/>
      <c r="R15" s="32"/>
    </row>
    <row r="16" spans="1:18">
      <c r="A16" s="16" t="s">
        <v>483</v>
      </c>
      <c r="B16" s="244">
        <f>'lokale energieproductie'!N37+'lokale energieproductie'!N30</f>
        <v>1143</v>
      </c>
      <c r="C16" s="244">
        <f>'lokale energieproductie'!O37+'lokale energieproductie'!O30</f>
        <v>1632.8571428571429</v>
      </c>
      <c r="D16" s="304">
        <f>('lokale energieproductie'!P30+'lokale energieproductie'!P37)*(-1)</f>
        <v>-3265.7142857142858</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333374.30507509294</v>
      </c>
      <c r="C18" s="21">
        <f>C5+C16</f>
        <v>1632.8571428571429</v>
      </c>
      <c r="D18" s="21">
        <f>MAX((D5+D16),0)</f>
        <v>322035.54790196707</v>
      </c>
      <c r="E18" s="21">
        <f>MAX((E5+E16),0)</f>
        <v>3553.3124657523513</v>
      </c>
      <c r="F18" s="21">
        <f>MAX((F5+F16),0)</f>
        <v>141443.25788235298</v>
      </c>
      <c r="G18" s="21"/>
      <c r="H18" s="21"/>
      <c r="I18" s="21"/>
      <c r="J18" s="21">
        <f>MAX((J5+J16),0)</f>
        <v>428.49870754790999</v>
      </c>
      <c r="K18" s="21"/>
      <c r="L18" s="21">
        <f>MAX((L5+L16),0)</f>
        <v>0</v>
      </c>
      <c r="M18" s="21"/>
      <c r="N18" s="21">
        <f>MAX((N5+N16),0)</f>
        <v>13878.524050538279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0.21839383181158492</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72806.891912873849</v>
      </c>
      <c r="C22" s="23">
        <f ca="1">C18*C20</f>
        <v>388.04369747899159</v>
      </c>
      <c r="D22" s="23">
        <f>D18*D20</f>
        <v>65051.180676197357</v>
      </c>
      <c r="E22" s="23">
        <f>E18*E20</f>
        <v>806.60192972578375</v>
      </c>
      <c r="F22" s="23">
        <f>F18*F20</f>
        <v>37765.349854588247</v>
      </c>
      <c r="G22" s="23"/>
      <c r="H22" s="23"/>
      <c r="I22" s="23"/>
      <c r="J22" s="23">
        <f>J18*J20</f>
        <v>151.68854247196012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298.39451091870296</v>
      </c>
      <c r="C30" s="39">
        <f>IF(ISERROR(B30*3.6/1000000/'E Balans VL '!Z18*100),0,B30*3.6/1000000/'E Balans VL '!Z18*100)</f>
        <v>1.9864304806815714E-2</v>
      </c>
      <c r="D30" s="234" t="s">
        <v>700</v>
      </c>
    </row>
    <row r="31" spans="1:18">
      <c r="A31" s="6" t="s">
        <v>32</v>
      </c>
      <c r="B31" s="37">
        <f>IF( ISERROR(IND_ander_ele_kWh/1000),0,IND_ander_ele_kWh/1000)</f>
        <v>162265.722016885</v>
      </c>
      <c r="C31" s="39">
        <f>IF(ISERROR(B31*3.6/1000000/'E Balans VL '!Z19*100),0,B31*3.6/1000000/'E Balans VL '!Z19*100)</f>
        <v>7.1925964065762935</v>
      </c>
      <c r="D31" s="234" t="s">
        <v>700</v>
      </c>
    </row>
    <row r="32" spans="1:18">
      <c r="A32" s="169" t="s">
        <v>40</v>
      </c>
      <c r="B32" s="37">
        <f>IF( ISERROR(IND_voed_ele_kWh/1000),0,IND_voed_ele_kWh/1000)</f>
        <v>342.13966029146002</v>
      </c>
      <c r="C32" s="39">
        <f>IF(ISERROR(B32*3.6/1000000/'E Balans VL '!Z20*100),0,B32*3.6/1000000/'E Balans VL '!Z20*100)</f>
        <v>1.1428446125392884E-2</v>
      </c>
      <c r="D32" s="234" t="s">
        <v>700</v>
      </c>
    </row>
    <row r="33" spans="1:5">
      <c r="A33" s="169" t="s">
        <v>39</v>
      </c>
      <c r="B33" s="37">
        <f>IF( ISERROR(IND_textiel_ele_kWh/1000),0,IND_textiel_ele_kWh/1000)</f>
        <v>108154.740397637</v>
      </c>
      <c r="C33" s="39">
        <f>IF(ISERROR(B33*3.6/1000000/'E Balans VL '!Z21*100),0,B33*3.6/1000000/'E Balans VL '!Z21*100)</f>
        <v>14.238820982504121</v>
      </c>
      <c r="D33" s="234" t="s">
        <v>700</v>
      </c>
    </row>
    <row r="34" spans="1:5">
      <c r="A34" s="169" t="s">
        <v>36</v>
      </c>
      <c r="B34" s="37">
        <f>IF( ISERROR(IND_min_ele_kWh/1000),0,IND_min_ele_kWh/1000)</f>
        <v>475.45357432635797</v>
      </c>
      <c r="C34" s="39">
        <f>IF(ISERROR(B34*3.6/1000000/'E Balans VL '!Z22*100),0,B34*3.6/1000000/'E Balans VL '!Z22*100)</f>
        <v>9.2470497645830957E-2</v>
      </c>
      <c r="D34" s="234" t="s">
        <v>700</v>
      </c>
    </row>
    <row r="35" spans="1:5">
      <c r="A35" s="169" t="s">
        <v>38</v>
      </c>
      <c r="B35" s="37">
        <f>IF( ISERROR(IND_papier_ele_kWh/1000),0,IND_papier_ele_kWh/1000)</f>
        <v>754.83903480349602</v>
      </c>
      <c r="C35" s="39">
        <f>IF(ISERROR(B35*3.6/1000000/'E Balans VL '!Z22*100),0,B35*3.6/1000000/'E Balans VL '!Z22*100)</f>
        <v>0.14680790083379636</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59940.015880230902</v>
      </c>
      <c r="C37" s="39">
        <f>IF(ISERROR(B37*3.6/1000000/'E Balans VL '!Z15*100),0,B37*3.6/1000000/'E Balans VL '!Z15*100)</f>
        <v>0.44585606751008722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1065.4318357098418</v>
      </c>
      <c r="C5" s="17">
        <f>'Eigen informatie GS &amp; warmtenet'!B60</f>
        <v>0</v>
      </c>
      <c r="D5" s="30">
        <f>IF(ISERROR(SUM(LB_lb_gas_kWh,LB_rest_gas_kWh)/1000),0,SUM(LB_lb_gas_kWh,LB_rest_gas_kWh)/1000)*0.902</f>
        <v>265.00204303253992</v>
      </c>
      <c r="E5" s="17">
        <f>B17*'E Balans VL '!I25/3.6*1000000/100</f>
        <v>11.157432840139775</v>
      </c>
      <c r="F5" s="17">
        <f>B17*('E Balans VL '!L25/3.6*1000000+'E Balans VL '!N25/3.6*1000000)/100</f>
        <v>4560.8578131002669</v>
      </c>
      <c r="G5" s="18"/>
      <c r="H5" s="17"/>
      <c r="I5" s="17"/>
      <c r="J5" s="17">
        <f>('E Balans VL '!D25+'E Balans VL '!E25)/3.6*1000000*landbouw!B17/100</f>
        <v>95.152612557345762</v>
      </c>
      <c r="K5" s="17"/>
      <c r="L5" s="17">
        <f>L6*(-1)</f>
        <v>0</v>
      </c>
      <c r="M5" s="17"/>
      <c r="N5" s="17">
        <f>N6*(-1)</f>
        <v>0</v>
      </c>
      <c r="O5" s="17"/>
      <c r="P5" s="17"/>
      <c r="R5" s="32"/>
    </row>
    <row r="6" spans="1:18">
      <c r="A6" s="16" t="s">
        <v>483</v>
      </c>
      <c r="B6" s="17" t="s">
        <v>204</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1065.4318357098418</v>
      </c>
      <c r="C8" s="21">
        <f>C5+C6</f>
        <v>0</v>
      </c>
      <c r="D8" s="21">
        <f>MAX((D5+D6),0)</f>
        <v>265.00204303253992</v>
      </c>
      <c r="E8" s="21">
        <f>MAX((E5+E6),0)</f>
        <v>11.157432840139775</v>
      </c>
      <c r="F8" s="21">
        <f>MAX((F5+F6),0)</f>
        <v>4560.8578131002669</v>
      </c>
      <c r="G8" s="21"/>
      <c r="H8" s="21"/>
      <c r="I8" s="21"/>
      <c r="J8" s="21">
        <f>MAX((J5+J6),0)</f>
        <v>95.152612557345762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0.21839383181158492</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232.68374113472336</v>
      </c>
      <c r="C12" s="23">
        <f ca="1">C8*C10</f>
        <v>0</v>
      </c>
      <c r="D12" s="23">
        <f>D8*D10</f>
        <v>53.530412692573066</v>
      </c>
      <c r="E12" s="23">
        <f>E8*E10</f>
        <v>2.5327372547117291</v>
      </c>
      <c r="F12" s="23">
        <f>F8*F10</f>
        <v>1217.7490360977713</v>
      </c>
      <c r="G12" s="23"/>
      <c r="H12" s="23"/>
      <c r="I12" s="23"/>
      <c r="J12" s="23">
        <f>J8*J10</f>
        <v>33.684024845300399</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0.16399052615085591</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189.88732431801819</v>
      </c>
      <c r="C26" s="244">
        <f>B26*'GWP N2O_CH4'!B5</f>
        <v>3987.6338106783819</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116.88219065992911</v>
      </c>
      <c r="C27" s="244">
        <f>B27*'GWP N2O_CH4'!B5</f>
        <v>2454.5260038585111</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3.8398606623116245</v>
      </c>
      <c r="C28" s="244">
        <f>B28*'GWP N2O_CH4'!B4</f>
        <v>1190.3568053166036</v>
      </c>
      <c r="D28" s="50"/>
    </row>
    <row r="29" spans="1:4">
      <c r="A29" s="41" t="s">
        <v>266</v>
      </c>
      <c r="B29" s="244">
        <f>B34*'ha_N2O bodem landbouw'!B4</f>
        <v>9.4559125464650844</v>
      </c>
      <c r="C29" s="244">
        <f>B29*'GWP N2O_CH4'!B4</f>
        <v>2931.3328894041761</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1.5627137393910918E-3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1.4475463869947953E-6</v>
      </c>
      <c r="C5" s="433" t="s">
        <v>204</v>
      </c>
      <c r="D5" s="418">
        <f>SUM(D6:D11)</f>
        <v>5.3081518288309872E-6</v>
      </c>
      <c r="E5" s="418">
        <f>SUM(E6:E11)</f>
        <v>5.3692022260030687E-4</v>
      </c>
      <c r="F5" s="431" t="s">
        <v>204</v>
      </c>
      <c r="G5" s="418">
        <f>SUM(G6:G11)</f>
        <v>0.1356966034226397</v>
      </c>
      <c r="H5" s="418">
        <f>SUM(H6:H11)</f>
        <v>1.7175875748720194E-2</v>
      </c>
      <c r="I5" s="433" t="s">
        <v>204</v>
      </c>
      <c r="J5" s="433" t="s">
        <v>204</v>
      </c>
      <c r="K5" s="433" t="s">
        <v>204</v>
      </c>
      <c r="L5" s="433" t="s">
        <v>204</v>
      </c>
      <c r="M5" s="418">
        <f>SUM(M6:M11)</f>
        <v>6.6362184857507471E-3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8.0221974595666058E-7</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2.5400049849197995E-6</v>
      </c>
      <c r="E6" s="421">
        <f>vkm_GW_PW*SUMIFS(TableVerdeelsleutelVkm[LPG],TableVerdeelsleutelVkm[Voertuigtype],"Lichte voertuigen")*SUMIFS(TableECFTransport[EnergieConsumptieFactor (PJ per km)],TableECFTransport[Index],CONCATENATE($A6,"_LPG_LPG"))</f>
        <v>2.6469060636952468E-4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3.5256854753793233E-2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8.4580433268088822E-3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1.9081183581924936E-3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8.997533038668301E-8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4.055882419389395E-2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1.0981294074413427E-6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1.7472910121663231E-3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5.1443435324889692E-7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2.7681468439111881E-6</v>
      </c>
      <c r="E8" s="421">
        <f>vkm_NGW_PW*SUMIFS(TableVerdeelsleutelVkm[LPG],TableVerdeelsleutelVkm[Voertuigtype],"Lichte voertuigen")*SUMIFS(TableECFTransport[EnergieConsumptieFactor (PJ per km)],TableECFTransport[Index],CONCATENATE($A8,"_LPG_LPG"))</f>
        <v>2.7222961623078219E-4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3.4332492275650203E-2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8.7161315249732162E-3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1.8801761264411426E-3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4.0916957402554848E-8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2.5548432199302331E-2</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6.0276753065615103E-7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1.1006329889507872E-3</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0.40209621860966538</v>
      </c>
      <c r="C14" s="21"/>
      <c r="D14" s="21">
        <f t="shared" ref="D14:M14" si="0">((D5)*10^9/3600)+D12</f>
        <v>1.4744866191197186</v>
      </c>
      <c r="E14" s="21">
        <f t="shared" si="0"/>
        <v>149.144506277863</v>
      </c>
      <c r="F14" s="21"/>
      <c r="G14" s="21">
        <f t="shared" si="0"/>
        <v>37693.500950733251</v>
      </c>
      <c r="H14" s="21">
        <f t="shared" si="0"/>
        <v>4771.076596866721</v>
      </c>
      <c r="I14" s="21"/>
      <c r="J14" s="21"/>
      <c r="K14" s="21"/>
      <c r="L14" s="21"/>
      <c r="M14" s="21">
        <f t="shared" si="0"/>
        <v>1843.3940238196519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0.21839383181158492</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8.7815333939113546E-2</v>
      </c>
      <c r="C18" s="23"/>
      <c r="D18" s="23">
        <f t="shared" ref="D18:M18" si="1">D14*D16</f>
        <v>0.29784629706218319</v>
      </c>
      <c r="E18" s="23">
        <f t="shared" si="1"/>
        <v>33.855802925074904</v>
      </c>
      <c r="F18" s="23"/>
      <c r="G18" s="23">
        <f t="shared" si="1"/>
        <v>10064.164753845778</v>
      </c>
      <c r="H18" s="23">
        <f t="shared" si="1"/>
        <v>1187.9980726198135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7.1778918882994733E-6</v>
      </c>
      <c r="C50" s="315">
        <f t="shared" ref="C50:P50" si="2">SUM(C51:C52)</f>
        <v>0</v>
      </c>
      <c r="D50" s="315">
        <f t="shared" si="2"/>
        <v>0</v>
      </c>
      <c r="E50" s="315">
        <f t="shared" si="2"/>
        <v>0</v>
      </c>
      <c r="F50" s="315">
        <f t="shared" si="2"/>
        <v>0</v>
      </c>
      <c r="G50" s="315">
        <f t="shared" si="2"/>
        <v>1.5571715801487298E-3</v>
      </c>
      <c r="H50" s="315">
        <f t="shared" si="2"/>
        <v>0</v>
      </c>
      <c r="I50" s="315">
        <f t="shared" si="2"/>
        <v>0</v>
      </c>
      <c r="J50" s="315">
        <f t="shared" si="2"/>
        <v>0</v>
      </c>
      <c r="K50" s="315">
        <f t="shared" si="2"/>
        <v>0</v>
      </c>
      <c r="L50" s="315">
        <f t="shared" si="2"/>
        <v>0</v>
      </c>
      <c r="M50" s="315">
        <f t="shared" si="2"/>
        <v>6.6672105578150363E-5</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7.1778918882994733E-6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1.5571715801487298E-3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6.6672105578150363E-5</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1.9938588578609648</v>
      </c>
      <c r="C54" s="21">
        <f t="shared" ref="C54:P54" si="3">(C50)*10^9/3600</f>
        <v>0</v>
      </c>
      <c r="D54" s="21">
        <f t="shared" si="3"/>
        <v>0</v>
      </c>
      <c r="E54" s="21">
        <f t="shared" si="3"/>
        <v>0</v>
      </c>
      <c r="F54" s="21">
        <f t="shared" si="3"/>
        <v>0</v>
      </c>
      <c r="G54" s="21">
        <f t="shared" si="3"/>
        <v>432.54766115242495</v>
      </c>
      <c r="H54" s="21">
        <f t="shared" si="3"/>
        <v>0</v>
      </c>
      <c r="I54" s="21">
        <f t="shared" si="3"/>
        <v>0</v>
      </c>
      <c r="J54" s="21">
        <f t="shared" si="3"/>
        <v>0</v>
      </c>
      <c r="K54" s="21">
        <f t="shared" si="3"/>
        <v>0</v>
      </c>
      <c r="L54" s="21">
        <f t="shared" si="3"/>
        <v>0</v>
      </c>
      <c r="M54" s="21">
        <f t="shared" si="3"/>
        <v>18.520029327263991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0.21839383181158492</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0.43544647605972636</v>
      </c>
      <c r="C58" s="23">
        <f t="shared" ref="C58:P58" ca="1" si="4">C54*C56</f>
        <v>0</v>
      </c>
      <c r="D58" s="23">
        <f t="shared" si="4"/>
        <v>0</v>
      </c>
      <c r="E58" s="23">
        <f t="shared" si="4"/>
        <v>0</v>
      </c>
      <c r="F58" s="23">
        <f t="shared" si="4"/>
        <v>0</v>
      </c>
      <c r="G58" s="23">
        <f t="shared" si="4"/>
        <v>115.49022552769746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4576.7713667171956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N29</f>
        <v>1143</v>
      </c>
      <c r="C8" s="544">
        <f>B48</f>
        <v>1344.7058823529412</v>
      </c>
      <c r="D8" s="963"/>
      <c r="E8" s="963">
        <f>E48</f>
        <v>0</v>
      </c>
      <c r="F8" s="964"/>
      <c r="G8" s="545"/>
      <c r="H8" s="963">
        <f>I48</f>
        <v>0</v>
      </c>
      <c r="I8" s="963">
        <f>G48+F48</f>
        <v>0</v>
      </c>
      <c r="J8" s="963">
        <f>H48+D48+C48</f>
        <v>0</v>
      </c>
      <c r="K8" s="963"/>
      <c r="L8" s="963"/>
      <c r="M8" s="963"/>
      <c r="N8" s="546"/>
      <c r="O8" s="547">
        <f>C8*$C$12+D8*$D$12+E8*$E$12+F8*$F$12+G8*$G$12+H8*$H$12+I8*$I$12+J8*$J$12</f>
        <v>271.63058823529417</v>
      </c>
      <c r="P8" s="1253"/>
      <c r="Q8" s="1254"/>
      <c r="S8" s="996"/>
      <c r="T8" s="1250"/>
      <c r="U8" s="1250"/>
    </row>
    <row r="9" spans="1:21" s="532" customFormat="1" ht="17.45" customHeight="1" thickBot="1">
      <c r="A9" s="548" t="s">
        <v>237</v>
      </c>
      <c r="B9" s="1000">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5719.7713667171956</v>
      </c>
      <c r="C10" s="556">
        <f t="shared" ref="C10:L10" si="0">SUM(C8:C9)</f>
        <v>1344.7058823529412</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271.63058823529417</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O29</f>
        <v>1632.8571428571429</v>
      </c>
      <c r="C17" s="568">
        <f>B49</f>
        <v>1921.0084033613443</v>
      </c>
      <c r="D17" s="569"/>
      <c r="E17" s="569">
        <f>E49</f>
        <v>0</v>
      </c>
      <c r="F17" s="570"/>
      <c r="G17" s="571"/>
      <c r="H17" s="568">
        <f>I49</f>
        <v>0</v>
      </c>
      <c r="I17" s="569">
        <f>G49+F49</f>
        <v>0</v>
      </c>
      <c r="J17" s="569">
        <f>H49+D49+C49</f>
        <v>0</v>
      </c>
      <c r="K17" s="569"/>
      <c r="L17" s="569"/>
      <c r="M17" s="569"/>
      <c r="N17" s="959"/>
      <c r="O17" s="572">
        <f>C17*$C$22+E17*$E$22+H17*$H$22+I17*$I$22+J17*$J$22+D17*$D$22+F17*$F$22+G17*$G$22+K17*$K$22+L17*$L$22</f>
        <v>388.04369747899159</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1632.8571428571429</v>
      </c>
      <c r="C20" s="555">
        <f>SUM(C17:C19)</f>
        <v>1921.0084033613443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388.04369747899159</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37017</v>
      </c>
      <c r="C28" s="775">
        <v>8710</v>
      </c>
      <c r="D28" s="628"/>
      <c r="E28" s="627"/>
      <c r="F28" s="627"/>
      <c r="G28" s="627" t="s">
        <v>977</v>
      </c>
      <c r="H28" s="627" t="s">
        <v>978</v>
      </c>
      <c r="I28" s="627"/>
      <c r="J28" s="774"/>
      <c r="K28" s="774"/>
      <c r="L28" s="627" t="s">
        <v>979</v>
      </c>
      <c r="M28" s="627">
        <v>254</v>
      </c>
      <c r="N28" s="627">
        <v>1143</v>
      </c>
      <c r="O28" s="627">
        <v>1632.8571428571429</v>
      </c>
      <c r="P28" s="627">
        <v>3265.7142857142858</v>
      </c>
      <c r="Q28" s="627">
        <v>0</v>
      </c>
      <c r="R28" s="627">
        <v>0</v>
      </c>
      <c r="S28" s="627">
        <v>0</v>
      </c>
      <c r="T28" s="627">
        <v>0</v>
      </c>
      <c r="U28" s="627">
        <v>0</v>
      </c>
      <c r="V28" s="627">
        <v>0</v>
      </c>
      <c r="W28" s="627">
        <v>0</v>
      </c>
      <c r="X28" s="627">
        <v>400</v>
      </c>
      <c r="Y28" s="627" t="s">
        <v>36</v>
      </c>
      <c r="Z28" s="629" t="s">
        <v>378</v>
      </c>
    </row>
    <row r="29" spans="1:26" s="563" customFormat="1" hidden="1">
      <c r="A29" s="583" t="s">
        <v>269</v>
      </c>
      <c r="B29" s="584"/>
      <c r="C29" s="584"/>
      <c r="D29" s="584"/>
      <c r="E29" s="584"/>
      <c r="F29" s="584"/>
      <c r="G29" s="584"/>
      <c r="H29" s="584"/>
      <c r="I29" s="584"/>
      <c r="J29" s="584"/>
      <c r="K29" s="584"/>
      <c r="L29" s="585"/>
      <c r="M29" s="585">
        <f>SUM(M28:M28)</f>
        <v>254</v>
      </c>
      <c r="N29" s="585">
        <f>SUM(N28:N28)</f>
        <v>1143</v>
      </c>
      <c r="O29" s="585">
        <f>SUM(O28:O28)</f>
        <v>1632.8571428571429</v>
      </c>
      <c r="P29" s="585">
        <f>SUM(P28:P28)</f>
        <v>3265.7142857142858</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254</v>
      </c>
      <c r="N30" s="585">
        <f>SUMIF($Z$28:$Z$28,"industrie",N28:N28)</f>
        <v>1143</v>
      </c>
      <c r="O30" s="585">
        <f>SUMIF($Z$28:$Z$28,"industrie",O28:O28)</f>
        <v>1632.8571428571429</v>
      </c>
      <c r="P30" s="585">
        <f>SUMIF($Z$28:$Z$28,"industrie",P28:P28)</f>
        <v>3265.7142857142858</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529</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529</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1344.7058823529412</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1921.0084033613443</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2021-11-11T13:46:56Z</dcterms:modified>
</cp:coreProperties>
</file>