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05B3F550-B819-489C-9A1B-E0BB61E13451}"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G20" i="18" l="1"/>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J20" i="18" s="1"/>
  <c r="E20" i="18"/>
  <c r="F87" i="14"/>
  <c r="Q87" i="14" s="1"/>
  <c r="I8" i="18"/>
  <c r="I10" i="18" s="1"/>
  <c r="H10" i="18"/>
  <c r="M76" i="14"/>
  <c r="E10" i="18"/>
  <c r="F76" i="14"/>
  <c r="O17" i="18"/>
  <c r="O20" i="18" s="1"/>
  <c r="P9" i="55"/>
  <c r="J87" i="14"/>
  <c r="I20" i="18"/>
  <c r="I87" i="14"/>
  <c r="I17" i="55" s="1"/>
  <c r="I20" i="55" s="1"/>
  <c r="O8" i="18"/>
  <c r="O10" i="18" s="1"/>
  <c r="J10" i="18"/>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P5" i="13" l="1"/>
  <c r="P8" i="13" s="1"/>
  <c r="B37" i="13"/>
  <c r="B36" i="13"/>
  <c r="B32" i="13"/>
  <c r="B35" i="13"/>
  <c r="C35" i="13" s="1"/>
  <c r="B34" i="13"/>
  <c r="B33" i="13"/>
  <c r="C34" i="13"/>
  <c r="J15" i="16"/>
  <c r="B67" i="22"/>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E5" i="15"/>
  <c r="O20" i="15"/>
  <c r="P40" i="14" s="1"/>
  <c r="P20" i="15"/>
  <c r="Q40"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G14" i="22" l="1"/>
  <c r="Q46" i="14"/>
  <c r="Q61" i="14" s="1"/>
  <c r="L63" i="14"/>
  <c r="P33" i="48"/>
  <c r="K15" i="48"/>
  <c r="K23" i="48"/>
  <c r="K33" i="48" s="1"/>
  <c r="I23" i="48"/>
  <c r="I33" i="48" s="1"/>
  <c r="I15" i="48"/>
  <c r="Q63" i="14"/>
  <c r="O8" i="48"/>
  <c r="O26" i="48" s="1"/>
  <c r="P13" i="14"/>
  <c r="P16" i="14" s="1"/>
  <c r="P27" i="14" s="1"/>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O15" i="48" l="1"/>
  <c r="P63" i="14"/>
  <c r="H22" i="14"/>
  <c r="H27" i="14" s="1"/>
  <c r="O33" i="48"/>
  <c r="R19" i="14"/>
  <c r="R11" i="14"/>
  <c r="E22" i="48"/>
  <c r="Q4" i="48"/>
  <c r="H52" i="14"/>
  <c r="H61"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H63" i="14" l="1"/>
  <c r="G33" i="48"/>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<sst xmlns="http://schemas.openxmlformats.org/spreadsheetml/2006/main" count="2574" uniqueCount="980">
  <si>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</si>
  <si>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</si>
  <si>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</si>
  <si>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</si>
  <si>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</si>
  <si>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</si>
  <si>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</si>
  <si>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</si>
  <si>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</si>
  <si>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</si>
  <si>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</si>
  <si>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</si>
  <si>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</si>
  <si>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</si>
  <si>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</si>
  <si>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</si>
  <si>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</si>
  <si>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</si>
  <si>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</si>
  <si>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</si>
  <si>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</si>
  <si>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</si>
  <si>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</si>
  <si>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</si>
  <si>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</si>
  <si>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</si>
  <si>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</si>
  <si>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</si>
  <si>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</si>
  <si>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</si>
  <si>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</si>
  <si>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</si>
  <si>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</si>
  <si>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</si>
  <si>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</si>
  <si>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</si>
  <si>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</si>
  <si>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</si>
  <si>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</si>
  <si>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</si>
  <si>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</si>
  <si>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</si>
  <si>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</si>
  <si>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</si>
  <si>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</si>
  <si>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</si>
  <si>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</si>
  <si>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</si>
  <si>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</si>
  <si>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</si>
  <si>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</si>
  <si>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</si>
  <si>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</si>
  <si>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</si>
  <si>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</si>
  <si>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</si>
  <si>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</si>
  <si>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</si>
  <si>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</si>
  <si>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</si>
  <si>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</si>
  <si>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</si>
  <si>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</si>
  <si>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</si>
  <si>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</si>
  <si>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</si>
  <si>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</si>
  <si>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</si>
  <si>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</si>
  <si>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</si>
  <si>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</si>
  <si>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</si>
  <si>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</si>
  <si>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</si>
  <si>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</si>
  <si>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</si>
  <si>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</si>
  <si>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</si>
  <si>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</si>
  <si>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</si>
  <si>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</si>
  <si>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</si>
  <si>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</si>
  <si>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</si>
  <si>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</si>
  <si>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</si>
  <si>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</si>
  <si>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</si>
  <si>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</si>
  <si>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</si>
  <si>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</si>
  <si>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</si>
  <si>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</si>
  <si>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</si>
  <si>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</si>
  <si>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</si>
  <si>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</si>
  <si>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</si>
  <si>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</si>
  <si>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</si>
  <si>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</si>
  <si>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</si>
  <si>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</si>
  <si>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</si>
  <si>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</si>
  <si>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</si>
  <si>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</si>
  <si>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</si>
  <si>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</si>
  <si>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</si>
  <si>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</si>
  <si>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</si>
  <si>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</si>
  <si>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</si>
  <si>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</si>
  <si>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</si>
  <si>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</si>
  <si>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</si>
  <si>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</si>
  <si>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</si>
  <si>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</si>
  <si>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</si>
  <si>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</si>
  <si>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</si>
  <si>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</si>
  <si>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</si>
  <si>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</si>
  <si>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</si>
  <si>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</si>
  <si>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</si>
  <si>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</si>
  <si>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</si>
  <si>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</si>
  <si>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</si>
  <si>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</si>
  <si>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</si>
  <si>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</si>
  <si>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</si>
  <si>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</si>
  <si>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</si>
  <si>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</si>
  <si>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</si>
  <si>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</si>
  <si>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</si>
  <si>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</si>
  <si>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</si>
  <si>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</si>
  <si>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</si>
  <si>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</si>
  <si>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</si>
  <si>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</si>
  <si>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</si>
  <si>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</si>
  <si>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</si>
  <si>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</si>
  <si>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</si>
  <si>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</si>
  <si>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</si>
  <si>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</si>
  <si>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</si>
  <si>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</si>
  <si>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</si>
  <si>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</si>
  <si>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</si>
  <si>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</si>
  <si>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</si>
  <si>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</si>
  <si>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</si>
  <si>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</si>
  <si>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</si>
  <si>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</si>
  <si>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</si>
  <si>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</si>
  <si>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</si>
  <si>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</si>
  <si>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</si>
  <si>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</si>
  <si>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</si>
  <si>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</si>
  <si>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</si>
  <si>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</si>
  <si>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</si>
  <si>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</si>
  <si>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</si>
  <si>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</si>
  <si>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</si>
  <si>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</si>
  <si>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</si>
  <si>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</si>
  <si>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</si>
  <si>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</si>
  <si>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</si>
  <si>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</si>
  <si>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</si>
  <si>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</si>
  <si>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</si>
  <si>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</si>
  <si>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</si>
  <si>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</si>
  <si>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</si>
  <si>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</si>
  <si>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</si>
  <si>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</si>
  <si>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</si>
  <si>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</si>
  <si>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</si>
  <si>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</si>
  <si>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</si>
  <si>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</si>
  <si>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</si>
  <si>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</si>
  <si>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</si>
  <si>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</si>
  <si>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</si>
  <si>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</si>
  <si>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</si>
  <si>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</si>
  <si>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</si>
  <si>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</si>
  <si>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</si>
  <si>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</si>
  <si>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</si>
  <si>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</si>
  <si>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</si>
  <si>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</si>
  <si>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</si>
  <si>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</si>
  <si>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</si>
  <si>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</si>
  <si>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</si>
  <si>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</si>
  <si>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</si>
  <si>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</si>
  <si>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</si>
  <si>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</si>
  <si>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</si>
  <si>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</si>
  <si>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</si>
  <si>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</si>
  <si>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</si>
  <si>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</si>
  <si>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</si>
  <si>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</si>
  <si>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</si>
  <si>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</si>
  <si>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</si>
  <si>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</si>
  <si>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</si>
  <si>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</si>
  <si>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</si>
  <si>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</si>
  <si>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</si>
  <si>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</si>
  <si>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</si>
  <si>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</si>
  <si>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</si>
  <si>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</si>
  <si>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</si>
  <si>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</si>
  <si>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</si>
  <si>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</si>
  <si>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</si>
  <si>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</si>
  <si>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</si>
  <si>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</si>
  <si>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</si>
  <si>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</si>
  <si>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</si>
  <si>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</si>
  <si>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</si>
  <si>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</si>
  <si>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</si>
  <si>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</si>
  <si>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</si>
  <si>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</si>
  <si>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</si>
  <si>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</si>
  <si>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</si>
  <si>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</si>
  <si>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</si>
  <si>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</si>
  <si>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</si>
  <si>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</si>
  <si>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</si>
  <si>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</si>
  <si>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</si>
  <si>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</si>
  <si>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</si>
  <si>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</si>
  <si>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</si>
  <si>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</si>
  <si>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</si>
  <si>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</si>
  <si>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</si>
  <si>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</si>
  <si>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</si>
  <si>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</si>
  <si>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</si>
  <si>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</si>
  <si>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</si>
  <si>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</si>
  <si>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</si>
  <si>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</si>
  <si>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</si>
  <si>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</si>
  <si>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</si>
  <si>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</si>
  <si>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</si>
  <si>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</si>
  <si>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</si>
  <si>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</si>
  <si>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</si>
  <si>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</si>
  <si>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</si>
  <si>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</si>
  <si>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</si>
  <si>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</si>
  <si>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</si>
  <si>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</si>
  <si>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</si>
  <si>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</si>
  <si>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</si>
  <si>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</si>
  <si>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</si>
  <si>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</si>
  <si>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</si>
  <si>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</si>
  <si>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</si>
  <si>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</si>
  <si>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</si>
  <si>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</si>
  <si>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</si>
  <si>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</si>
  <si>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</si>
  <si>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</si>
  <si>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</si>
  <si>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</si>
  <si>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</si>
  <si>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</si>
  <si>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</si>
  <si>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</si>
  <si>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</si>
  <si>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</si>
  <si>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</si>
  <si>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</si>
  <si>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</si>
  <si>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</si>
  <si>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</si>
  <si>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</si>
  <si>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</si>
  <si>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</si>
  <si>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</si>
  <si>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</si>
  <si>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</si>
  <si>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</si>
  <si>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</si>
  <si>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</si>
  <si>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</si>
  <si>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</si>
  <si>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</si>
  <si>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</si>
  <si>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</si>
  <si>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</si>
  <si>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</si>
  <si>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</si>
  <si>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</si>
  <si>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</si>
  <si>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</si>
  <si>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</si>
  <si>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</si>
  <si>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</si>
  <si>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</si>
  <si>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</si>
  <si>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</si>
  <si>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</si>
  <si>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</si>
  <si>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</si>
  <si>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</si>
  <si>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</si>
  <si>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</si>
  <si>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</si>
  <si>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</si>
  <si>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</si>
  <si>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</si>
  <si>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</si>
  <si>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</si>
  <si>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</si>
  <si>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</si>
  <si>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</si>
  <si>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</si>
  <si>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</si>
  <si>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</si>
  <si>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</si>
  <si>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</si>
  <si>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</si>
  <si>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</si>
  <si>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</si>
  <si>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</si>
  <si>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</si>
  <si>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</si>
  <si>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</si>
  <si>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</si>
  <si>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</si>
  <si>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</si>
  <si>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</si>
  <si>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</si>
  <si>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</si>
  <si>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</si>
  <si>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</si>
  <si>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</si>
  <si>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</si>
  <si>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</si>
  <si>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</si>
  <si>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</si>
  <si>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</si>
  <si>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</si>
  <si>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</si>
  <si>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</si>
  <si>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</si>
  <si>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</si>
  <si>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</si>
  <si>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</si>
  <si>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</si>
  <si>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</si>
  <si>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</si>
  <si>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</si>
  <si>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</si>
  <si>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</si>
  <si>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</si>
  <si>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</si>
  <si>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</si>
  <si>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</si>
  <si>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</si>
  <si>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</si>
  <si>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</si>
  <si>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</si>
  <si>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</si>
  <si>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</si>
  <si>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</si>
  <si>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</si>
  <si>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</si>
  <si>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</si>
  <si>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</si>
  <si>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</si>
  <si>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</si>
  <si>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</si>
  <si>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</si>
  <si>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</si>
  <si>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</si>
  <si>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</si>
  <si>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</si>
  <si>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</si>
  <si>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</si>
  <si>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</si>
  <si>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</si>
  <si>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</si>
  <si>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</si>
  <si>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</si>
  <si>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</si>
  <si>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</si>
  <si>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</si>
  <si>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</si>
  <si>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</si>
  <si>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</si>
  <si>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</si>
  <si>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</si>
  <si>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</si>
  <si>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</si>
  <si>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</si>
  <si>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</si>
  <si>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</si>
  <si>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</si>
  <si>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</si>
  <si>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</si>
  <si>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</si>
  <si>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</si>
  <si>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</si>
  <si>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</si>
  <si>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</si>
  <si>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</si>
  <si>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</si>
  <si>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</si>
  <si>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</si>
  <si>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</si>
  <si>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</si>
  <si>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</si>
  <si>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</si>
  <si>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</si>
  <si>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</si>
  <si>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</si>
  <si>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</si>
  <si>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</si>
  <si>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</si>
  <si>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</si>
  <si>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</si>
  <si>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</si>
  <si>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</si>
  <si>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</si>
  <si>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</si>
  <si>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</si>
  <si>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</si>
  <si>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</si>
  <si>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</si>
  <si>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</si>
  <si>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</si>
  <si>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</si>
  <si>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</si>
  <si>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</si>
  <si>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</si>
  <si>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</si>
  <si>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</si>
  <si>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</si>
  <si>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</si>
  <si>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</si>
  <si>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</si>
  <si>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</si>
  <si>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</si>
  <si>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</si>
  <si>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</si>
  <si>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</si>
  <si>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</si>
  <si>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</si>
  <si>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</si>
  <si>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</si>
  <si>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</si>
  <si>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</si>
  <si>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</si>
  <si>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</si>
  <si>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</si>
  <si>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</si>
  <si>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</si>
  <si>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</si>
  <si>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</si>
  <si>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</si>
  <si>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</si>
  <si>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</si>
  <si>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</si>
  <si>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</si>
  <si>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</si>
  <si>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</si>
  <si>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</si>
  <si>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</si>
  <si>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</si>
  <si>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</si>
  <si>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</si>
  <si>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</si>
  <si>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</si>
  <si>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</si>
  <si>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</si>
  <si>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</si>
  <si>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</si>
  <si>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</si>
  <si>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</si>
  <si>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</si>
  <si>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</si>
  <si>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</si>
  <si>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</si>
  <si>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</si>
  <si>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</si>
  <si>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</si>
  <si>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</si>
  <si>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</si>
  <si>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</si>
  <si>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</si>
  <si>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</si>
  <si>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</si>
  <si>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</si>
  <si>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</si>
  <si>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</si>
  <si>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</si>
  <si>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</si>
  <si>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</si>
  <si>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</si>
  <si>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</si>
  <si>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</si>
  <si>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</si>
  <si>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</si>
  <si>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</si>
  <si>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</si>
  <si>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</si>
  <si>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</si>
  <si>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</si>
  <si>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</si>
  <si>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</si>
  <si>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</si>
  <si>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</si>
  <si>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</si>
  <si>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</si>
  <si>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</si>
  <si>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</si>
  <si>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</si>
  <si>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</si>
  <si>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</si>
  <si>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</si>
  <si>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</si>
  <si>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</si>
  <si>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</si>
  <si>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</si>
  <si>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</si>
  <si>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</si>
  <si>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</si>
  <si>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</si>
  <si>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</si>
  <si>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</si>
  <si>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</si>
  <si>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</si>
  <si>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</si>
  <si>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</si>
  <si>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</si>
  <si>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</si>
  <si>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</si>
  <si>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</si>
  <si>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</si>
  <si>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</si>
  <si>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</si>
  <si>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</si>
  <si>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</si>
  <si>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</si>
  <si>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</si>
  <si>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</si>
  <si>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</si>
  <si>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</si>
  <si>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</si>
  <si>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</si>
  <si>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</si>
  <si>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</si>
  <si>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</si>
  <si>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</si>
  <si>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</si>
  <si>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</si>
  <si>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</si>
  <si>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</si>
  <si>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</si>
  <si>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</si>
  <si>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</si>
  <si>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</si>
  <si>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</si>
  <si>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</si>
  <si>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</si>
  <si>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</si>
  <si>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</si>
  <si>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</si>
  <si>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</si>
  <si>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</si>
  <si>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</si>
  <si>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</si>
  <si>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</si>
  <si>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</si>
  <si>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</si>
  <si>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</si>
  <si>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</si>
  <si>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</si>
  <si>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</si>
  <si>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</si>
  <si>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</si>
  <si>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</si>
  <si>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</si>
  <si>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</si>
  <si>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</si>
  <si>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</si>
  <si>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</si>
  <si>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</si>
  <si>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</si>
  <si>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</si>
  <si>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</si>
  <si>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</si>
  <si>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</si>
  <si>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</si>
  <si>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</si>
  <si>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</si>
  <si>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</si>
  <si>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</si>
  <si>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</si>
  <si>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</si>
  <si>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</si>
  <si>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</si>
  <si>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</si>
  <si>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</si>
  <si>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</si>
  <si>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</si>
  <si>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</si>
  <si>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</si>
  <si>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</si>
  <si>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</si>
  <si>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</si>
  <si>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</si>
  <si>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</si>
  <si>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</si>
  <si>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</si>
  <si>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</si>
  <si>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</si>
  <si>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</si>
  <si>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</si>
  <si>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</si>
  <si>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</si>
  <si>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</si>
  <si>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</si>
  <si>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</si>
  <si>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</si>
  <si>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</si>
  <si>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</si>
  <si>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</si>
  <si>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</si>
  <si>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</si>
  <si>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</si>
  <si>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</si>
  <si>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</si>
  <si>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</si>
  <si>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</si>
  <si>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</si>
  <si>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</si>
  <si>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</si>
  <si>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</si>
  <si>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</si>
  <si>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</si>
  <si>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</si>
  <si>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</si>
  <si>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</si>
  <si>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</si>
  <si>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</si>
  <si>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</si>
  <si>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</si>
  <si>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</si>
  <si>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</si>
  <si>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</si>
  <si>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</si>
  <si>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</si>
  <si>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</si>
  <si>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</si>
  <si>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</si>
  <si>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</si>
  <si>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</si>
  <si>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</si>
  <si>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</si>
  <si>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</si>
  <si>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</si>
  <si>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</si>
  <si>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</si>
  <si>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</si>
  <si>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</si>
  <si>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</si>
  <si>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</si>
  <si>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</si>
  <si>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</si>
  <si>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</si>
  <si>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</si>
  <si>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</si>
  <si>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</si>
  <si>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</si>
  <si>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</si>
  <si>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</si>
  <si>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</si>
  <si>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</si>
  <si>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</si>
  <si>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</si>
  <si>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</si>
  <si>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</si>
  <si>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</si>
  <si>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</si>
  <si>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</si>
  <si>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</si>
  <si>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</si>
  <si>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</si>
  <si>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</si>
  <si>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</si>
  <si>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</si>
  <si>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</si>
  <si>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</si>
  <si>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</si>
  <si>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</si>
  <si>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</si>
  <si>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</si>
  <si>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</si>
  <si>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</si>
  <si>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</si>
  <si>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</si>
  <si>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</si>
  <si>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</si>
  <si>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</si>
  <si>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</si>
  <si>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</si>
  <si>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</si>
  <si>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</si>
  <si>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</si>
  <si>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</si>
  <si>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</si>
  <si>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</si>
  <si>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</si>
  <si>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</si>
  <si>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</si>
  <si>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</si>
  <si>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</si>
  <si>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</si>
  <si>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</si>
  <si>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</si>
  <si>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</si>
  <si>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</si>
  <si>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</si>
  <si>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</si>
  <si>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</si>
  <si>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</si>
  <si>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</si>
  <si>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</si>
  <si>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</si>
  <si>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</si>
  <si>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</si>
  <si>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</si>
  <si>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</si>
  <si>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</si>
  <si>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</si>
  <si>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</si>
  <si>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</si>
  <si>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</si>
  <si>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</si>
  <si>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</si>
  <si>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</si>
  <si>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</si>
  <si>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</si>
  <si>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</si>
  <si>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</si>
  <si>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</si>
  <si>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</si>
  <si>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</si>
  <si>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</si>
  <si>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</si>
  <si>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</si>
  <si>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</si>
  <si>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</si>
  <si>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</si>
  <si>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</si>
  <si>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</si>
  <si>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</si>
  <si>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</si>
  <si>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</si>
  <si>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</si>
  <si>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</si>
  <si>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</si>
  <si>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</si>
  <si>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</si>
  <si>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</si>
  <si>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</si>
  <si>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</si>
  <si>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</si>
  <si>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</si>
  <si>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</si>
  <si>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</si>
  <si>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</si>
  <si>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</si>
  <si>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</si>
  <si>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</si>
  <si>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</si>
  <si>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</si>
  <si>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</si>
  <si>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</si>
  <si>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</si>
  <si>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</si>
  <si>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</si>
  <si>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</si>
  <si>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</si>
  <si>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</si>
  <si>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</si>
  <si>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</si>
  <si>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</si>
  <si>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</si>
  <si>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</si>
  <si>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</si>
  <si>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</si>
  <si>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</si>
  <si>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</si>
  <si>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</si>
  <si>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</si>
  <si>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</si>
  <si>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</si>
  <si>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</si>
  <si>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</si>
  <si>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</si>
  <si>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</si>
  <si>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</si>
  <si>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</si>
  <si>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</si>
  <si>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</si>
  <si>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</si>
  <si>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</si>
  <si>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</si>
  <si>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</si>
  <si>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</si>
  <si>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</si>
  <si>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</si>
  <si>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</si>
  <si>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</si>
  <si>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</si>
  <si>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</si>
  <si>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</si>
  <si>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</si>
  <si>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</si>
  <si>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</si>
  <si>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</si>
  <si>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</si>
  <si>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</si>
  <si>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</si>
  <si>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</si>
  <si>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</si>
  <si>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</si>
  <si>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</si>
  <si>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</si>
  <si>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</si>
  <si>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</si>
  <si>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</si>
  <si>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</si>
  <si>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</si>
  <si>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</si>
  <si>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</si>
  <si>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</si>
  <si>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</si>
  <si>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</si>
  <si>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</si>
  <si>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</si>
  <si>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</si>
  <si>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</si>
  <si>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</si>
  <si>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</si>
  <si>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</si>
  <si>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</si>
  <si>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</si>
  <si>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</si>
  <si>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</si>
  <si>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</si>
  <si>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</si>
  <si>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</si>
  <si>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</si>
  <si>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</si>
  <si>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</si>
  <si>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</si>
  <si>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</si>
  <si>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</si>
  <si>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</si>
  <si>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</si>
  <si>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</si>
  <si>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</si>
  <si>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</si>
  <si>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</si>
  <si>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</si>
  <si>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</si>
  <si>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</si>
  <si>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</si>
  <si>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</si>
  <si>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</si>
  <si>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</si>
  <si>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</si>
  <si>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</si>
  <si>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</si>
  <si>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</si>
  <si>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</si>
  <si>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</si>
  <si>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</si>
  <si>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</si>
  <si>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</si>
  <si>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</si>
  <si>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</si>
  <si>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</si>
  <si>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</si>
  <si>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</si>
  <si>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</si>
  <si>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</si>
  <si>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</si>
  <si>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</si>
  <si>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</si>
  <si>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</si>
  <si>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</si>
  <si>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</si>
  <si>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36012</t>
  </si>
  <si>
    <t>MOORSLEDE</t>
  </si>
  <si>
    <t>Paarden&amp;pony's 200 - 600 kg</t>
  </si>
  <si>
    <t>Paarden&amp;pony's &lt; 200 kg</t>
  </si>
  <si>
    <t>Fluvius</t>
  </si>
  <si>
    <t xml:space="preserve">Bron: </t>
  </si>
  <si>
    <t>referentietaak LNE (2017); Jaarverslag De Lijn</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</si>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</sst>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F8279760-92BB-4A21-81D3-A9416E0AB76B}"/>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36012</v>
      </c>
      <c r="B6" s="384"/>
      <c r="C6" s="385"/>
    </row>
    <row r="7" spans="1:7" s="382" customFormat="1" ht="15.75" customHeight="1">
      <c r="A7" s="386" t="str">
        <f>txtMunicipality</f>
        <v>MOORSLEDE</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20487.111396056185</v>
      </c>
      <c r="D10" s="674">
        <f ca="1">tertiair!C16</f>
        <v>6368.5714285714284</v>
      </c>
      <c r="E10" s="674">
        <f ca="1">tertiair!D16</f>
        <v>11788.679682476115</v>
      </c>
      <c r="F10" s="674">
        <f>tertiair!E16</f>
        <v>271.67270049510466</v>
      </c>
      <c r="G10" s="674">
        <f ca="1">tertiair!F16</f>
        <v>2928.302770354504</v>
      </c>
      <c r="H10" s="674">
        <f>tertiair!G16</f>
        <v>0</v>
      </c>
      <c r="I10" s="674">
        <f>tertiair!H16</f>
        <v>0</v>
      </c>
      <c r="J10" s="674">
        <f>tertiair!I16</f>
        <v>0</v>
      </c>
      <c r="K10" s="674">
        <f>tertiair!J16</f>
        <v>0</v>
      </c>
      <c r="L10" s="674">
        <f>tertiair!K16</f>
        <v>0</v>
      </c>
      <c r="M10" s="674">
        <f ca="1">tertiair!L16</f>
        <v>0</v>
      </c>
      <c r="N10" s="674">
        <f>tertiair!M16</f>
        <v>0</v>
      </c>
      <c r="O10" s="674">
        <f ca="1">tertiair!N16</f>
        <v>0</v>
      </c>
      <c r="P10" s="674">
        <f>tertiair!O16</f>
        <v>1.5633333333333335</v>
      </c>
      <c r="Q10" s="675">
        <f>tertiair!P16</f>
        <v>38.133333333333333</v>
      </c>
      <c r="R10" s="677">
        <f ca="1">SUM(C10:Q10)</f>
        <v>41884.034644619991</v>
      </c>
      <c r="S10" s="67"/>
    </row>
    <row r="11" spans="1:19" s="443" customFormat="1">
      <c r="A11" s="789" t="s">
        <v>214</v>
      </c>
      <c r="B11" s="794"/>
      <c r="C11" s="674">
        <f>huishoudens!B8</f>
        <v>18134.941799681994</v>
      </c>
      <c r="D11" s="674">
        <f>huishoudens!C8</f>
        <v>0</v>
      </c>
      <c r="E11" s="674">
        <f>huishoudens!D8</f>
        <v>38201.371877879137</v>
      </c>
      <c r="F11" s="674">
        <f>huishoudens!E8</f>
        <v>893.66383699048777</v>
      </c>
      <c r="G11" s="674">
        <f>huishoudens!F8</f>
        <v>30504.6749823192</v>
      </c>
      <c r="H11" s="674">
        <f>huishoudens!G8</f>
        <v>0</v>
      </c>
      <c r="I11" s="674">
        <f>huishoudens!H8</f>
        <v>0</v>
      </c>
      <c r="J11" s="674">
        <f>huishoudens!I8</f>
        <v>0</v>
      </c>
      <c r="K11" s="674">
        <f>huishoudens!J8</f>
        <v>686.8879424903248</v>
      </c>
      <c r="L11" s="674">
        <f>huishoudens!K8</f>
        <v>0</v>
      </c>
      <c r="M11" s="674">
        <f>huishoudens!L8</f>
        <v>0</v>
      </c>
      <c r="N11" s="674">
        <f>huishoudens!M8</f>
        <v>0</v>
      </c>
      <c r="O11" s="674">
        <f>huishoudens!N8</f>
        <v>5326.9388887412933</v>
      </c>
      <c r="P11" s="674">
        <f>huishoudens!O8</f>
        <v>60.970000000000006</v>
      </c>
      <c r="Q11" s="675">
        <f>huishoudens!P8</f>
        <v>95.333333333333343</v>
      </c>
      <c r="R11" s="677">
        <f>SUM(C11:Q11)</f>
        <v>93904.782661435776</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16503.707096756931</v>
      </c>
      <c r="D13" s="674">
        <f>industrie!C18</f>
        <v>0</v>
      </c>
      <c r="E13" s="674">
        <f>industrie!D18</f>
        <v>12229.541555421136</v>
      </c>
      <c r="F13" s="674">
        <f>industrie!E18</f>
        <v>163.43230845713089</v>
      </c>
      <c r="G13" s="674">
        <f>industrie!F18</f>
        <v>4496.515443160235</v>
      </c>
      <c r="H13" s="674">
        <f>industrie!G18</f>
        <v>0</v>
      </c>
      <c r="I13" s="674">
        <f>industrie!H18</f>
        <v>0</v>
      </c>
      <c r="J13" s="674">
        <f>industrie!I18</f>
        <v>0</v>
      </c>
      <c r="K13" s="674">
        <f>industrie!J18</f>
        <v>110.523087632345</v>
      </c>
      <c r="L13" s="674">
        <f>industrie!K18</f>
        <v>0</v>
      </c>
      <c r="M13" s="674">
        <f>industrie!L18</f>
        <v>0</v>
      </c>
      <c r="N13" s="674">
        <f>industrie!M18</f>
        <v>0</v>
      </c>
      <c r="O13" s="674">
        <f>industrie!N18</f>
        <v>406.31358116991089</v>
      </c>
      <c r="P13" s="674">
        <f>industrie!O18</f>
        <v>0</v>
      </c>
      <c r="Q13" s="675">
        <f>industrie!P18</f>
        <v>0</v>
      </c>
      <c r="R13" s="677">
        <f>SUM(C13:Q13)</f>
        <v>33910.033072597689</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55125.760292495106</v>
      </c>
      <c r="D16" s="707">
        <f t="shared" ref="D16:R16" ca="1" si="0">SUM(D9:D15)</f>
        <v>6368.5714285714284</v>
      </c>
      <c r="E16" s="707">
        <f t="shared" ca="1" si="0"/>
        <v>62219.593115776384</v>
      </c>
      <c r="F16" s="707">
        <f t="shared" si="0"/>
        <v>1328.7688459427234</v>
      </c>
      <c r="G16" s="707">
        <f t="shared" ca="1" si="0"/>
        <v>37929.493195833937</v>
      </c>
      <c r="H16" s="707">
        <f t="shared" si="0"/>
        <v>0</v>
      </c>
      <c r="I16" s="707">
        <f t="shared" si="0"/>
        <v>0</v>
      </c>
      <c r="J16" s="707">
        <f t="shared" si="0"/>
        <v>0</v>
      </c>
      <c r="K16" s="707">
        <f t="shared" si="0"/>
        <v>797.41103012266979</v>
      </c>
      <c r="L16" s="707">
        <f t="shared" si="0"/>
        <v>0</v>
      </c>
      <c r="M16" s="707">
        <f t="shared" ca="1" si="0"/>
        <v>0</v>
      </c>
      <c r="N16" s="707">
        <f t="shared" si="0"/>
        <v>0</v>
      </c>
      <c r="O16" s="707">
        <f t="shared" ca="1" si="0"/>
        <v>5733.2524699112046</v>
      </c>
      <c r="P16" s="707">
        <f t="shared" si="0"/>
        <v>62.533333333333339</v>
      </c>
      <c r="Q16" s="707">
        <f t="shared" si="0"/>
        <v>133.46666666666667</v>
      </c>
      <c r="R16" s="707">
        <f t="shared" ca="1" si="0"/>
        <v>169698.85037865347</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6.2956094104901874</v>
      </c>
      <c r="D19" s="674">
        <f>transport!C54</f>
        <v>0</v>
      </c>
      <c r="E19" s="674">
        <f>transport!D54</f>
        <v>0</v>
      </c>
      <c r="F19" s="674">
        <f>transport!E54</f>
        <v>0</v>
      </c>
      <c r="G19" s="674">
        <f>transport!F54</f>
        <v>0</v>
      </c>
      <c r="H19" s="674">
        <f>transport!G54</f>
        <v>1365.769254579111</v>
      </c>
      <c r="I19" s="674">
        <f>transport!H54</f>
        <v>0</v>
      </c>
      <c r="J19" s="674">
        <f>transport!I54</f>
        <v>0</v>
      </c>
      <c r="K19" s="674">
        <f>transport!J54</f>
        <v>0</v>
      </c>
      <c r="L19" s="674">
        <f>transport!K54</f>
        <v>0</v>
      </c>
      <c r="M19" s="674">
        <f>transport!L54</f>
        <v>0</v>
      </c>
      <c r="N19" s="674">
        <f>transport!M54</f>
        <v>58.476993221256279</v>
      </c>
      <c r="O19" s="674">
        <f>transport!N54</f>
        <v>0</v>
      </c>
      <c r="P19" s="674">
        <f>transport!O54</f>
        <v>0</v>
      </c>
      <c r="Q19" s="675">
        <f>transport!P54</f>
        <v>0</v>
      </c>
      <c r="R19" s="677">
        <f>SUM(C19:Q19)</f>
        <v>1430.5418572108574</v>
      </c>
      <c r="S19" s="67"/>
    </row>
    <row r="20" spans="1:19" s="443" customFormat="1">
      <c r="A20" s="789" t="s">
        <v>296</v>
      </c>
      <c r="B20" s="794"/>
      <c r="C20" s="674">
        <f>transport!B14</f>
        <v>0.39703342037348821</v>
      </c>
      <c r="D20" s="674">
        <f>transport!C14</f>
        <v>0</v>
      </c>
      <c r="E20" s="674">
        <f>transport!D14</f>
        <v>1.8849446906700382</v>
      </c>
      <c r="F20" s="674">
        <f>transport!E14</f>
        <v>186.89819381548102</v>
      </c>
      <c r="G20" s="674">
        <f>transport!F14</f>
        <v>0</v>
      </c>
      <c r="H20" s="674">
        <f>transport!G14</f>
        <v>31250.605108818349</v>
      </c>
      <c r="I20" s="674">
        <f>transport!H14</f>
        <v>5982.4970798567037</v>
      </c>
      <c r="J20" s="674">
        <f>transport!I14</f>
        <v>0</v>
      </c>
      <c r="K20" s="674">
        <f>transport!J14</f>
        <v>0</v>
      </c>
      <c r="L20" s="674">
        <f>transport!K14</f>
        <v>0</v>
      </c>
      <c r="M20" s="674">
        <f>transport!L14</f>
        <v>0</v>
      </c>
      <c r="N20" s="674">
        <f>transport!M14</f>
        <v>1621.5951748757495</v>
      </c>
      <c r="O20" s="674">
        <f>transport!N14</f>
        <v>0</v>
      </c>
      <c r="P20" s="674">
        <f>transport!O14</f>
        <v>0</v>
      </c>
      <c r="Q20" s="675">
        <f>transport!P14</f>
        <v>0</v>
      </c>
      <c r="R20" s="677">
        <f>SUM(C20:Q20)</f>
        <v>39043.877535477324</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6.6926428308636758</v>
      </c>
      <c r="D22" s="792">
        <f t="shared" ref="D22:R22" si="1">SUM(D18:D21)</f>
        <v>0</v>
      </c>
      <c r="E22" s="792">
        <f t="shared" si="1"/>
        <v>1.8849446906700382</v>
      </c>
      <c r="F22" s="792">
        <f t="shared" si="1"/>
        <v>186.89819381548102</v>
      </c>
      <c r="G22" s="792">
        <f t="shared" si="1"/>
        <v>0</v>
      </c>
      <c r="H22" s="792">
        <f t="shared" si="1"/>
        <v>32616.374363397459</v>
      </c>
      <c r="I22" s="792">
        <f t="shared" si="1"/>
        <v>5982.4970798567037</v>
      </c>
      <c r="J22" s="792">
        <f t="shared" si="1"/>
        <v>0</v>
      </c>
      <c r="K22" s="792">
        <f t="shared" si="1"/>
        <v>0</v>
      </c>
      <c r="L22" s="792">
        <f t="shared" si="1"/>
        <v>0</v>
      </c>
      <c r="M22" s="792">
        <f t="shared" si="1"/>
        <v>0</v>
      </c>
      <c r="N22" s="792">
        <f t="shared" si="1"/>
        <v>1680.0721680970057</v>
      </c>
      <c r="O22" s="792">
        <f t="shared" si="1"/>
        <v>0</v>
      </c>
      <c r="P22" s="792">
        <f t="shared" si="1"/>
        <v>0</v>
      </c>
      <c r="Q22" s="792">
        <f t="shared" si="1"/>
        <v>0</v>
      </c>
      <c r="R22" s="792">
        <f t="shared" si="1"/>
        <v>40474.419392688185</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2940.9512585308739</v>
      </c>
      <c r="D24" s="674">
        <f>+landbouw!C8</f>
        <v>0</v>
      </c>
      <c r="E24" s="674">
        <f>+landbouw!D8</f>
        <v>300.69053210371436</v>
      </c>
      <c r="F24" s="674">
        <f>+landbouw!E8</f>
        <v>30.798278269318722</v>
      </c>
      <c r="G24" s="674">
        <f>+landbouw!F8</f>
        <v>12589.506034875561</v>
      </c>
      <c r="H24" s="674">
        <f>+landbouw!G8</f>
        <v>0</v>
      </c>
      <c r="I24" s="674">
        <f>+landbouw!H8</f>
        <v>0</v>
      </c>
      <c r="J24" s="674">
        <f>+landbouw!I8</f>
        <v>0</v>
      </c>
      <c r="K24" s="674">
        <f>+landbouw!J8</f>
        <v>262.65330758263326</v>
      </c>
      <c r="L24" s="674">
        <f>+landbouw!K8</f>
        <v>0</v>
      </c>
      <c r="M24" s="674">
        <f>+landbouw!L8</f>
        <v>0</v>
      </c>
      <c r="N24" s="674">
        <f>+landbouw!M8</f>
        <v>0</v>
      </c>
      <c r="O24" s="674">
        <f>+landbouw!N8</f>
        <v>0</v>
      </c>
      <c r="P24" s="674">
        <f>+landbouw!O8</f>
        <v>0</v>
      </c>
      <c r="Q24" s="675">
        <f>+landbouw!P8</f>
        <v>0</v>
      </c>
      <c r="R24" s="677">
        <f>SUM(C24:Q24)</f>
        <v>16124.599411362102</v>
      </c>
      <c r="S24" s="67"/>
    </row>
    <row r="25" spans="1:19" s="443" customFormat="1" ht="15" thickBot="1">
      <c r="A25" s="811" t="s">
        <v>889</v>
      </c>
      <c r="B25" s="966"/>
      <c r="C25" s="967">
        <f>IF(Onbekend_ele_kWh="---",0,Onbekend_ele_kWh)/1000+IF(REST_rest_ele_kWh="---",0,REST_rest_ele_kWh)/1000</f>
        <v>1140.1507125309402</v>
      </c>
      <c r="D25" s="967"/>
      <c r="E25" s="967">
        <f>IF(onbekend_gas_kWh="---",0,onbekend_gas_kWh)/1000+IF(REST_rest_gas_kWh="---",0,REST_rest_gas_kWh)/1000</f>
        <v>2745.2153375757803</v>
      </c>
      <c r="F25" s="967"/>
      <c r="G25" s="967"/>
      <c r="H25" s="967"/>
      <c r="I25" s="967"/>
      <c r="J25" s="967"/>
      <c r="K25" s="967"/>
      <c r="L25" s="967"/>
      <c r="M25" s="967"/>
      <c r="N25" s="967"/>
      <c r="O25" s="967"/>
      <c r="P25" s="967"/>
      <c r="Q25" s="968"/>
      <c r="R25" s="677">
        <f>SUM(C25:Q25)</f>
        <v>3885.3660501067206</v>
      </c>
      <c r="S25" s="67"/>
    </row>
    <row r="26" spans="1:19" s="443" customFormat="1" ht="15.75" thickBot="1">
      <c r="A26" s="680" t="s">
        <v>890</v>
      </c>
      <c r="B26" s="797"/>
      <c r="C26" s="792">
        <f>SUM(C24:C25)</f>
        <v>4081.1019710618139</v>
      </c>
      <c r="D26" s="792">
        <f t="shared" ref="D26:R26" si="2">SUM(D24:D25)</f>
        <v>0</v>
      </c>
      <c r="E26" s="792">
        <f t="shared" si="2"/>
        <v>3045.9058696794946</v>
      </c>
      <c r="F26" s="792">
        <f t="shared" si="2"/>
        <v>30.798278269318722</v>
      </c>
      <c r="G26" s="792">
        <f t="shared" si="2"/>
        <v>12589.506034875561</v>
      </c>
      <c r="H26" s="792">
        <f t="shared" si="2"/>
        <v>0</v>
      </c>
      <c r="I26" s="792">
        <f t="shared" si="2"/>
        <v>0</v>
      </c>
      <c r="J26" s="792">
        <f t="shared" si="2"/>
        <v>0</v>
      </c>
      <c r="K26" s="792">
        <f t="shared" si="2"/>
        <v>262.65330758263326</v>
      </c>
      <c r="L26" s="792">
        <f t="shared" si="2"/>
        <v>0</v>
      </c>
      <c r="M26" s="792">
        <f t="shared" si="2"/>
        <v>0</v>
      </c>
      <c r="N26" s="792">
        <f t="shared" si="2"/>
        <v>0</v>
      </c>
      <c r="O26" s="792">
        <f t="shared" si="2"/>
        <v>0</v>
      </c>
      <c r="P26" s="792">
        <f t="shared" si="2"/>
        <v>0</v>
      </c>
      <c r="Q26" s="792">
        <f t="shared" si="2"/>
        <v>0</v>
      </c>
      <c r="R26" s="792">
        <f t="shared" si="2"/>
        <v>20009.965461468822</v>
      </c>
      <c r="S26" s="67"/>
    </row>
    <row r="27" spans="1:19" s="443" customFormat="1" ht="17.25" thickTop="1" thickBot="1">
      <c r="A27" s="681" t="s">
        <v>109</v>
      </c>
      <c r="B27" s="784"/>
      <c r="C27" s="682">
        <f ca="1">C22+C16+C26</f>
        <v>59213.554906387784</v>
      </c>
      <c r="D27" s="682">
        <f t="shared" ref="D27:R27" ca="1" si="3">D22+D16+D26</f>
        <v>6368.5714285714284</v>
      </c>
      <c r="E27" s="682">
        <f t="shared" ca="1" si="3"/>
        <v>65267.383930146549</v>
      </c>
      <c r="F27" s="682">
        <f t="shared" si="3"/>
        <v>1546.4653180275229</v>
      </c>
      <c r="G27" s="682">
        <f t="shared" ca="1" si="3"/>
        <v>50518.999230709494</v>
      </c>
      <c r="H27" s="682">
        <f t="shared" si="3"/>
        <v>32616.374363397459</v>
      </c>
      <c r="I27" s="682">
        <f t="shared" si="3"/>
        <v>5982.4970798567037</v>
      </c>
      <c r="J27" s="682">
        <f t="shared" si="3"/>
        <v>0</v>
      </c>
      <c r="K27" s="682">
        <f t="shared" si="3"/>
        <v>1060.0643377053029</v>
      </c>
      <c r="L27" s="682">
        <f t="shared" si="3"/>
        <v>0</v>
      </c>
      <c r="M27" s="682">
        <f t="shared" ca="1" si="3"/>
        <v>0</v>
      </c>
      <c r="N27" s="682">
        <f t="shared" si="3"/>
        <v>1680.0721680970057</v>
      </c>
      <c r="O27" s="682">
        <f t="shared" ca="1" si="3"/>
        <v>5733.2524699112046</v>
      </c>
      <c r="P27" s="682">
        <f t="shared" si="3"/>
        <v>62.533333333333339</v>
      </c>
      <c r="Q27" s="682">
        <f t="shared" si="3"/>
        <v>133.46666666666667</v>
      </c>
      <c r="R27" s="682">
        <f t="shared" ca="1" si="3"/>
        <v>230183.23523281046</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4040.7793319191151</v>
      </c>
      <c r="D40" s="674">
        <f ca="1">tertiair!C20</f>
        <v>0</v>
      </c>
      <c r="E40" s="674">
        <f ca="1">tertiair!D20</f>
        <v>2381.3132958601755</v>
      </c>
      <c r="F40" s="674">
        <f>tertiair!E20</f>
        <v>61.669703012388759</v>
      </c>
      <c r="G40" s="674">
        <f ca="1">tertiair!F20</f>
        <v>781.85683968465264</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7265.6191704763314</v>
      </c>
    </row>
    <row r="41" spans="1:18">
      <c r="A41" s="802" t="s">
        <v>214</v>
      </c>
      <c r="B41" s="809"/>
      <c r="C41" s="674">
        <f ca="1">huishoudens!B12</f>
        <v>3576.8487120061968</v>
      </c>
      <c r="D41" s="674">
        <f ca="1">huishoudens!C12</f>
        <v>0</v>
      </c>
      <c r="E41" s="674">
        <f>huishoudens!D12</f>
        <v>7716.6771193315863</v>
      </c>
      <c r="F41" s="674">
        <f>huishoudens!E12</f>
        <v>202.86169099684074</v>
      </c>
      <c r="G41" s="674">
        <f>huishoudens!F12</f>
        <v>8144.7482202792271</v>
      </c>
      <c r="H41" s="674">
        <f>huishoudens!G12</f>
        <v>0</v>
      </c>
      <c r="I41" s="674">
        <f>huishoudens!H12</f>
        <v>0</v>
      </c>
      <c r="J41" s="674">
        <f>huishoudens!I12</f>
        <v>0</v>
      </c>
      <c r="K41" s="674">
        <f>huishoudens!J12</f>
        <v>243.15833164157496</v>
      </c>
      <c r="L41" s="674">
        <f>huishoudens!K12</f>
        <v>0</v>
      </c>
      <c r="M41" s="674">
        <f>huishoudens!L12</f>
        <v>0</v>
      </c>
      <c r="N41" s="674">
        <f>huishoudens!M12</f>
        <v>0</v>
      </c>
      <c r="O41" s="674">
        <f>huishoudens!N12</f>
        <v>0</v>
      </c>
      <c r="P41" s="674">
        <f>huishoudens!O12</f>
        <v>0</v>
      </c>
      <c r="Q41" s="749">
        <f>huishoudens!P12</f>
        <v>0</v>
      </c>
      <c r="R41" s="830">
        <f t="shared" ca="1" si="4"/>
        <v>19884.294074255424</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3255.1118235955796</v>
      </c>
      <c r="D43" s="674">
        <f ca="1">industrie!C22</f>
        <v>0</v>
      </c>
      <c r="E43" s="674">
        <f>industrie!D22</f>
        <v>2470.3673941950697</v>
      </c>
      <c r="F43" s="674">
        <f>industrie!E22</f>
        <v>37.099134019768712</v>
      </c>
      <c r="G43" s="674">
        <f>industrie!F22</f>
        <v>1200.5696233237827</v>
      </c>
      <c r="H43" s="674">
        <f>industrie!G22</f>
        <v>0</v>
      </c>
      <c r="I43" s="674">
        <f>industrie!H22</f>
        <v>0</v>
      </c>
      <c r="J43" s="674">
        <f>industrie!I22</f>
        <v>0</v>
      </c>
      <c r="K43" s="674">
        <f>industrie!J22</f>
        <v>39.125173021850124</v>
      </c>
      <c r="L43" s="674">
        <f>industrie!K22</f>
        <v>0</v>
      </c>
      <c r="M43" s="674">
        <f>industrie!L22</f>
        <v>0</v>
      </c>
      <c r="N43" s="674">
        <f>industrie!M22</f>
        <v>0</v>
      </c>
      <c r="O43" s="674">
        <f>industrie!N22</f>
        <v>0</v>
      </c>
      <c r="P43" s="674">
        <f>industrie!O22</f>
        <v>0</v>
      </c>
      <c r="Q43" s="749">
        <f>industrie!P22</f>
        <v>0</v>
      </c>
      <c r="R43" s="829">
        <f t="shared" ca="1" si="4"/>
        <v>7002.2731481560513</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10872.739867520891</v>
      </c>
      <c r="D46" s="707">
        <f t="shared" ref="D46:Q46" ca="1" si="5">SUM(D39:D45)</f>
        <v>0</v>
      </c>
      <c r="E46" s="707">
        <f t="shared" ca="1" si="5"/>
        <v>12568.357809386831</v>
      </c>
      <c r="F46" s="707">
        <f t="shared" si="5"/>
        <v>301.63052802899819</v>
      </c>
      <c r="G46" s="707">
        <f t="shared" ca="1" si="5"/>
        <v>10127.174683287663</v>
      </c>
      <c r="H46" s="707">
        <f t="shared" si="5"/>
        <v>0</v>
      </c>
      <c r="I46" s="707">
        <f t="shared" si="5"/>
        <v>0</v>
      </c>
      <c r="J46" s="707">
        <f t="shared" si="5"/>
        <v>0</v>
      </c>
      <c r="K46" s="707">
        <f t="shared" si="5"/>
        <v>282.28350466342511</v>
      </c>
      <c r="L46" s="707">
        <f t="shared" si="5"/>
        <v>0</v>
      </c>
      <c r="M46" s="707">
        <f t="shared" ca="1" si="5"/>
        <v>0</v>
      </c>
      <c r="N46" s="707">
        <f t="shared" si="5"/>
        <v>0</v>
      </c>
      <c r="O46" s="707">
        <f t="shared" ca="1" si="5"/>
        <v>0</v>
      </c>
      <c r="P46" s="707">
        <f t="shared" si="5"/>
        <v>0</v>
      </c>
      <c r="Q46" s="707">
        <f t="shared" si="5"/>
        <v>0</v>
      </c>
      <c r="R46" s="707">
        <f ca="1">SUM(R39:R45)</f>
        <v>34152.186392887801</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1.2417157253628899</v>
      </c>
      <c r="D49" s="674">
        <f ca="1">transport!C58</f>
        <v>0</v>
      </c>
      <c r="E49" s="674">
        <f>transport!D58</f>
        <v>0</v>
      </c>
      <c r="F49" s="674">
        <f>transport!E58</f>
        <v>0</v>
      </c>
      <c r="G49" s="674">
        <f>transport!F58</f>
        <v>0</v>
      </c>
      <c r="H49" s="674">
        <f>transport!G58</f>
        <v>364.66039097262268</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365.90210669798557</v>
      </c>
    </row>
    <row r="50" spans="1:18">
      <c r="A50" s="805" t="s">
        <v>296</v>
      </c>
      <c r="B50" s="815"/>
      <c r="C50" s="973">
        <f ca="1">transport!B18</f>
        <v>7.830896255267987E-2</v>
      </c>
      <c r="D50" s="973">
        <f>transport!C18</f>
        <v>0</v>
      </c>
      <c r="E50" s="973">
        <f>transport!D18</f>
        <v>0.38075882751534773</v>
      </c>
      <c r="F50" s="973">
        <f>transport!E18</f>
        <v>42.425889996114194</v>
      </c>
      <c r="G50" s="973">
        <f>transport!F18</f>
        <v>0</v>
      </c>
      <c r="H50" s="973">
        <f>transport!G18</f>
        <v>8343.9115640544987</v>
      </c>
      <c r="I50" s="973">
        <f>transport!H18</f>
        <v>1489.6417728843192</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9876.4382947249997</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1.3200246879155697</v>
      </c>
      <c r="D52" s="707">
        <f t="shared" ref="D52:Q52" ca="1" si="6">SUM(D48:D51)</f>
        <v>0</v>
      </c>
      <c r="E52" s="707">
        <f t="shared" si="6"/>
        <v>0.38075882751534773</v>
      </c>
      <c r="F52" s="707">
        <f t="shared" si="6"/>
        <v>42.425889996114194</v>
      </c>
      <c r="G52" s="707">
        <f t="shared" si="6"/>
        <v>0</v>
      </c>
      <c r="H52" s="707">
        <f t="shared" si="6"/>
        <v>8708.5719550271206</v>
      </c>
      <c r="I52" s="707">
        <f t="shared" si="6"/>
        <v>1489.6417728843192</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10242.340401422985</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580.05908358270119</v>
      </c>
      <c r="D54" s="973">
        <f ca="1">+landbouw!C12</f>
        <v>0</v>
      </c>
      <c r="E54" s="973">
        <f>+landbouw!D12</f>
        <v>60.739487484950303</v>
      </c>
      <c r="F54" s="973">
        <f>+landbouw!E12</f>
        <v>6.9912091671353505</v>
      </c>
      <c r="G54" s="973">
        <f>+landbouw!F12</f>
        <v>3361.3981113117752</v>
      </c>
      <c r="H54" s="973">
        <f>+landbouw!G12</f>
        <v>0</v>
      </c>
      <c r="I54" s="973">
        <f>+landbouw!H12</f>
        <v>0</v>
      </c>
      <c r="J54" s="973">
        <f>+landbouw!I12</f>
        <v>0</v>
      </c>
      <c r="K54" s="973">
        <f>+landbouw!J12</f>
        <v>92.979270884252173</v>
      </c>
      <c r="L54" s="973">
        <f>+landbouw!K12</f>
        <v>0</v>
      </c>
      <c r="M54" s="973">
        <f>+landbouw!L12</f>
        <v>0</v>
      </c>
      <c r="N54" s="973">
        <f>+landbouw!M12</f>
        <v>0</v>
      </c>
      <c r="O54" s="973">
        <f>+landbouw!N12</f>
        <v>0</v>
      </c>
      <c r="P54" s="973">
        <f>+landbouw!O12</f>
        <v>0</v>
      </c>
      <c r="Q54" s="974">
        <f>+landbouw!P12</f>
        <v>0</v>
      </c>
      <c r="R54" s="706">
        <f ca="1">SUM(C54:Q54)</f>
        <v>4102.1671624308146</v>
      </c>
    </row>
    <row r="55" spans="1:18" ht="15" thickBot="1">
      <c r="A55" s="805" t="s">
        <v>889</v>
      </c>
      <c r="B55" s="815"/>
      <c r="C55" s="973">
        <f ca="1">C25*'EF ele_warmte'!B12</f>
        <v>224.87784370395681</v>
      </c>
      <c r="D55" s="973"/>
      <c r="E55" s="973">
        <f>E25*EF_CO2_aardgas</f>
        <v>554.53349819030768</v>
      </c>
      <c r="F55" s="973"/>
      <c r="G55" s="973"/>
      <c r="H55" s="973"/>
      <c r="I55" s="973"/>
      <c r="J55" s="973"/>
      <c r="K55" s="973"/>
      <c r="L55" s="973"/>
      <c r="M55" s="973"/>
      <c r="N55" s="973"/>
      <c r="O55" s="973"/>
      <c r="P55" s="973"/>
      <c r="Q55" s="974"/>
      <c r="R55" s="706">
        <f ca="1">SUM(C55:Q55)</f>
        <v>779.41134189426452</v>
      </c>
    </row>
    <row r="56" spans="1:18" ht="15.75" thickBot="1">
      <c r="A56" s="803" t="s">
        <v>890</v>
      </c>
      <c r="B56" s="816"/>
      <c r="C56" s="707">
        <f ca="1">SUM(C54:C55)</f>
        <v>804.93692728665803</v>
      </c>
      <c r="D56" s="707">
        <f t="shared" ref="D56:Q56" ca="1" si="7">SUM(D54:D55)</f>
        <v>0</v>
      </c>
      <c r="E56" s="707">
        <f t="shared" si="7"/>
        <v>615.27298567525804</v>
      </c>
      <c r="F56" s="707">
        <f t="shared" si="7"/>
        <v>6.9912091671353505</v>
      </c>
      <c r="G56" s="707">
        <f t="shared" si="7"/>
        <v>3361.3981113117752</v>
      </c>
      <c r="H56" s="707">
        <f t="shared" si="7"/>
        <v>0</v>
      </c>
      <c r="I56" s="707">
        <f t="shared" si="7"/>
        <v>0</v>
      </c>
      <c r="J56" s="707">
        <f t="shared" si="7"/>
        <v>0</v>
      </c>
      <c r="K56" s="707">
        <f t="shared" si="7"/>
        <v>92.979270884252173</v>
      </c>
      <c r="L56" s="707">
        <f t="shared" si="7"/>
        <v>0</v>
      </c>
      <c r="M56" s="707">
        <f t="shared" si="7"/>
        <v>0</v>
      </c>
      <c r="N56" s="707">
        <f t="shared" si="7"/>
        <v>0</v>
      </c>
      <c r="O56" s="707">
        <f t="shared" si="7"/>
        <v>0</v>
      </c>
      <c r="P56" s="707">
        <f t="shared" si="7"/>
        <v>0</v>
      </c>
      <c r="Q56" s="708">
        <f t="shared" si="7"/>
        <v>0</v>
      </c>
      <c r="R56" s="709">
        <f ca="1">SUM(R54:R55)</f>
        <v>4881.5785043250789</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11678.996819495465</v>
      </c>
      <c r="D61" s="715">
        <f t="shared" ref="D61:Q61" ca="1" si="8">D46+D52+D56</f>
        <v>0</v>
      </c>
      <c r="E61" s="715">
        <f t="shared" ca="1" si="8"/>
        <v>13184.011553889604</v>
      </c>
      <c r="F61" s="715">
        <f t="shared" si="8"/>
        <v>351.04762719224777</v>
      </c>
      <c r="G61" s="715">
        <f t="shared" ca="1" si="8"/>
        <v>13488.572794599439</v>
      </c>
      <c r="H61" s="715">
        <f t="shared" si="8"/>
        <v>8708.5719550271206</v>
      </c>
      <c r="I61" s="715">
        <f t="shared" si="8"/>
        <v>1489.6417728843192</v>
      </c>
      <c r="J61" s="715">
        <f t="shared" si="8"/>
        <v>0</v>
      </c>
      <c r="K61" s="715">
        <f t="shared" si="8"/>
        <v>375.26277554767728</v>
      </c>
      <c r="L61" s="715">
        <f t="shared" si="8"/>
        <v>0</v>
      </c>
      <c r="M61" s="715">
        <f t="shared" ca="1" si="8"/>
        <v>0</v>
      </c>
      <c r="N61" s="715">
        <f t="shared" si="8"/>
        <v>0</v>
      </c>
      <c r="O61" s="715">
        <f t="shared" ca="1" si="8"/>
        <v>0</v>
      </c>
      <c r="P61" s="715">
        <f t="shared" si="8"/>
        <v>0</v>
      </c>
      <c r="Q61" s="715">
        <f t="shared" si="8"/>
        <v>0</v>
      </c>
      <c r="R61" s="715">
        <f ca="1">R46+R52+R56</f>
        <v>49276.10529863587</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0.19723519113079915</v>
      </c>
      <c r="D63" s="759">
        <f t="shared" ca="1" si="9"/>
        <v>0</v>
      </c>
      <c r="E63" s="975">
        <f t="shared" ca="1" si="9"/>
        <v>0.20200000000000001</v>
      </c>
      <c r="F63" s="759">
        <f t="shared" si="9"/>
        <v>0.22700000000000004</v>
      </c>
      <c r="G63" s="759">
        <f t="shared" ca="1" si="9"/>
        <v>0.26700000000000007</v>
      </c>
      <c r="H63" s="759">
        <f t="shared" si="9"/>
        <v>0.26699999999999996</v>
      </c>
      <c r="I63" s="759">
        <f t="shared" si="9"/>
        <v>0.249</v>
      </c>
      <c r="J63" s="759">
        <f t="shared" si="9"/>
        <v>0</v>
      </c>
      <c r="K63" s="759">
        <f t="shared" si="9"/>
        <v>0.35400000000000004</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1909.4154516571698</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4458</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5244.7058823529424</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6367.4154516571698</v>
      </c>
      <c r="C78" s="730">
        <f>SUM(C72:C77)</f>
        <v>0</v>
      </c>
      <c r="D78" s="731">
        <f t="shared" ref="D78:H78" si="10">SUM(D76:D77)</f>
        <v>0</v>
      </c>
      <c r="E78" s="731">
        <f t="shared" si="10"/>
        <v>0</v>
      </c>
      <c r="F78" s="731">
        <f t="shared" si="10"/>
        <v>0</v>
      </c>
      <c r="G78" s="731">
        <f t="shared" si="10"/>
        <v>0</v>
      </c>
      <c r="H78" s="731">
        <f t="shared" si="10"/>
        <v>0</v>
      </c>
      <c r="I78" s="731">
        <f>SUM(I76:I77)</f>
        <v>0</v>
      </c>
      <c r="J78" s="731">
        <f>SUM(J76:J77)</f>
        <v>5244.7058823529424</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6368.5714285714284</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7492.4369747899173</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6368.5714285714284</v>
      </c>
      <c r="C90" s="730">
        <f>SUM(C87:C89)</f>
        <v>0</v>
      </c>
      <c r="D90" s="730">
        <f t="shared" ref="D90:H90" si="12">SUM(D87:D89)</f>
        <v>0</v>
      </c>
      <c r="E90" s="730">
        <f t="shared" si="12"/>
        <v>0</v>
      </c>
      <c r="F90" s="730">
        <f t="shared" si="12"/>
        <v>0</v>
      </c>
      <c r="G90" s="730">
        <f t="shared" si="12"/>
        <v>0</v>
      </c>
      <c r="H90" s="730">
        <f t="shared" si="12"/>
        <v>0</v>
      </c>
      <c r="I90" s="730">
        <f>SUM(I87:I89)</f>
        <v>0</v>
      </c>
      <c r="J90" s="730">
        <f>SUM(J87:J89)</f>
        <v>7492.4369747899173</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18134.941799681994</v>
      </c>
      <c r="C4" s="447">
        <f>huishoudens!C8</f>
        <v>0</v>
      </c>
      <c r="D4" s="447">
        <f>huishoudens!D8</f>
        <v>38201.371877879137</v>
      </c>
      <c r="E4" s="447">
        <f>huishoudens!E8</f>
        <v>893.66383699048777</v>
      </c>
      <c r="F4" s="447">
        <f>huishoudens!F8</f>
        <v>30504.6749823192</v>
      </c>
      <c r="G4" s="447">
        <f>huishoudens!G8</f>
        <v>0</v>
      </c>
      <c r="H4" s="447">
        <f>huishoudens!H8</f>
        <v>0</v>
      </c>
      <c r="I4" s="447">
        <f>huishoudens!I8</f>
        <v>0</v>
      </c>
      <c r="J4" s="447">
        <f>huishoudens!J8</f>
        <v>686.8879424903248</v>
      </c>
      <c r="K4" s="447">
        <f>huishoudens!K8</f>
        <v>0</v>
      </c>
      <c r="L4" s="447">
        <f>huishoudens!L8</f>
        <v>0</v>
      </c>
      <c r="M4" s="447">
        <f>huishoudens!M8</f>
        <v>0</v>
      </c>
      <c r="N4" s="447">
        <f>huishoudens!N8</f>
        <v>5326.9388887412933</v>
      </c>
      <c r="O4" s="447">
        <f>huishoudens!O8</f>
        <v>60.970000000000006</v>
      </c>
      <c r="P4" s="448">
        <f>huishoudens!P8</f>
        <v>95.333333333333343</v>
      </c>
      <c r="Q4" s="449">
        <f>SUM(B4:P4)</f>
        <v>93904.782661435776</v>
      </c>
    </row>
    <row r="5" spans="1:17">
      <c r="A5" s="446" t="s">
        <v>149</v>
      </c>
      <c r="B5" s="447">
        <f ca="1">tertiair!B16</f>
        <v>19454.124396056184</v>
      </c>
      <c r="C5" s="447">
        <f ca="1">tertiair!C16</f>
        <v>6368.5714285714284</v>
      </c>
      <c r="D5" s="447">
        <f ca="1">tertiair!D16</f>
        <v>11788.679682476115</v>
      </c>
      <c r="E5" s="447">
        <f>tertiair!E16</f>
        <v>271.67270049510466</v>
      </c>
      <c r="F5" s="447">
        <f ca="1">tertiair!F16</f>
        <v>2928.302770354504</v>
      </c>
      <c r="G5" s="447">
        <f>tertiair!G16</f>
        <v>0</v>
      </c>
      <c r="H5" s="447">
        <f>tertiair!H16</f>
        <v>0</v>
      </c>
      <c r="I5" s="447">
        <f>tertiair!I16</f>
        <v>0</v>
      </c>
      <c r="J5" s="447">
        <f>tertiair!J16</f>
        <v>0</v>
      </c>
      <c r="K5" s="447">
        <f>tertiair!K16</f>
        <v>0</v>
      </c>
      <c r="L5" s="447">
        <f ca="1">tertiair!L16</f>
        <v>0</v>
      </c>
      <c r="M5" s="447">
        <f>tertiair!M16</f>
        <v>0</v>
      </c>
      <c r="N5" s="447">
        <f ca="1">tertiair!N16</f>
        <v>0</v>
      </c>
      <c r="O5" s="447">
        <f>tertiair!O16</f>
        <v>1.5633333333333335</v>
      </c>
      <c r="P5" s="448">
        <f>tertiair!P16</f>
        <v>38.133333333333333</v>
      </c>
      <c r="Q5" s="446">
        <f t="shared" ref="Q5:Q14" ca="1" si="0">SUM(B5:P5)</f>
        <v>40851.047644619997</v>
      </c>
    </row>
    <row r="6" spans="1:17">
      <c r="A6" s="446" t="s">
        <v>187</v>
      </c>
      <c r="B6" s="447">
        <f>'openbare verlichting'!B8</f>
        <v>1032.9870000000001</v>
      </c>
      <c r="C6" s="447"/>
      <c r="D6" s="447"/>
      <c r="E6" s="447"/>
      <c r="F6" s="447"/>
      <c r="G6" s="447"/>
      <c r="H6" s="447"/>
      <c r="I6" s="447"/>
      <c r="J6" s="447"/>
      <c r="K6" s="447"/>
      <c r="L6" s="447"/>
      <c r="M6" s="447"/>
      <c r="N6" s="447"/>
      <c r="O6" s="447"/>
      <c r="P6" s="448"/>
      <c r="Q6" s="446">
        <f t="shared" si="0"/>
        <v>1032.9870000000001</v>
      </c>
    </row>
    <row r="7" spans="1:17">
      <c r="A7" s="446" t="s">
        <v>105</v>
      </c>
      <c r="B7" s="447">
        <f>landbouw!B8</f>
        <v>2940.9512585308739</v>
      </c>
      <c r="C7" s="447">
        <f>landbouw!C8</f>
        <v>0</v>
      </c>
      <c r="D7" s="447">
        <f>landbouw!D8</f>
        <v>300.69053210371436</v>
      </c>
      <c r="E7" s="447">
        <f>landbouw!E8</f>
        <v>30.798278269318722</v>
      </c>
      <c r="F7" s="447">
        <f>landbouw!F8</f>
        <v>12589.506034875561</v>
      </c>
      <c r="G7" s="447">
        <f>landbouw!G8</f>
        <v>0</v>
      </c>
      <c r="H7" s="447">
        <f>landbouw!H8</f>
        <v>0</v>
      </c>
      <c r="I7" s="447">
        <f>landbouw!I8</f>
        <v>0</v>
      </c>
      <c r="J7" s="447">
        <f>landbouw!J8</f>
        <v>262.65330758263326</v>
      </c>
      <c r="K7" s="447">
        <f>landbouw!K8</f>
        <v>0</v>
      </c>
      <c r="L7" s="447">
        <f>landbouw!L8</f>
        <v>0</v>
      </c>
      <c r="M7" s="447">
        <f>landbouw!M8</f>
        <v>0</v>
      </c>
      <c r="N7" s="447">
        <f>landbouw!N8</f>
        <v>0</v>
      </c>
      <c r="O7" s="447">
        <f>landbouw!O8</f>
        <v>0</v>
      </c>
      <c r="P7" s="448">
        <f>landbouw!P8</f>
        <v>0</v>
      </c>
      <c r="Q7" s="446">
        <f t="shared" si="0"/>
        <v>16124.599411362102</v>
      </c>
    </row>
    <row r="8" spans="1:17">
      <c r="A8" s="446" t="s">
        <v>637</v>
      </c>
      <c r="B8" s="447">
        <f>industrie!B18</f>
        <v>16503.707096756931</v>
      </c>
      <c r="C8" s="447">
        <f>industrie!C18</f>
        <v>0</v>
      </c>
      <c r="D8" s="447">
        <f>industrie!D18</f>
        <v>12229.541555421136</v>
      </c>
      <c r="E8" s="447">
        <f>industrie!E18</f>
        <v>163.43230845713089</v>
      </c>
      <c r="F8" s="447">
        <f>industrie!F18</f>
        <v>4496.515443160235</v>
      </c>
      <c r="G8" s="447">
        <f>industrie!G18</f>
        <v>0</v>
      </c>
      <c r="H8" s="447">
        <f>industrie!H18</f>
        <v>0</v>
      </c>
      <c r="I8" s="447">
        <f>industrie!I18</f>
        <v>0</v>
      </c>
      <c r="J8" s="447">
        <f>industrie!J18</f>
        <v>110.523087632345</v>
      </c>
      <c r="K8" s="447">
        <f>industrie!K18</f>
        <v>0</v>
      </c>
      <c r="L8" s="447">
        <f>industrie!L18</f>
        <v>0</v>
      </c>
      <c r="M8" s="447">
        <f>industrie!M18</f>
        <v>0</v>
      </c>
      <c r="N8" s="447">
        <f>industrie!N18</f>
        <v>406.31358116991089</v>
      </c>
      <c r="O8" s="447">
        <f>industrie!O18</f>
        <v>0</v>
      </c>
      <c r="P8" s="448">
        <f>industrie!P18</f>
        <v>0</v>
      </c>
      <c r="Q8" s="446">
        <f t="shared" si="0"/>
        <v>33910.033072597689</v>
      </c>
    </row>
    <row r="9" spans="1:17" s="452" customFormat="1">
      <c r="A9" s="450" t="s">
        <v>556</v>
      </c>
      <c r="B9" s="451">
        <f>transport!B14</f>
        <v>0.39703342037348821</v>
      </c>
      <c r="C9" s="451">
        <f>transport!C14</f>
        <v>0</v>
      </c>
      <c r="D9" s="451">
        <f>transport!D14</f>
        <v>1.8849446906700382</v>
      </c>
      <c r="E9" s="451">
        <f>transport!E14</f>
        <v>186.89819381548102</v>
      </c>
      <c r="F9" s="451">
        <f>transport!F14</f>
        <v>0</v>
      </c>
      <c r="G9" s="451">
        <f>transport!G14</f>
        <v>31250.605108818349</v>
      </c>
      <c r="H9" s="451">
        <f>transport!H14</f>
        <v>5982.4970798567037</v>
      </c>
      <c r="I9" s="451">
        <f>transport!I14</f>
        <v>0</v>
      </c>
      <c r="J9" s="451">
        <f>transport!J14</f>
        <v>0</v>
      </c>
      <c r="K9" s="451">
        <f>transport!K14</f>
        <v>0</v>
      </c>
      <c r="L9" s="451">
        <f>transport!L14</f>
        <v>0</v>
      </c>
      <c r="M9" s="451">
        <f>transport!M14</f>
        <v>1621.5951748757495</v>
      </c>
      <c r="N9" s="451">
        <f>transport!N14</f>
        <v>0</v>
      </c>
      <c r="O9" s="451">
        <f>transport!O14</f>
        <v>0</v>
      </c>
      <c r="P9" s="451">
        <f>transport!P14</f>
        <v>0</v>
      </c>
      <c r="Q9" s="450">
        <f>SUM(B9:P9)</f>
        <v>39043.877535477324</v>
      </c>
    </row>
    <row r="10" spans="1:17">
      <c r="A10" s="446" t="s">
        <v>546</v>
      </c>
      <c r="B10" s="447">
        <f>transport!B54</f>
        <v>6.2956094104901874</v>
      </c>
      <c r="C10" s="447">
        <f>transport!C54</f>
        <v>0</v>
      </c>
      <c r="D10" s="447">
        <f>transport!D54</f>
        <v>0</v>
      </c>
      <c r="E10" s="447">
        <f>transport!E54</f>
        <v>0</v>
      </c>
      <c r="F10" s="447">
        <f>transport!F54</f>
        <v>0</v>
      </c>
      <c r="G10" s="447">
        <f>transport!G54</f>
        <v>1365.769254579111</v>
      </c>
      <c r="H10" s="447">
        <f>transport!H54</f>
        <v>0</v>
      </c>
      <c r="I10" s="447">
        <f>transport!I54</f>
        <v>0</v>
      </c>
      <c r="J10" s="447">
        <f>transport!J54</f>
        <v>0</v>
      </c>
      <c r="K10" s="447">
        <f>transport!K54</f>
        <v>0</v>
      </c>
      <c r="L10" s="447">
        <f>transport!L54</f>
        <v>0</v>
      </c>
      <c r="M10" s="447">
        <f>transport!M54</f>
        <v>58.476993221256279</v>
      </c>
      <c r="N10" s="447">
        <f>transport!N54</f>
        <v>0</v>
      </c>
      <c r="O10" s="447">
        <f>transport!O54</f>
        <v>0</v>
      </c>
      <c r="P10" s="448">
        <f>transport!P54</f>
        <v>0</v>
      </c>
      <c r="Q10" s="446">
        <f t="shared" si="0"/>
        <v>1430.5418572108574</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1140.1507125309402</v>
      </c>
      <c r="C14" s="454"/>
      <c r="D14" s="454">
        <f>'SEAP template'!E25</f>
        <v>2745.2153375757803</v>
      </c>
      <c r="E14" s="454"/>
      <c r="F14" s="454"/>
      <c r="G14" s="454"/>
      <c r="H14" s="454"/>
      <c r="I14" s="454"/>
      <c r="J14" s="454"/>
      <c r="K14" s="454"/>
      <c r="L14" s="454"/>
      <c r="M14" s="454"/>
      <c r="N14" s="454"/>
      <c r="O14" s="454"/>
      <c r="P14" s="455"/>
      <c r="Q14" s="446">
        <f t="shared" si="0"/>
        <v>3885.3660501067206</v>
      </c>
    </row>
    <row r="15" spans="1:17" s="459" customFormat="1">
      <c r="A15" s="456" t="s">
        <v>550</v>
      </c>
      <c r="B15" s="457">
        <f ca="1">SUM(B4:B14)</f>
        <v>59213.554906387799</v>
      </c>
      <c r="C15" s="457">
        <f t="shared" ref="C15:Q15" ca="1" si="1">SUM(C4:C14)</f>
        <v>6368.5714285714284</v>
      </c>
      <c r="D15" s="457">
        <f t="shared" ca="1" si="1"/>
        <v>65267.383930146541</v>
      </c>
      <c r="E15" s="457">
        <f t="shared" si="1"/>
        <v>1546.4653180275232</v>
      </c>
      <c r="F15" s="457">
        <f t="shared" ca="1" si="1"/>
        <v>50518.999230709502</v>
      </c>
      <c r="G15" s="457">
        <f t="shared" si="1"/>
        <v>32616.374363397459</v>
      </c>
      <c r="H15" s="457">
        <f t="shared" si="1"/>
        <v>5982.4970798567037</v>
      </c>
      <c r="I15" s="457">
        <f t="shared" si="1"/>
        <v>0</v>
      </c>
      <c r="J15" s="457">
        <f t="shared" si="1"/>
        <v>1060.0643377053032</v>
      </c>
      <c r="K15" s="457">
        <f t="shared" si="1"/>
        <v>0</v>
      </c>
      <c r="L15" s="457">
        <f t="shared" ca="1" si="1"/>
        <v>0</v>
      </c>
      <c r="M15" s="457">
        <f t="shared" si="1"/>
        <v>1680.0721680970057</v>
      </c>
      <c r="N15" s="457">
        <f t="shared" ca="1" si="1"/>
        <v>5733.2524699112046</v>
      </c>
      <c r="O15" s="457">
        <f t="shared" si="1"/>
        <v>62.533333333333339</v>
      </c>
      <c r="P15" s="457">
        <f t="shared" si="1"/>
        <v>133.46666666666667</v>
      </c>
      <c r="Q15" s="457">
        <f t="shared" ca="1" si="1"/>
        <v>230183.23523281049</v>
      </c>
    </row>
    <row r="17" spans="1:17">
      <c r="A17" s="460" t="s">
        <v>551</v>
      </c>
      <c r="B17" s="764">
        <f ca="1">huishoudens!B10</f>
        <v>0.19723519113079915</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3576.8487120061968</v>
      </c>
      <c r="C22" s="447">
        <f t="shared" ref="C22:C32" ca="1" si="3">C4*$C$17</f>
        <v>0</v>
      </c>
      <c r="D22" s="447">
        <f t="shared" ref="D22:D32" si="4">D4*$D$17</f>
        <v>7716.6771193315863</v>
      </c>
      <c r="E22" s="447">
        <f t="shared" ref="E22:E32" si="5">E4*$E$17</f>
        <v>202.86169099684074</v>
      </c>
      <c r="F22" s="447">
        <f t="shared" ref="F22:F32" si="6">F4*$F$17</f>
        <v>8144.7482202792271</v>
      </c>
      <c r="G22" s="447">
        <f t="shared" ref="G22:G32" si="7">G4*$G$17</f>
        <v>0</v>
      </c>
      <c r="H22" s="447">
        <f t="shared" ref="H22:H32" si="8">H4*$H$17</f>
        <v>0</v>
      </c>
      <c r="I22" s="447">
        <f t="shared" ref="I22:I32" si="9">I4*$I$17</f>
        <v>0</v>
      </c>
      <c r="J22" s="447">
        <f t="shared" ref="J22:J32" si="10">J4*$J$17</f>
        <v>243.15833164157496</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19884.294074255424</v>
      </c>
    </row>
    <row r="23" spans="1:17">
      <c r="A23" s="446" t="s">
        <v>149</v>
      </c>
      <c r="B23" s="447">
        <f t="shared" ca="1" si="2"/>
        <v>3837.0379435384843</v>
      </c>
      <c r="C23" s="447">
        <f t="shared" ca="1" si="3"/>
        <v>0</v>
      </c>
      <c r="D23" s="447">
        <f t="shared" ca="1" si="4"/>
        <v>2381.3132958601755</v>
      </c>
      <c r="E23" s="447">
        <f t="shared" si="5"/>
        <v>61.669703012388759</v>
      </c>
      <c r="F23" s="447">
        <f t="shared" ca="1" si="6"/>
        <v>781.85683968465264</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7061.8777820957021</v>
      </c>
    </row>
    <row r="24" spans="1:17">
      <c r="A24" s="446" t="s">
        <v>187</v>
      </c>
      <c r="B24" s="447">
        <f t="shared" ca="1" si="2"/>
        <v>203.74138838063084</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203.74138838063084</v>
      </c>
    </row>
    <row r="25" spans="1:17">
      <c r="A25" s="446" t="s">
        <v>105</v>
      </c>
      <c r="B25" s="447">
        <f t="shared" ca="1" si="2"/>
        <v>580.05908358270119</v>
      </c>
      <c r="C25" s="447">
        <f t="shared" ca="1" si="3"/>
        <v>0</v>
      </c>
      <c r="D25" s="447">
        <f t="shared" si="4"/>
        <v>60.739487484950303</v>
      </c>
      <c r="E25" s="447">
        <f t="shared" si="5"/>
        <v>6.9912091671353505</v>
      </c>
      <c r="F25" s="447">
        <f t="shared" si="6"/>
        <v>3361.3981113117752</v>
      </c>
      <c r="G25" s="447">
        <f t="shared" si="7"/>
        <v>0</v>
      </c>
      <c r="H25" s="447">
        <f t="shared" si="8"/>
        <v>0</v>
      </c>
      <c r="I25" s="447">
        <f t="shared" si="9"/>
        <v>0</v>
      </c>
      <c r="J25" s="447">
        <f t="shared" si="10"/>
        <v>92.979270884252173</v>
      </c>
      <c r="K25" s="447">
        <f t="shared" si="11"/>
        <v>0</v>
      </c>
      <c r="L25" s="447">
        <f t="shared" si="12"/>
        <v>0</v>
      </c>
      <c r="M25" s="447">
        <f t="shared" si="13"/>
        <v>0</v>
      </c>
      <c r="N25" s="447">
        <f t="shared" si="14"/>
        <v>0</v>
      </c>
      <c r="O25" s="447">
        <f t="shared" si="15"/>
        <v>0</v>
      </c>
      <c r="P25" s="448">
        <f t="shared" si="16"/>
        <v>0</v>
      </c>
      <c r="Q25" s="446">
        <f t="shared" ca="1" si="17"/>
        <v>4102.1671624308146</v>
      </c>
    </row>
    <row r="26" spans="1:17">
      <c r="A26" s="446" t="s">
        <v>637</v>
      </c>
      <c r="B26" s="447">
        <f t="shared" ca="1" si="2"/>
        <v>3255.1118235955796</v>
      </c>
      <c r="C26" s="447">
        <f t="shared" ca="1" si="3"/>
        <v>0</v>
      </c>
      <c r="D26" s="447">
        <f t="shared" si="4"/>
        <v>2470.3673941950697</v>
      </c>
      <c r="E26" s="447">
        <f t="shared" si="5"/>
        <v>37.099134019768712</v>
      </c>
      <c r="F26" s="447">
        <f t="shared" si="6"/>
        <v>1200.5696233237827</v>
      </c>
      <c r="G26" s="447">
        <f t="shared" si="7"/>
        <v>0</v>
      </c>
      <c r="H26" s="447">
        <f t="shared" si="8"/>
        <v>0</v>
      </c>
      <c r="I26" s="447">
        <f t="shared" si="9"/>
        <v>0</v>
      </c>
      <c r="J26" s="447">
        <f t="shared" si="10"/>
        <v>39.125173021850124</v>
      </c>
      <c r="K26" s="447">
        <f t="shared" si="11"/>
        <v>0</v>
      </c>
      <c r="L26" s="447">
        <f t="shared" si="12"/>
        <v>0</v>
      </c>
      <c r="M26" s="447">
        <f t="shared" si="13"/>
        <v>0</v>
      </c>
      <c r="N26" s="447">
        <f t="shared" si="14"/>
        <v>0</v>
      </c>
      <c r="O26" s="447">
        <f t="shared" si="15"/>
        <v>0</v>
      </c>
      <c r="P26" s="448">
        <f t="shared" si="16"/>
        <v>0</v>
      </c>
      <c r="Q26" s="446">
        <f t="shared" ca="1" si="17"/>
        <v>7002.2731481560513</v>
      </c>
    </row>
    <row r="27" spans="1:17" s="452" customFormat="1">
      <c r="A27" s="450" t="s">
        <v>556</v>
      </c>
      <c r="B27" s="758">
        <f t="shared" ca="1" si="2"/>
        <v>7.830896255267987E-2</v>
      </c>
      <c r="C27" s="451">
        <f t="shared" ca="1" si="3"/>
        <v>0</v>
      </c>
      <c r="D27" s="451">
        <f t="shared" si="4"/>
        <v>0.38075882751534773</v>
      </c>
      <c r="E27" s="451">
        <f t="shared" si="5"/>
        <v>42.425889996114194</v>
      </c>
      <c r="F27" s="451">
        <f t="shared" si="6"/>
        <v>0</v>
      </c>
      <c r="G27" s="451">
        <f t="shared" si="7"/>
        <v>8343.9115640544987</v>
      </c>
      <c r="H27" s="451">
        <f t="shared" si="8"/>
        <v>1489.6417728843192</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9876.4382947249997</v>
      </c>
    </row>
    <row r="28" spans="1:17">
      <c r="A28" s="446" t="s">
        <v>546</v>
      </c>
      <c r="B28" s="447">
        <f t="shared" ca="1" si="2"/>
        <v>1.2417157253628899</v>
      </c>
      <c r="C28" s="447">
        <f t="shared" ca="1" si="3"/>
        <v>0</v>
      </c>
      <c r="D28" s="447">
        <f t="shared" si="4"/>
        <v>0</v>
      </c>
      <c r="E28" s="447">
        <f t="shared" si="5"/>
        <v>0</v>
      </c>
      <c r="F28" s="447">
        <f t="shared" si="6"/>
        <v>0</v>
      </c>
      <c r="G28" s="447">
        <f t="shared" si="7"/>
        <v>364.66039097262268</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365.90210669798557</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224.87784370395681</v>
      </c>
      <c r="C32" s="447">
        <f t="shared" ca="1" si="3"/>
        <v>0</v>
      </c>
      <c r="D32" s="447">
        <f t="shared" si="4"/>
        <v>554.53349819030768</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779.41134189426452</v>
      </c>
    </row>
    <row r="33" spans="1:17" s="459" customFormat="1">
      <c r="A33" s="456" t="s">
        <v>550</v>
      </c>
      <c r="B33" s="457">
        <f ca="1">SUM(B22:B32)</f>
        <v>11678.996819495465</v>
      </c>
      <c r="C33" s="457">
        <f t="shared" ref="C33:Q33" ca="1" si="19">SUM(C22:C32)</f>
        <v>0</v>
      </c>
      <c r="D33" s="457">
        <f t="shared" ca="1" si="19"/>
        <v>13184.011553889604</v>
      </c>
      <c r="E33" s="457">
        <f t="shared" si="19"/>
        <v>351.04762719224777</v>
      </c>
      <c r="F33" s="457">
        <f t="shared" ca="1" si="19"/>
        <v>13488.572794599439</v>
      </c>
      <c r="G33" s="457">
        <f t="shared" si="19"/>
        <v>8708.5719550271206</v>
      </c>
      <c r="H33" s="457">
        <f t="shared" si="19"/>
        <v>1489.6417728843192</v>
      </c>
      <c r="I33" s="457">
        <f t="shared" si="19"/>
        <v>0</v>
      </c>
      <c r="J33" s="457">
        <f t="shared" si="19"/>
        <v>375.26277554767722</v>
      </c>
      <c r="K33" s="457">
        <f t="shared" si="19"/>
        <v>0</v>
      </c>
      <c r="L33" s="457">
        <f t="shared" ca="1" si="19"/>
        <v>0</v>
      </c>
      <c r="M33" s="457">
        <f t="shared" si="19"/>
        <v>0</v>
      </c>
      <c r="N33" s="457">
        <f t="shared" ca="1" si="19"/>
        <v>0</v>
      </c>
      <c r="O33" s="457">
        <f t="shared" si="19"/>
        <v>0</v>
      </c>
      <c r="P33" s="457">
        <f t="shared" si="19"/>
        <v>0</v>
      </c>
      <c r="Q33" s="457">
        <f t="shared" ca="1" si="19"/>
        <v>49276.10529863587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1909.4154516571698</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4458</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5244.7058823529424</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6367.4154516571698</v>
      </c>
      <c r="C10" s="1010">
        <f>SUM(C4:C9)</f>
        <v>0</v>
      </c>
      <c r="D10" s="1010">
        <f t="shared" ref="D10:H10" si="0">SUM(D8:D9)</f>
        <v>0</v>
      </c>
      <c r="E10" s="1010">
        <f t="shared" si="0"/>
        <v>0</v>
      </c>
      <c r="F10" s="1010">
        <f t="shared" si="0"/>
        <v>0</v>
      </c>
      <c r="G10" s="1010">
        <f t="shared" si="0"/>
        <v>0</v>
      </c>
      <c r="H10" s="1010">
        <f t="shared" si="0"/>
        <v>0</v>
      </c>
      <c r="I10" s="1010">
        <f>SUM(I8:I9)</f>
        <v>0</v>
      </c>
      <c r="J10" s="1010">
        <f>SUM(J8:J9)</f>
        <v>5244.7058823529424</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0.19723519113079915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6368.5714285714284</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7492.4369747899173</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6368.5714285714284</v>
      </c>
      <c r="C20" s="1010">
        <f>SUM(C17:C19)</f>
        <v>0</v>
      </c>
      <c r="D20" s="1010">
        <f t="shared" ref="D20:H20" si="2">SUM(D17:D19)</f>
        <v>0</v>
      </c>
      <c r="E20" s="1010">
        <f t="shared" si="2"/>
        <v>0</v>
      </c>
      <c r="F20" s="1010">
        <f t="shared" si="2"/>
        <v>0</v>
      </c>
      <c r="G20" s="1010">
        <f t="shared" si="2"/>
        <v>0</v>
      </c>
      <c r="H20" s="1010">
        <f t="shared" si="2"/>
        <v>0</v>
      </c>
      <c r="I20" s="1010">
        <f>SUM(I17:I19)</f>
        <v>0</v>
      </c>
      <c r="J20" s="1010">
        <f>SUM(J17:J19)</f>
        <v>7492.4369747899173</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0.19723519113079915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0.19723519113079915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0.19723519113079915</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4411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2547</v>
      </c>
      <c r="C14" s="326"/>
      <c r="D14" s="326"/>
      <c r="E14" s="326"/>
      <c r="F14" s="326"/>
    </row>
    <row r="15" spans="1:6">
      <c r="A15" s="1280" t="s">
        <v>177</v>
      </c>
      <c r="B15" s="1281">
        <v>25</v>
      </c>
      <c r="C15" s="326"/>
      <c r="D15" s="326"/>
      <c r="E15" s="326"/>
      <c r="F15" s="326"/>
    </row>
    <row r="16" spans="1:6">
      <c r="A16" s="1280" t="s">
        <v>6</v>
      </c>
      <c r="B16" s="1281">
        <v>568</v>
      </c>
      <c r="C16" s="326"/>
      <c r="D16" s="326"/>
      <c r="E16" s="326"/>
      <c r="F16" s="326"/>
    </row>
    <row r="17" spans="1:6">
      <c r="A17" s="1280" t="s">
        <v>7</v>
      </c>
      <c r="B17" s="1281">
        <v>710</v>
      </c>
      <c r="C17" s="326"/>
      <c r="D17" s="326"/>
      <c r="E17" s="326"/>
      <c r="F17" s="326"/>
    </row>
    <row r="18" spans="1:6">
      <c r="A18" s="1280" t="s">
        <v>8</v>
      </c>
      <c r="B18" s="1281">
        <v>882</v>
      </c>
      <c r="C18" s="326"/>
      <c r="D18" s="326"/>
      <c r="E18" s="326"/>
      <c r="F18" s="326"/>
    </row>
    <row r="19" spans="1:6">
      <c r="A19" s="1280" t="s">
        <v>9</v>
      </c>
      <c r="B19" s="1281">
        <v>848</v>
      </c>
      <c r="C19" s="326"/>
      <c r="D19" s="326"/>
      <c r="E19" s="326"/>
      <c r="F19" s="326"/>
    </row>
    <row r="20" spans="1:6">
      <c r="A20" s="1280" t="s">
        <v>10</v>
      </c>
      <c r="B20" s="1281">
        <v>612</v>
      </c>
      <c r="C20" s="326"/>
      <c r="D20" s="326"/>
      <c r="E20" s="326"/>
      <c r="F20" s="326"/>
    </row>
    <row r="21" spans="1:6">
      <c r="A21" s="1280" t="s">
        <v>11</v>
      </c>
      <c r="B21" s="1281">
        <v>9124</v>
      </c>
      <c r="C21" s="326"/>
      <c r="D21" s="326"/>
      <c r="E21" s="326"/>
      <c r="F21" s="326"/>
    </row>
    <row r="22" spans="1:6">
      <c r="A22" s="1280" t="s">
        <v>12</v>
      </c>
      <c r="B22" s="1281">
        <v>26470</v>
      </c>
      <c r="C22" s="326"/>
      <c r="D22" s="326"/>
      <c r="E22" s="326"/>
      <c r="F22" s="326"/>
    </row>
    <row r="23" spans="1:6">
      <c r="A23" s="1280" t="s">
        <v>13</v>
      </c>
      <c r="B23" s="1281">
        <v>497</v>
      </c>
      <c r="C23" s="326"/>
      <c r="D23" s="326"/>
      <c r="E23" s="326"/>
      <c r="F23" s="326"/>
    </row>
    <row r="24" spans="1:6">
      <c r="A24" s="1280" t="s">
        <v>14</v>
      </c>
      <c r="B24" s="1281">
        <v>21</v>
      </c>
      <c r="C24" s="326"/>
      <c r="D24" s="326"/>
      <c r="E24" s="326"/>
      <c r="F24" s="326"/>
    </row>
    <row r="25" spans="1:6">
      <c r="A25" s="1280" t="s">
        <v>15</v>
      </c>
      <c r="B25" s="1281">
        <v>2686</v>
      </c>
      <c r="C25" s="326"/>
      <c r="D25" s="326"/>
      <c r="E25" s="326"/>
      <c r="F25" s="326"/>
    </row>
    <row r="26" spans="1:6">
      <c r="A26" s="1280" t="s">
        <v>16</v>
      </c>
      <c r="B26" s="1281">
        <v>146</v>
      </c>
      <c r="C26" s="326"/>
      <c r="D26" s="326"/>
      <c r="E26" s="326"/>
      <c r="F26" s="326"/>
    </row>
    <row r="27" spans="1:6">
      <c r="A27" s="1280" t="s">
        <v>17</v>
      </c>
      <c r="B27" s="1281">
        <v>9</v>
      </c>
      <c r="C27" s="326"/>
      <c r="D27" s="326"/>
      <c r="E27" s="326"/>
      <c r="F27" s="326"/>
    </row>
    <row r="28" spans="1:6">
      <c r="A28" s="1280" t="s">
        <v>18</v>
      </c>
      <c r="B28" s="1282">
        <v>61958</v>
      </c>
      <c r="C28" s="326"/>
      <c r="D28" s="326"/>
      <c r="E28" s="326"/>
      <c r="F28" s="326"/>
    </row>
    <row r="29" spans="1:6">
      <c r="A29" s="1280" t="s">
        <v>972</v>
      </c>
      <c r="B29" s="1282">
        <v>168</v>
      </c>
      <c r="C29" s="326"/>
      <c r="D29" s="326"/>
      <c r="E29" s="326"/>
      <c r="F29" s="326"/>
    </row>
    <row r="30" spans="1:6">
      <c r="A30" s="1275" t="s">
        <v>973</v>
      </c>
      <c r="B30" s="1283">
        <v>4</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0</v>
      </c>
      <c r="F36" s="1281">
        <v>0</v>
      </c>
    </row>
    <row r="37" spans="1:6">
      <c r="A37" s="1280" t="s">
        <v>24</v>
      </c>
      <c r="B37" s="1280" t="s">
        <v>27</v>
      </c>
      <c r="C37" s="1281">
        <v>0</v>
      </c>
      <c r="D37" s="1281">
        <v>0</v>
      </c>
      <c r="E37" s="1281">
        <v>0</v>
      </c>
      <c r="F37" s="1281">
        <v>0</v>
      </c>
    </row>
    <row r="38" spans="1:6">
      <c r="A38" s="1280" t="s">
        <v>24</v>
      </c>
      <c r="B38" s="1280" t="s">
        <v>28</v>
      </c>
      <c r="C38" s="1281">
        <v>0</v>
      </c>
      <c r="D38" s="1281">
        <v>0</v>
      </c>
      <c r="E38" s="1281">
        <v>1</v>
      </c>
      <c r="F38" s="1281">
        <v>96232.511227750001</v>
      </c>
    </row>
    <row r="39" spans="1:6">
      <c r="A39" s="1280" t="s">
        <v>29</v>
      </c>
      <c r="B39" s="1280" t="s">
        <v>30</v>
      </c>
      <c r="C39" s="1281">
        <v>2689</v>
      </c>
      <c r="D39" s="1281">
        <v>42351853.523147598</v>
      </c>
      <c r="E39" s="1281">
        <v>4013</v>
      </c>
      <c r="F39" s="1281">
        <v>16787810.1087511</v>
      </c>
    </row>
    <row r="40" spans="1:6">
      <c r="A40" s="1280" t="s">
        <v>29</v>
      </c>
      <c r="B40" s="1280" t="s">
        <v>28</v>
      </c>
      <c r="C40" s="1281">
        <v>0</v>
      </c>
      <c r="D40" s="1281">
        <v>0</v>
      </c>
      <c r="E40" s="1281">
        <v>0</v>
      </c>
      <c r="F40" s="1281">
        <v>0</v>
      </c>
    </row>
    <row r="41" spans="1:6">
      <c r="A41" s="1280" t="s">
        <v>31</v>
      </c>
      <c r="B41" s="1280" t="s">
        <v>32</v>
      </c>
      <c r="C41" s="1281">
        <v>51</v>
      </c>
      <c r="D41" s="1281">
        <v>1209380.6268971099</v>
      </c>
      <c r="E41" s="1281">
        <v>101</v>
      </c>
      <c r="F41" s="1281">
        <v>2425048.3623608402</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3</v>
      </c>
      <c r="D44" s="1281">
        <v>236102.848743209</v>
      </c>
      <c r="E44" s="1281">
        <v>17</v>
      </c>
      <c r="F44" s="1281">
        <v>1407779.05103397</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3</v>
      </c>
      <c r="D47" s="1281">
        <v>123654.018498137</v>
      </c>
      <c r="E47" s="1281">
        <v>3</v>
      </c>
      <c r="F47" s="1281">
        <v>58974.779089208598</v>
      </c>
    </row>
    <row r="48" spans="1:6">
      <c r="A48" s="1280" t="s">
        <v>31</v>
      </c>
      <c r="B48" s="1280" t="s">
        <v>28</v>
      </c>
      <c r="C48" s="1281">
        <v>28</v>
      </c>
      <c r="D48" s="1281">
        <v>11349293.825841101</v>
      </c>
      <c r="E48" s="1281">
        <v>39</v>
      </c>
      <c r="F48" s="1281">
        <v>11878631.674616</v>
      </c>
    </row>
    <row r="49" spans="1:6">
      <c r="A49" s="1280" t="s">
        <v>31</v>
      </c>
      <c r="B49" s="1280" t="s">
        <v>39</v>
      </c>
      <c r="C49" s="1281">
        <v>0</v>
      </c>
      <c r="D49" s="1281">
        <v>0</v>
      </c>
      <c r="E49" s="1281">
        <v>4</v>
      </c>
      <c r="F49" s="1281">
        <v>423501.62903832598</v>
      </c>
    </row>
    <row r="50" spans="1:6">
      <c r="A50" s="1280" t="s">
        <v>31</v>
      </c>
      <c r="B50" s="1280" t="s">
        <v>40</v>
      </c>
      <c r="C50" s="1281">
        <v>8</v>
      </c>
      <c r="D50" s="1281">
        <v>639818.74146294396</v>
      </c>
      <c r="E50" s="1281">
        <v>10</v>
      </c>
      <c r="F50" s="1281">
        <v>309771.60061858402</v>
      </c>
    </row>
    <row r="51" spans="1:6">
      <c r="A51" s="1280" t="s">
        <v>41</v>
      </c>
      <c r="B51" s="1280" t="s">
        <v>42</v>
      </c>
      <c r="C51" s="1281">
        <v>9</v>
      </c>
      <c r="D51" s="1281">
        <v>197542.56350024999</v>
      </c>
      <c r="E51" s="1281">
        <v>153</v>
      </c>
      <c r="F51" s="1281">
        <v>2756043.80658051</v>
      </c>
    </row>
    <row r="52" spans="1:6">
      <c r="A52" s="1280" t="s">
        <v>41</v>
      </c>
      <c r="B52" s="1280" t="s">
        <v>28</v>
      </c>
      <c r="C52" s="1281">
        <v>5</v>
      </c>
      <c r="D52" s="1281">
        <v>135817.22818901201</v>
      </c>
      <c r="E52" s="1281">
        <v>6</v>
      </c>
      <c r="F52" s="1281">
        <v>184907.45195036399</v>
      </c>
    </row>
    <row r="53" spans="1:6">
      <c r="A53" s="1280" t="s">
        <v>43</v>
      </c>
      <c r="B53" s="1280" t="s">
        <v>44</v>
      </c>
      <c r="C53" s="1281">
        <v>136</v>
      </c>
      <c r="D53" s="1281">
        <v>2745215.3375757802</v>
      </c>
      <c r="E53" s="1281">
        <v>193</v>
      </c>
      <c r="F53" s="1281">
        <v>1140150.7125309401</v>
      </c>
    </row>
    <row r="54" spans="1:6">
      <c r="A54" s="1280" t="s">
        <v>45</v>
      </c>
      <c r="B54" s="1280" t="s">
        <v>46</v>
      </c>
      <c r="C54" s="1281">
        <v>0</v>
      </c>
      <c r="D54" s="1281">
        <v>0</v>
      </c>
      <c r="E54" s="1281">
        <v>1</v>
      </c>
      <c r="F54" s="1281">
        <v>1032987</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26</v>
      </c>
      <c r="D57" s="1281">
        <v>515554.034096841</v>
      </c>
      <c r="E57" s="1281">
        <v>70</v>
      </c>
      <c r="F57" s="1281">
        <v>1125307.9461298501</v>
      </c>
    </row>
    <row r="58" spans="1:6">
      <c r="A58" s="1280" t="s">
        <v>48</v>
      </c>
      <c r="B58" s="1280" t="s">
        <v>50</v>
      </c>
      <c r="C58" s="1281">
        <v>8</v>
      </c>
      <c r="D58" s="1281">
        <v>493201.05438444298</v>
      </c>
      <c r="E58" s="1281">
        <v>17</v>
      </c>
      <c r="F58" s="1281">
        <v>752104.61579728499</v>
      </c>
    </row>
    <row r="59" spans="1:6">
      <c r="A59" s="1280" t="s">
        <v>48</v>
      </c>
      <c r="B59" s="1280" t="s">
        <v>51</v>
      </c>
      <c r="C59" s="1281">
        <v>53</v>
      </c>
      <c r="D59" s="1281">
        <v>1607509.55732302</v>
      </c>
      <c r="E59" s="1281">
        <v>144</v>
      </c>
      <c r="F59" s="1281">
        <v>3549079.7830239902</v>
      </c>
    </row>
    <row r="60" spans="1:6">
      <c r="A60" s="1280" t="s">
        <v>48</v>
      </c>
      <c r="B60" s="1280" t="s">
        <v>52</v>
      </c>
      <c r="C60" s="1281">
        <v>29</v>
      </c>
      <c r="D60" s="1281">
        <v>1202439.23467983</v>
      </c>
      <c r="E60" s="1281">
        <v>44</v>
      </c>
      <c r="F60" s="1281">
        <v>832239.08318000904</v>
      </c>
    </row>
    <row r="61" spans="1:6">
      <c r="A61" s="1280" t="s">
        <v>48</v>
      </c>
      <c r="B61" s="1280" t="s">
        <v>53</v>
      </c>
      <c r="C61" s="1281">
        <v>58</v>
      </c>
      <c r="D61" s="1281">
        <v>2264987.1648760401</v>
      </c>
      <c r="E61" s="1281">
        <v>102</v>
      </c>
      <c r="F61" s="1281">
        <v>1110427.40747217</v>
      </c>
    </row>
    <row r="62" spans="1:6">
      <c r="A62" s="1280" t="s">
        <v>48</v>
      </c>
      <c r="B62" s="1280" t="s">
        <v>54</v>
      </c>
      <c r="C62" s="1281">
        <v>0</v>
      </c>
      <c r="D62" s="1281">
        <v>0</v>
      </c>
      <c r="E62" s="1281">
        <v>5</v>
      </c>
      <c r="F62" s="1281">
        <v>150552.51945171901</v>
      </c>
    </row>
    <row r="63" spans="1:6">
      <c r="A63" s="1280" t="s">
        <v>48</v>
      </c>
      <c r="B63" s="1280" t="s">
        <v>28</v>
      </c>
      <c r="C63" s="1281">
        <v>89</v>
      </c>
      <c r="D63" s="1281">
        <v>6985798.62479073</v>
      </c>
      <c r="E63" s="1281">
        <v>85</v>
      </c>
      <c r="F63" s="1281">
        <v>7476413.0410011597</v>
      </c>
    </row>
    <row r="64" spans="1:6">
      <c r="A64" s="1280" t="s">
        <v>55</v>
      </c>
      <c r="B64" s="1280" t="s">
        <v>56</v>
      </c>
      <c r="C64" s="1281">
        <v>0</v>
      </c>
      <c r="D64" s="1281">
        <v>0</v>
      </c>
      <c r="E64" s="1281">
        <v>0</v>
      </c>
      <c r="F64" s="1281">
        <v>0</v>
      </c>
    </row>
    <row r="65" spans="1:6">
      <c r="A65" s="1280" t="s">
        <v>55</v>
      </c>
      <c r="B65" s="1280" t="s">
        <v>28</v>
      </c>
      <c r="C65" s="1281">
        <v>2</v>
      </c>
      <c r="D65" s="1281">
        <v>18685.307529243499</v>
      </c>
      <c r="E65" s="1281">
        <v>0</v>
      </c>
      <c r="F65" s="1281">
        <v>0</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7</v>
      </c>
      <c r="D68" s="1283">
        <v>348983.68555363099</v>
      </c>
      <c r="E68" s="1283">
        <v>22</v>
      </c>
      <c r="F68" s="1283">
        <v>367214.76375514799</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7784126</v>
      </c>
      <c r="E73" s="445"/>
      <c r="F73" s="326"/>
    </row>
    <row r="74" spans="1:6">
      <c r="A74" s="1280" t="s">
        <v>63</v>
      </c>
      <c r="B74" s="1280" t="s">
        <v>754</v>
      </c>
      <c r="C74" s="1293" t="s">
        <v>755</v>
      </c>
      <c r="D74" s="1281">
        <v>574246.20967265149</v>
      </c>
      <c r="E74" s="445"/>
      <c r="F74" s="326"/>
    </row>
    <row r="75" spans="1:6">
      <c r="A75" s="1280" t="s">
        <v>64</v>
      </c>
      <c r="B75" s="1280" t="s">
        <v>752</v>
      </c>
      <c r="C75" s="1293" t="s">
        <v>756</v>
      </c>
      <c r="D75" s="1281">
        <v>28604675</v>
      </c>
      <c r="E75" s="445"/>
      <c r="F75" s="326"/>
    </row>
    <row r="76" spans="1:6">
      <c r="A76" s="1280" t="s">
        <v>64</v>
      </c>
      <c r="B76" s="1280" t="s">
        <v>754</v>
      </c>
      <c r="C76" s="1293" t="s">
        <v>757</v>
      </c>
      <c r="D76" s="1281">
        <v>1661390.2096726515</v>
      </c>
      <c r="E76" s="445"/>
      <c r="F76" s="326"/>
    </row>
    <row r="77" spans="1:6">
      <c r="A77" s="1280" t="s">
        <v>65</v>
      </c>
      <c r="B77" s="1280" t="s">
        <v>752</v>
      </c>
      <c r="C77" s="1293" t="s">
        <v>758</v>
      </c>
      <c r="D77" s="1281">
        <v>0</v>
      </c>
      <c r="E77" s="445"/>
      <c r="F77" s="326"/>
    </row>
    <row r="78" spans="1:6">
      <c r="A78" s="1275" t="s">
        <v>65</v>
      </c>
      <c r="B78" s="1275" t="s">
        <v>754</v>
      </c>
      <c r="C78" s="1275" t="s">
        <v>759</v>
      </c>
      <c r="D78" s="1283">
        <v>0</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374591.58065469714</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1347.1316909308941</v>
      </c>
      <c r="C91" s="326"/>
      <c r="D91" s="326"/>
      <c r="E91" s="326"/>
      <c r="F91" s="326"/>
    </row>
    <row r="92" spans="1:6">
      <c r="A92" s="1275" t="s">
        <v>68</v>
      </c>
      <c r="B92" s="1276">
        <v>562.28376072627577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1963</v>
      </c>
      <c r="C97" s="326"/>
      <c r="D97" s="326"/>
      <c r="E97" s="326"/>
      <c r="F97" s="326"/>
    </row>
    <row r="98" spans="1:6">
      <c r="A98" s="1280" t="s">
        <v>71</v>
      </c>
      <c r="B98" s="1281">
        <v>1</v>
      </c>
      <c r="C98" s="326"/>
      <c r="D98" s="326"/>
      <c r="E98" s="326"/>
      <c r="F98" s="326"/>
    </row>
    <row r="99" spans="1:6">
      <c r="A99" s="1280" t="s">
        <v>72</v>
      </c>
      <c r="B99" s="1281">
        <v>148</v>
      </c>
      <c r="C99" s="326"/>
      <c r="D99" s="326"/>
      <c r="E99" s="326"/>
      <c r="F99" s="326"/>
    </row>
    <row r="100" spans="1:6">
      <c r="A100" s="1280" t="s">
        <v>73</v>
      </c>
      <c r="B100" s="1281">
        <v>286</v>
      </c>
      <c r="C100" s="326"/>
      <c r="D100" s="326"/>
      <c r="E100" s="326"/>
      <c r="F100" s="326"/>
    </row>
    <row r="101" spans="1:6">
      <c r="A101" s="1280" t="s">
        <v>74</v>
      </c>
      <c r="B101" s="1281">
        <v>126</v>
      </c>
      <c r="C101" s="326"/>
      <c r="D101" s="326"/>
      <c r="E101" s="326"/>
      <c r="F101" s="326"/>
    </row>
    <row r="102" spans="1:6">
      <c r="A102" s="1280" t="s">
        <v>75</v>
      </c>
      <c r="B102" s="1281">
        <v>69</v>
      </c>
      <c r="C102" s="326"/>
      <c r="D102" s="326"/>
      <c r="E102" s="326"/>
      <c r="F102" s="326"/>
    </row>
    <row r="103" spans="1:6">
      <c r="A103" s="1280" t="s">
        <v>76</v>
      </c>
      <c r="B103" s="1281">
        <v>139</v>
      </c>
      <c r="C103" s="326"/>
      <c r="D103" s="326"/>
      <c r="E103" s="326"/>
      <c r="F103" s="326"/>
    </row>
    <row r="104" spans="1:6">
      <c r="A104" s="1280" t="s">
        <v>77</v>
      </c>
      <c r="B104" s="1281">
        <v>1292</v>
      </c>
      <c r="C104" s="326"/>
      <c r="D104" s="326"/>
      <c r="E104" s="326"/>
      <c r="F104" s="326"/>
    </row>
    <row r="105" spans="1:6">
      <c r="A105" s="1275" t="s">
        <v>78</v>
      </c>
      <c r="B105" s="1283">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5</v>
      </c>
      <c r="C123" s="1281">
        <v>1</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38</v>
      </c>
      <c r="C129" s="326"/>
      <c r="D129" s="326"/>
      <c r="E129" s="326"/>
      <c r="F129" s="326"/>
    </row>
    <row r="130" spans="1:6">
      <c r="A130" s="1280" t="s">
        <v>284</v>
      </c>
      <c r="B130" s="1281">
        <v>1</v>
      </c>
      <c r="C130" s="326"/>
      <c r="D130" s="326"/>
      <c r="E130" s="326"/>
      <c r="F130" s="326"/>
    </row>
    <row r="131" spans="1:6">
      <c r="A131" s="1280" t="s">
        <v>285</v>
      </c>
      <c r="B131" s="1281">
        <v>2</v>
      </c>
      <c r="C131" s="326"/>
      <c r="D131" s="326"/>
      <c r="E131" s="326"/>
      <c r="F131" s="326"/>
    </row>
    <row r="132" spans="1:6">
      <c r="A132" s="1275" t="s">
        <v>286</v>
      </c>
      <c r="B132" s="1276">
        <v>0</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59213.554906387784</v>
      </c>
      <c r="C3" s="43" t="s">
        <v>163</v>
      </c>
      <c r="D3" s="43"/>
      <c r="E3" s="156"/>
      <c r="F3" s="43"/>
      <c r="G3" s="43"/>
      <c r="H3" s="43"/>
      <c r="I3" s="43"/>
      <c r="J3" s="43"/>
      <c r="K3" s="96"/>
    </row>
    <row r="4" spans="1:11">
      <c r="A4" s="352" t="s">
        <v>164</v>
      </c>
      <c r="B4" s="49">
        <f>IF(ISERROR('SEAP template'!B78+'SEAP template'!C78),0,'SEAP template'!B78+'SEAP template'!C78)</f>
        <v>6367.4154516571698</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0.19723519113079915</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6368.5714285714284</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1032.9870000000001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1032.9870000000001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0.19723519113079915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203.74138838063084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16787.810108751099</v>
      </c>
      <c r="C5" s="17">
        <f>IF(ISERROR('Eigen informatie GS &amp; warmtenet'!B57),0,'Eigen informatie GS &amp; warmtenet'!B57)</f>
        <v>0</v>
      </c>
      <c r="D5" s="30">
        <f>(SUM(HH_hh_gas_kWh,HH_rest_gas_kWh)/1000)*0.902</f>
        <v>38201.371877879137</v>
      </c>
      <c r="E5" s="17">
        <f>B32*B41</f>
        <v>893.66383699048777</v>
      </c>
      <c r="F5" s="17">
        <f>B36*B45</f>
        <v>30504.6749823192</v>
      </c>
      <c r="G5" s="18"/>
      <c r="H5" s="17"/>
      <c r="I5" s="17"/>
      <c r="J5" s="17">
        <f>B35*B44+C35*C44</f>
        <v>686.8879424903248</v>
      </c>
      <c r="K5" s="17"/>
      <c r="L5" s="17"/>
      <c r="M5" s="17"/>
      <c r="N5" s="17">
        <f>B34*B43+C34*C43</f>
        <v>5326.9388887412933</v>
      </c>
      <c r="O5" s="17">
        <f>B52*B53*B54</f>
        <v>60.970000000000006</v>
      </c>
      <c r="P5" s="17">
        <f>B60*B61*B62/1000-B60*B61*B62/1000/B63</f>
        <v>95.333333333333343</v>
      </c>
    </row>
    <row r="6" spans="1:16">
      <c r="A6" s="16" t="s">
        <v>615</v>
      </c>
      <c r="B6" s="766">
        <f>kWh_PV_kleiner_dan_10kW</f>
        <v>1347.1316909308941</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18134.941799681994</v>
      </c>
      <c r="C8" s="21">
        <f>C5</f>
        <v>0</v>
      </c>
      <c r="D8" s="21">
        <f>D5</f>
        <v>38201.371877879137</v>
      </c>
      <c r="E8" s="21">
        <f>E5</f>
        <v>893.66383699048777</v>
      </c>
      <c r="F8" s="21">
        <f>F5</f>
        <v>30504.6749823192</v>
      </c>
      <c r="G8" s="21"/>
      <c r="H8" s="21"/>
      <c r="I8" s="21"/>
      <c r="J8" s="21">
        <f>J5</f>
        <v>686.8879424903248</v>
      </c>
      <c r="K8" s="21"/>
      <c r="L8" s="21">
        <f>L5</f>
        <v>0</v>
      </c>
      <c r="M8" s="21">
        <f>M5</f>
        <v>0</v>
      </c>
      <c r="N8" s="21">
        <f>N5</f>
        <v>5326.9388887412933</v>
      </c>
      <c r="O8" s="21">
        <f>O5</f>
        <v>60.970000000000006</v>
      </c>
      <c r="P8" s="21">
        <f>P5</f>
        <v>95.333333333333343</v>
      </c>
    </row>
    <row r="9" spans="1:16">
      <c r="B9" s="19"/>
      <c r="C9" s="19"/>
      <c r="D9" s="256"/>
      <c r="E9" s="19"/>
      <c r="F9" s="19"/>
      <c r="G9" s="19"/>
      <c r="H9" s="19"/>
      <c r="I9" s="19"/>
      <c r="J9" s="19"/>
      <c r="K9" s="19"/>
      <c r="L9" s="19"/>
      <c r="M9" s="19"/>
      <c r="N9" s="19"/>
      <c r="O9" s="19"/>
      <c r="P9" s="19"/>
    </row>
    <row r="10" spans="1:16">
      <c r="A10" s="24" t="s">
        <v>207</v>
      </c>
      <c r="B10" s="25">
        <f ca="1">'EF ele_warmte'!B12</f>
        <v>0.19723519113079915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3576.8487120061968</v>
      </c>
      <c r="C12" s="23">
        <f ca="1">C10*C8</f>
        <v>0</v>
      </c>
      <c r="D12" s="23">
        <f>D8*D10</f>
        <v>7716.6771193315863</v>
      </c>
      <c r="E12" s="23">
        <f>E10*E8</f>
        <v>202.86169099684074</v>
      </c>
      <c r="F12" s="23">
        <f>F10*F8</f>
        <v>8144.7482202792271</v>
      </c>
      <c r="G12" s="23"/>
      <c r="H12" s="23"/>
      <c r="I12" s="23"/>
      <c r="J12" s="23">
        <f>J10*J8</f>
        <v>243.15833164157496</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4411</v>
      </c>
      <c r="C26" s="36"/>
      <c r="D26" s="226"/>
    </row>
    <row r="27" spans="1:5" s="15" customFormat="1">
      <c r="A27" s="228" t="s">
        <v>695</v>
      </c>
      <c r="B27" s="37">
        <f>SUM(HH_hh_gas_aantal,HH_rest_gas_aantal)</f>
        <v>2689</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2554.5500000000002</v>
      </c>
      <c r="C31" s="34" t="s">
        <v>104</v>
      </c>
      <c r="D31" s="172"/>
    </row>
    <row r="32" spans="1:5">
      <c r="A32" s="169" t="s">
        <v>72</v>
      </c>
      <c r="B32" s="33">
        <f>IF((B21*($B$26-($B$27-0.05*$B$27)-$B$60))&lt;0,0,B21*($B$26-($B$27-0.05*$B$27)-$B$60))</f>
        <v>13.125981879482458</v>
      </c>
      <c r="C32" s="34" t="s">
        <v>104</v>
      </c>
      <c r="D32" s="172"/>
    </row>
    <row r="33" spans="1:6">
      <c r="A33" s="169" t="s">
        <v>73</v>
      </c>
      <c r="B33" s="33">
        <f>IF((B22*($B$26-($B$27-0.05*$B$27)-$B$60))&lt;0,0,B22*($B$26-($B$27-0.05*$B$27)-$B$60))</f>
        <v>376.18885481809258</v>
      </c>
      <c r="C33" s="34" t="s">
        <v>104</v>
      </c>
      <c r="D33" s="172"/>
    </row>
    <row r="34" spans="1:6">
      <c r="A34" s="169" t="s">
        <v>74</v>
      </c>
      <c r="B34" s="33">
        <f>IF((B24*($B$26-($B$27-0.05*$B$27)-$B$60))&lt;0,0,B24*($B$26-($B$27-0.05*$B$27)-$B$60))</f>
        <v>75.016033334588769</v>
      </c>
      <c r="C34" s="33">
        <f>B26*C24</f>
        <v>901.95075857402662</v>
      </c>
      <c r="D34" s="231"/>
    </row>
    <row r="35" spans="1:6">
      <c r="A35" s="169" t="s">
        <v>76</v>
      </c>
      <c r="B35" s="33">
        <f>IF((B19*($B$26-($B$27-0.05*$B$27)-$B$60))&lt;0,0,B19*($B$26-($B$27-0.05*$B$27)-$B$60))</f>
        <v>39.065422260364464</v>
      </c>
      <c r="C35" s="33">
        <f>B35/2</f>
        <v>19.532711130182232</v>
      </c>
      <c r="D35" s="231"/>
    </row>
    <row r="36" spans="1:6">
      <c r="A36" s="169" t="s">
        <v>77</v>
      </c>
      <c r="B36" s="33">
        <f>IF((B18*($B$26-($B$27-0.05*$B$27)-$B$60))&lt;0,0,B18*($B$26-($B$27-0.05*$B$27)-$B$60))</f>
        <v>1348.0537077074714</v>
      </c>
      <c r="C36" s="34" t="s">
        <v>104</v>
      </c>
      <c r="D36" s="172"/>
    </row>
    <row r="37" spans="1:6">
      <c r="A37" s="169" t="s">
        <v>78</v>
      </c>
      <c r="B37" s="33">
        <f>B60</f>
        <v>5</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39</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5</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14996.124396056184</v>
      </c>
      <c r="C5" s="17">
        <f>IF(ISERROR('Eigen informatie GS &amp; warmtenet'!B58),0,'Eigen informatie GS &amp; warmtenet'!B58)</f>
        <v>0</v>
      </c>
      <c r="D5" s="30">
        <f>SUM(D6:D12)</f>
        <v>11788.679682476115</v>
      </c>
      <c r="E5" s="17">
        <f>SUM(E6:E12)</f>
        <v>271.67270049510466</v>
      </c>
      <c r="F5" s="17">
        <f>SUM(F6:F12)</f>
        <v>2928.302770354504</v>
      </c>
      <c r="G5" s="18"/>
      <c r="H5" s="17"/>
      <c r="I5" s="17"/>
      <c r="J5" s="17">
        <f>SUM(J6:J12)</f>
        <v>0</v>
      </c>
      <c r="K5" s="17"/>
      <c r="L5" s="17"/>
      <c r="M5" s="17"/>
      <c r="N5" s="17">
        <f>SUM(N6:N12)</f>
        <v>488.59757283872568</v>
      </c>
      <c r="O5" s="17">
        <f>B38*B39*B40</f>
        <v>1.5633333333333335</v>
      </c>
      <c r="P5" s="17">
        <f>B46*B47*B48/1000-B46*B47*B48/1000/B49</f>
        <v>38.133333333333333</v>
      </c>
      <c r="R5" s="32"/>
    </row>
    <row r="6" spans="1:18">
      <c r="A6" s="32" t="s">
        <v>53</v>
      </c>
      <c r="B6" s="37">
        <f>B26</f>
        <v>1110.42740747217</v>
      </c>
      <c r="C6" s="33"/>
      <c r="D6" s="37">
        <f>IF(ISERROR(TER_kantoor_gas_kWh/1000),0,TER_kantoor_gas_kWh/1000)*0.902</f>
        <v>2043.018422718188</v>
      </c>
      <c r="E6" s="33">
        <f>$C$26*'E Balans VL '!I12/100/3.6*1000000</f>
        <v>38.869327401603783</v>
      </c>
      <c r="F6" s="33">
        <f>$C$26*('E Balans VL '!L12+'E Balans VL '!N12)/100/3.6*1000000</f>
        <v>168.36463561560254</v>
      </c>
      <c r="G6" s="34"/>
      <c r="H6" s="33"/>
      <c r="I6" s="33"/>
      <c r="J6" s="33">
        <f>$C$26*('E Balans VL '!D12+'E Balans VL '!E12)/100/3.6*1000000</f>
        <v>0</v>
      </c>
      <c r="K6" s="33"/>
      <c r="L6" s="33"/>
      <c r="M6" s="33"/>
      <c r="N6" s="33">
        <f>$C$26*'E Balans VL '!Y12/100/3.6*1000000</f>
        <v>8.5832563055464597</v>
      </c>
      <c r="O6" s="33"/>
      <c r="P6" s="33"/>
      <c r="R6" s="32"/>
    </row>
    <row r="7" spans="1:18">
      <c r="A7" s="32" t="s">
        <v>52</v>
      </c>
      <c r="B7" s="37">
        <f t="shared" ref="B7:B12" si="0">B27</f>
        <v>832.23908318000906</v>
      </c>
      <c r="C7" s="33"/>
      <c r="D7" s="37">
        <f>IF(ISERROR(TER_horeca_gas_kWh/1000),0,TER_horeca_gas_kWh/1000)*0.902</f>
        <v>1084.6001896812068</v>
      </c>
      <c r="E7" s="33">
        <f>$C$27*'E Balans VL '!I9/100/3.6*1000000</f>
        <v>46.949350376110516</v>
      </c>
      <c r="F7" s="33">
        <f>$C$27*('E Balans VL '!L9+'E Balans VL '!N9)/100/3.6*1000000</f>
        <v>144.9806539601779</v>
      </c>
      <c r="G7" s="34"/>
      <c r="H7" s="33"/>
      <c r="I7" s="33"/>
      <c r="J7" s="33">
        <f>$C$27*('E Balans VL '!D9+'E Balans VL '!E9)/100/3.6*1000000</f>
        <v>0</v>
      </c>
      <c r="K7" s="33"/>
      <c r="L7" s="33"/>
      <c r="M7" s="33"/>
      <c r="N7" s="33">
        <f>$C$27*'E Balans VL '!Y9/100/3.6*1000000</f>
        <v>0</v>
      </c>
      <c r="O7" s="33"/>
      <c r="P7" s="33"/>
      <c r="R7" s="32"/>
    </row>
    <row r="8" spans="1:18">
      <c r="A8" s="6" t="s">
        <v>51</v>
      </c>
      <c r="B8" s="37">
        <f t="shared" si="0"/>
        <v>3549.0797830239903</v>
      </c>
      <c r="C8" s="33"/>
      <c r="D8" s="37">
        <f>IF(ISERROR(TER_handel_gas_kWh/1000),0,TER_handel_gas_kWh/1000)*0.902</f>
        <v>1449.9736207053641</v>
      </c>
      <c r="E8" s="33">
        <f>$C$28*'E Balans VL '!I13/100/3.6*1000000</f>
        <v>18.220615024768858</v>
      </c>
      <c r="F8" s="33">
        <f>$C$28*('E Balans VL '!L13+'E Balans VL '!N13)/100/3.6*1000000</f>
        <v>547.21326363019148</v>
      </c>
      <c r="G8" s="34"/>
      <c r="H8" s="33"/>
      <c r="I8" s="33"/>
      <c r="J8" s="33">
        <f>$C$28*('E Balans VL '!D13+'E Balans VL '!E13)/100/3.6*1000000</f>
        <v>0</v>
      </c>
      <c r="K8" s="33"/>
      <c r="L8" s="33"/>
      <c r="M8" s="33"/>
      <c r="N8" s="33">
        <f>$C$28*'E Balans VL '!Y13/100/3.6*1000000</f>
        <v>1.6599479368704229</v>
      </c>
      <c r="O8" s="33"/>
      <c r="P8" s="33"/>
      <c r="R8" s="32"/>
    </row>
    <row r="9" spans="1:18">
      <c r="A9" s="32" t="s">
        <v>50</v>
      </c>
      <c r="B9" s="37">
        <f t="shared" si="0"/>
        <v>752.10461579728496</v>
      </c>
      <c r="C9" s="33"/>
      <c r="D9" s="37">
        <f>IF(ISERROR(TER_gezond_gas_kWh/1000),0,TER_gezond_gas_kWh/1000)*0.902</f>
        <v>444.86735105476754</v>
      </c>
      <c r="E9" s="33">
        <f>$C$29*'E Balans VL '!I10/100/3.6*1000000</f>
        <v>0.31174200695086945</v>
      </c>
      <c r="F9" s="33">
        <f>$C$29*('E Balans VL '!L10+'E Balans VL '!N10)/100/3.6*1000000</f>
        <v>185.23258025182639</v>
      </c>
      <c r="G9" s="34"/>
      <c r="H9" s="33"/>
      <c r="I9" s="33"/>
      <c r="J9" s="33">
        <f>$C$29*('E Balans VL '!D10+'E Balans VL '!E10)/100/3.6*1000000</f>
        <v>0</v>
      </c>
      <c r="K9" s="33"/>
      <c r="L9" s="33"/>
      <c r="M9" s="33"/>
      <c r="N9" s="33">
        <f>$C$29*'E Balans VL '!Y10/100/3.6*1000000</f>
        <v>6.5000454335143489</v>
      </c>
      <c r="O9" s="33"/>
      <c r="P9" s="33"/>
      <c r="R9" s="32"/>
    </row>
    <row r="10" spans="1:18">
      <c r="A10" s="32" t="s">
        <v>49</v>
      </c>
      <c r="B10" s="37">
        <f t="shared" si="0"/>
        <v>1125.3079461298501</v>
      </c>
      <c r="C10" s="33"/>
      <c r="D10" s="37">
        <f>IF(ISERROR(TER_ander_gas_kWh/1000),0,TER_ander_gas_kWh/1000)*0.902</f>
        <v>465.02973875535054</v>
      </c>
      <c r="E10" s="33">
        <f>$C$30*'E Balans VL '!I14/100/3.6*1000000</f>
        <v>6.8599050039900602</v>
      </c>
      <c r="F10" s="33">
        <f>$C$30*('E Balans VL '!L14+'E Balans VL '!N14)/100/3.6*1000000</f>
        <v>298.3345514892892</v>
      </c>
      <c r="G10" s="34"/>
      <c r="H10" s="33"/>
      <c r="I10" s="33"/>
      <c r="J10" s="33">
        <f>$C$30*('E Balans VL '!D14+'E Balans VL '!E14)/100/3.6*1000000</f>
        <v>0</v>
      </c>
      <c r="K10" s="33"/>
      <c r="L10" s="33"/>
      <c r="M10" s="33"/>
      <c r="N10" s="33">
        <f>$C$30*'E Balans VL '!Y14/100/3.6*1000000</f>
        <v>259.35916546798319</v>
      </c>
      <c r="O10" s="33"/>
      <c r="P10" s="33"/>
      <c r="R10" s="32"/>
    </row>
    <row r="11" spans="1:18">
      <c r="A11" s="32" t="s">
        <v>54</v>
      </c>
      <c r="B11" s="37">
        <f t="shared" si="0"/>
        <v>150.55251945171901</v>
      </c>
      <c r="C11" s="33"/>
      <c r="D11" s="37">
        <f>IF(ISERROR(TER_onderwijs_gas_kWh/1000),0,TER_onderwijs_gas_kWh/1000)*0.902</f>
        <v>0</v>
      </c>
      <c r="E11" s="33">
        <f>$C$31*'E Balans VL '!I11/100/3.6*1000000</f>
        <v>0.11472885917471526</v>
      </c>
      <c r="F11" s="33">
        <f>$C$31*('E Balans VL '!L11+'E Balans VL '!N11)/100/3.6*1000000</f>
        <v>108.94805369662026</v>
      </c>
      <c r="G11" s="34"/>
      <c r="H11" s="33"/>
      <c r="I11" s="33"/>
      <c r="J11" s="33">
        <f>$C$31*('E Balans VL '!D11+'E Balans VL '!E11)/100/3.6*1000000</f>
        <v>0</v>
      </c>
      <c r="K11" s="33"/>
      <c r="L11" s="33"/>
      <c r="M11" s="33"/>
      <c r="N11" s="33">
        <f>$C$31*'E Balans VL '!Y11/100/3.6*1000000</f>
        <v>0.44371425622071309</v>
      </c>
      <c r="O11" s="33"/>
      <c r="P11" s="33"/>
      <c r="R11" s="32"/>
    </row>
    <row r="12" spans="1:18">
      <c r="A12" s="32" t="s">
        <v>249</v>
      </c>
      <c r="B12" s="37">
        <f t="shared" si="0"/>
        <v>7476.4130410011594</v>
      </c>
      <c r="C12" s="33"/>
      <c r="D12" s="37">
        <f>IF(ISERROR(TER_rest_gas_kWh/1000),0,TER_rest_gas_kWh/1000)*0.902</f>
        <v>6301.1903595612384</v>
      </c>
      <c r="E12" s="33">
        <f>$C$32*'E Balans VL '!I8/100/3.6*1000000</f>
        <v>160.34703182250587</v>
      </c>
      <c r="F12" s="33">
        <f>$C$32*('E Balans VL '!L8+'E Balans VL '!N8)/100/3.6*1000000</f>
        <v>1475.2290317107963</v>
      </c>
      <c r="G12" s="34"/>
      <c r="H12" s="33"/>
      <c r="I12" s="33"/>
      <c r="J12" s="33">
        <f>$C$32*('E Balans VL '!D8+'E Balans VL '!E8)/100/3.6*1000000</f>
        <v>0</v>
      </c>
      <c r="K12" s="33"/>
      <c r="L12" s="33"/>
      <c r="M12" s="33"/>
      <c r="N12" s="33">
        <f>$C$32*'E Balans VL '!Y8/100/3.6*1000000</f>
        <v>212.05144343859061</v>
      </c>
      <c r="O12" s="33"/>
      <c r="P12" s="33"/>
      <c r="R12" s="32"/>
    </row>
    <row r="13" spans="1:18">
      <c r="A13" s="16" t="s">
        <v>483</v>
      </c>
      <c r="B13" s="244">
        <f ca="1">'lokale energieproductie'!N38+'lokale energieproductie'!N31</f>
        <v>4458</v>
      </c>
      <c r="C13" s="244">
        <f ca="1">'lokale energieproductie'!O38+'lokale energieproductie'!O31</f>
        <v>6368.5714285714284</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-12737.142857142859</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19454.124396056184</v>
      </c>
      <c r="C16" s="21">
        <f ca="1">C5+C13+C14</f>
        <v>6368.5714285714284</v>
      </c>
      <c r="D16" s="21">
        <f t="shared" ref="D16:N16" ca="1" si="1">MAX((D5+D13+D14),0)</f>
        <v>11788.679682476115</v>
      </c>
      <c r="E16" s="21">
        <f t="shared" si="1"/>
        <v>271.67270049510466</v>
      </c>
      <c r="F16" s="21">
        <f t="shared" ca="1" si="1"/>
        <v>2928.302770354504</v>
      </c>
      <c r="G16" s="21">
        <f t="shared" si="1"/>
        <v>0</v>
      </c>
      <c r="H16" s="21">
        <f t="shared" si="1"/>
        <v>0</v>
      </c>
      <c r="I16" s="21">
        <f t="shared" si="1"/>
        <v>0</v>
      </c>
      <c r="J16" s="21">
        <f t="shared" si="1"/>
        <v>0</v>
      </c>
      <c r="K16" s="21">
        <f t="shared" si="1"/>
        <v>0</v>
      </c>
      <c r="L16" s="21">
        <f t="shared" ca="1" si="1"/>
        <v>0</v>
      </c>
      <c r="M16" s="21">
        <f t="shared" si="1"/>
        <v>0</v>
      </c>
      <c r="N16" s="21">
        <f t="shared" ca="1" si="1"/>
        <v>0</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0.19723519113079915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3837.0379435384843</v>
      </c>
      <c r="C20" s="23">
        <f t="shared" ref="C20:P20" ca="1" si="2">C16*C18</f>
        <v>0</v>
      </c>
      <c r="D20" s="23">
        <f t="shared" ca="1" si="2"/>
        <v>2381.3132958601755</v>
      </c>
      <c r="E20" s="23">
        <f t="shared" si="2"/>
        <v>61.669703012388759</v>
      </c>
      <c r="F20" s="23">
        <f t="shared" ca="1" si="2"/>
        <v>781.85683968465264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1110.42740747217</v>
      </c>
      <c r="C26" s="39">
        <f>IF(ISERROR(B26*3.6/1000000/'E Balans VL '!Z12*100),0,B26*3.6/1000000/'E Balans VL '!Z12*100)</f>
        <v>2.3367103285011074E-2</v>
      </c>
      <c r="D26" s="234" t="s">
        <v>700</v>
      </c>
      <c r="F26" s="6"/>
    </row>
    <row r="27" spans="1:18">
      <c r="A27" s="229" t="s">
        <v>52</v>
      </c>
      <c r="B27" s="33">
        <f>IF(ISERROR(TER_horeca_ele_kWh/1000),0,TER_horeca_ele_kWh/1000)</f>
        <v>832.23908318000906</v>
      </c>
      <c r="C27" s="39">
        <f>IF(ISERROR(B27*3.6/1000000/'E Balans VL '!Z9*100),0,B27*3.6/1000000/'E Balans VL '!Z9*100)</f>
        <v>7.0463344602684261E-2</v>
      </c>
      <c r="D27" s="234" t="s">
        <v>700</v>
      </c>
      <c r="F27" s="6"/>
    </row>
    <row r="28" spans="1:18">
      <c r="A28" s="169" t="s">
        <v>51</v>
      </c>
      <c r="B28" s="33">
        <f>IF(ISERROR(TER_handel_ele_kWh/1000),0,TER_handel_ele_kWh/1000)</f>
        <v>3549.0797830239903</v>
      </c>
      <c r="C28" s="39">
        <f>IF(ISERROR(B28*3.6/1000000/'E Balans VL '!Z13*100),0,B28*3.6/1000000/'E Balans VL '!Z13*100)</f>
        <v>9.825578302965364E-2</v>
      </c>
      <c r="D28" s="234" t="s">
        <v>700</v>
      </c>
      <c r="F28" s="6"/>
    </row>
    <row r="29" spans="1:18">
      <c r="A29" s="229" t="s">
        <v>50</v>
      </c>
      <c r="B29" s="33">
        <f>IF(ISERROR(TER_gezond_ele_kWh/1000),0,TER_gezond_ele_kWh/1000)</f>
        <v>752.10461579728496</v>
      </c>
      <c r="C29" s="39">
        <f>IF(ISERROR(B29*3.6/1000000/'E Balans VL '!Z10*100),0,B29*3.6/1000000/'E Balans VL '!Z10*100)</f>
        <v>9.7765262001849804E-2</v>
      </c>
      <c r="D29" s="234" t="s">
        <v>700</v>
      </c>
      <c r="F29" s="6"/>
    </row>
    <row r="30" spans="1:18">
      <c r="A30" s="229" t="s">
        <v>49</v>
      </c>
      <c r="B30" s="33">
        <f>IF(ISERROR(TER_ander_ele_kWh/1000),0,TER_ander_ele_kWh/1000)</f>
        <v>1125.3079461298501</v>
      </c>
      <c r="C30" s="39">
        <f>IF(ISERROR(B30*3.6/1000000/'E Balans VL '!Z14*100),0,B30*3.6/1000000/'E Balans VL '!Z14*100)</f>
        <v>8.7221685687274175E-2</v>
      </c>
      <c r="D30" s="234" t="s">
        <v>700</v>
      </c>
      <c r="F30" s="6"/>
    </row>
    <row r="31" spans="1:18">
      <c r="A31" s="229" t="s">
        <v>54</v>
      </c>
      <c r="B31" s="33">
        <f>IF(ISERROR(TER_onderwijs_ele_kWh/1000),0,TER_onderwijs_ele_kWh/1000)</f>
        <v>150.55251945171901</v>
      </c>
      <c r="C31" s="39">
        <f>IF(ISERROR(B31*3.6/1000000/'E Balans VL '!Z11*100),0,B31*3.6/1000000/'E Balans VL '!Z11*100)</f>
        <v>2.8803262331756771E-2</v>
      </c>
      <c r="D31" s="234" t="s">
        <v>700</v>
      </c>
    </row>
    <row r="32" spans="1:18">
      <c r="A32" s="229" t="s">
        <v>249</v>
      </c>
      <c r="B32" s="33">
        <f>IF(ISERROR(TER_rest_ele_kWh/1000),0,TER_rest_ele_kWh/1000)</f>
        <v>7476.4130410011594</v>
      </c>
      <c r="C32" s="39">
        <f>IF(ISERROR(B32*3.6/1000000/'E Balans VL '!Z8*100),0,B32*3.6/1000000/'E Balans VL '!Z8*100)</f>
        <v>6.1648766776985976E-2</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1</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2</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16503.707096756931</v>
      </c>
      <c r="C5" s="17">
        <f>IF(ISERROR('Eigen informatie GS &amp; warmtenet'!B59),0,'Eigen informatie GS &amp; warmtenet'!B59)</f>
        <v>0</v>
      </c>
      <c r="D5" s="30">
        <f>SUM(D6:D15)</f>
        <v>12229.541555421136</v>
      </c>
      <c r="E5" s="17">
        <f>SUM(E6:E15)</f>
        <v>163.43230845713089</v>
      </c>
      <c r="F5" s="17">
        <f>SUM(F6:F15)</f>
        <v>4496.515443160235</v>
      </c>
      <c r="G5" s="18"/>
      <c r="H5" s="17"/>
      <c r="I5" s="17"/>
      <c r="J5" s="17">
        <f>SUM(J6:J15)</f>
        <v>110.523087632345</v>
      </c>
      <c r="K5" s="17"/>
      <c r="L5" s="17"/>
      <c r="M5" s="17"/>
      <c r="N5" s="17">
        <f>SUM(N6:N15)</f>
        <v>406.31358116991089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1407.7790510339701</v>
      </c>
      <c r="C8" s="33"/>
      <c r="D8" s="37">
        <f>IF( ISERROR(IND_metaal_Gas_kWH/1000),0,IND_metaal_Gas_kWH/1000)*0.902</f>
        <v>212.96476956637451</v>
      </c>
      <c r="E8" s="33">
        <f>C30*'E Balans VL '!I18/100/3.6*1000000</f>
        <v>9.8921527792575557</v>
      </c>
      <c r="F8" s="33">
        <f>C30*'E Balans VL '!L18/100/3.6*1000000+C30*'E Balans VL '!N18/100/3.6*1000000</f>
        <v>154.56590348539265</v>
      </c>
      <c r="G8" s="34"/>
      <c r="H8" s="33"/>
      <c r="I8" s="33"/>
      <c r="J8" s="40">
        <f>C30*'E Balans VL '!D18/100/3.6*1000000+C30*'E Balans VL '!E18/100/3.6*1000000</f>
        <v>29.045516138214772</v>
      </c>
      <c r="K8" s="33"/>
      <c r="L8" s="33"/>
      <c r="M8" s="33"/>
      <c r="N8" s="33">
        <f>C30*'E Balans VL '!Y18/100/3.6*1000000</f>
        <v>5.2764572714138254</v>
      </c>
      <c r="O8" s="33"/>
      <c r="P8" s="33"/>
      <c r="R8" s="32"/>
    </row>
    <row r="9" spans="1:18">
      <c r="A9" s="6" t="s">
        <v>32</v>
      </c>
      <c r="B9" s="37">
        <f t="shared" si="0"/>
        <v>2425.0483623608402</v>
      </c>
      <c r="C9" s="33"/>
      <c r="D9" s="37">
        <f>IF( ISERROR(IND_andere_gas_kWh/1000),0,IND_andere_gas_kWh/1000)*0.902</f>
        <v>1090.8613254611932</v>
      </c>
      <c r="E9" s="33">
        <f>C31*'E Balans VL '!I19/100/3.6*1000000</f>
        <v>40.731658024945901</v>
      </c>
      <c r="F9" s="33">
        <f>C31*'E Balans VL '!L19/100/3.6*1000000+C31*'E Balans VL '!N19/100/3.6*1000000</f>
        <v>1895.7646892521034</v>
      </c>
      <c r="G9" s="34"/>
      <c r="H9" s="33"/>
      <c r="I9" s="33"/>
      <c r="J9" s="40">
        <f>C31*'E Balans VL '!D19/100/3.6*1000000+C31*'E Balans VL '!E19/100/3.6*1000000</f>
        <v>0.21871795544961881</v>
      </c>
      <c r="K9" s="33"/>
      <c r="L9" s="33"/>
      <c r="M9" s="33"/>
      <c r="N9" s="33">
        <f>C31*'E Balans VL '!Y19/100/3.6*1000000</f>
        <v>179.73499012669251</v>
      </c>
      <c r="O9" s="33"/>
      <c r="P9" s="33"/>
      <c r="R9" s="32"/>
    </row>
    <row r="10" spans="1:18">
      <c r="A10" s="6" t="s">
        <v>40</v>
      </c>
      <c r="B10" s="37">
        <f t="shared" si="0"/>
        <v>309.77160061858405</v>
      </c>
      <c r="C10" s="33"/>
      <c r="D10" s="37">
        <f>IF( ISERROR(IND_voed_gas_kWh/1000),0,IND_voed_gas_kWh/1000)*0.902</f>
        <v>577.11650479957552</v>
      </c>
      <c r="E10" s="33">
        <f>C32*'E Balans VL '!I20/100/3.6*1000000</f>
        <v>2.8262273584615127</v>
      </c>
      <c r="F10" s="33">
        <f>C32*'E Balans VL '!L20/100/3.6*1000000+C32*'E Balans VL '!N20/100/3.6*1000000</f>
        <v>49.975848268419767</v>
      </c>
      <c r="G10" s="34"/>
      <c r="H10" s="33"/>
      <c r="I10" s="33"/>
      <c r="J10" s="40">
        <f>C32*'E Balans VL '!D20/100/3.6*1000000+C32*'E Balans VL '!E20/100/3.6*1000000</f>
        <v>1.2758425474395776</v>
      </c>
      <c r="K10" s="33"/>
      <c r="L10" s="33"/>
      <c r="M10" s="33"/>
      <c r="N10" s="33">
        <f>C32*'E Balans VL '!Y20/100/3.6*1000000</f>
        <v>4.53171425528733</v>
      </c>
      <c r="O10" s="33"/>
      <c r="P10" s="33"/>
      <c r="R10" s="32"/>
    </row>
    <row r="11" spans="1:18">
      <c r="A11" s="6" t="s">
        <v>39</v>
      </c>
      <c r="B11" s="37">
        <f t="shared" si="0"/>
        <v>423.50162903832597</v>
      </c>
      <c r="C11" s="33"/>
      <c r="D11" s="37">
        <f>IF( ISERROR(IND_textiel_gas_kWh/1000),0,IND_textiel_gas_kWh/1000)*0.902</f>
        <v>0</v>
      </c>
      <c r="E11" s="33">
        <f>C33*'E Balans VL '!I21/100/3.6*1000000</f>
        <v>0.9659286596429234</v>
      </c>
      <c r="F11" s="33">
        <f>C33*'E Balans VL '!L21/100/3.6*1000000+C33*'E Balans VL '!N21/100/3.6*1000000</f>
        <v>9.0527401166855501</v>
      </c>
      <c r="G11" s="34"/>
      <c r="H11" s="33"/>
      <c r="I11" s="33"/>
      <c r="J11" s="40">
        <f>C33*'E Balans VL '!D21/100/3.6*1000000+C33*'E Balans VL '!E21/100/3.6*1000000</f>
        <v>0</v>
      </c>
      <c r="K11" s="33"/>
      <c r="L11" s="33"/>
      <c r="M11" s="33"/>
      <c r="N11" s="33">
        <f>C33*'E Balans VL '!Y21/100/3.6*1000000</f>
        <v>3.0042634219854518</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58.974779089208596</v>
      </c>
      <c r="C13" s="33"/>
      <c r="D13" s="37">
        <f>IF( ISERROR(IND_papier_gas_kWh/1000),0,IND_papier_gas_kWh/1000)*0.902</f>
        <v>111.53592468531957</v>
      </c>
      <c r="E13" s="33">
        <f>C35*'E Balans VL '!I23/100/3.6*1000000</f>
        <v>1.8145000421091773</v>
      </c>
      <c r="F13" s="33">
        <f>C35*'E Balans VL '!L23/100/3.6*1000000+C35*'E Balans VL '!N23/100/3.6*1000000</f>
        <v>12.522406647396593</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11878.631674615999</v>
      </c>
      <c r="C15" s="33"/>
      <c r="D15" s="37">
        <f>IF( ISERROR(IND_rest_gas_kWh/1000),0,IND_rest_gas_kWh/1000)*0.902</f>
        <v>10237.063030908674</v>
      </c>
      <c r="E15" s="33">
        <f>C37*'E Balans VL '!I15/100/3.6*1000000</f>
        <v>107.20184159271379</v>
      </c>
      <c r="F15" s="33">
        <f>C37*'E Balans VL '!L15/100/3.6*1000000+C37*'E Balans VL '!N15/100/3.6*1000000</f>
        <v>2374.6338553902369</v>
      </c>
      <c r="G15" s="34"/>
      <c r="H15" s="33"/>
      <c r="I15" s="33"/>
      <c r="J15" s="40">
        <f>C37*'E Balans VL '!D15/100/3.6*1000000+C37*'E Balans VL '!E15/100/3.6*1000000</f>
        <v>79.983010991241031</v>
      </c>
      <c r="K15" s="33"/>
      <c r="L15" s="33"/>
      <c r="M15" s="33"/>
      <c r="N15" s="33">
        <f>C37*'E Balans VL '!Y15/100/3.6*1000000</f>
        <v>213.76615609453174</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16503.707096756931</v>
      </c>
      <c r="C18" s="21">
        <f>C5+C16</f>
        <v>0</v>
      </c>
      <c r="D18" s="21">
        <f>MAX((D5+D16),0)</f>
        <v>12229.541555421136</v>
      </c>
      <c r="E18" s="21">
        <f>MAX((E5+E16),0)</f>
        <v>163.43230845713089</v>
      </c>
      <c r="F18" s="21">
        <f>MAX((F5+F16),0)</f>
        <v>4496.515443160235</v>
      </c>
      <c r="G18" s="21"/>
      <c r="H18" s="21"/>
      <c r="I18" s="21"/>
      <c r="J18" s="21">
        <f>MAX((J5+J16),0)</f>
        <v>110.523087632345</v>
      </c>
      <c r="K18" s="21"/>
      <c r="L18" s="21">
        <f>MAX((L5+L16),0)</f>
        <v>0</v>
      </c>
      <c r="M18" s="21"/>
      <c r="N18" s="21">
        <f>MAX((N5+N16),0)</f>
        <v>406.31358116991089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0.19723519113079915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3255.1118235955796</v>
      </c>
      <c r="C22" s="23">
        <f ca="1">C18*C20</f>
        <v>0</v>
      </c>
      <c r="D22" s="23">
        <f>D18*D20</f>
        <v>2470.3673941950697</v>
      </c>
      <c r="E22" s="23">
        <f>E18*E20</f>
        <v>37.099134019768712</v>
      </c>
      <c r="F22" s="23">
        <f>F18*F20</f>
        <v>1200.5696233237827</v>
      </c>
      <c r="G22" s="23"/>
      <c r="H22" s="23"/>
      <c r="I22" s="23"/>
      <c r="J22" s="23">
        <f>J18*J20</f>
        <v>39.125173021850124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1407.7790510339701</v>
      </c>
      <c r="C30" s="39">
        <f>IF(ISERROR(B30*3.6/1000000/'E Balans VL '!Z18*100),0,B30*3.6/1000000/'E Balans VL '!Z18*100)</f>
        <v>9.3716711089258109E-2</v>
      </c>
      <c r="D30" s="234" t="s">
        <v>700</v>
      </c>
    </row>
    <row r="31" spans="1:18">
      <c r="A31" s="6" t="s">
        <v>32</v>
      </c>
      <c r="B31" s="37">
        <f>IF( ISERROR(IND_ander_ele_kWh/1000),0,IND_ander_ele_kWh/1000)</f>
        <v>2425.0483623608402</v>
      </c>
      <c r="C31" s="39">
        <f>IF(ISERROR(B31*3.6/1000000/'E Balans VL '!Z19*100),0,B31*3.6/1000000/'E Balans VL '!Z19*100)</f>
        <v>0.10749278356568298</v>
      </c>
      <c r="D31" s="234" t="s">
        <v>700</v>
      </c>
    </row>
    <row r="32" spans="1:18">
      <c r="A32" s="169" t="s">
        <v>40</v>
      </c>
      <c r="B32" s="37">
        <f>IF( ISERROR(IND_voed_ele_kWh/1000),0,IND_voed_ele_kWh/1000)</f>
        <v>309.77160061858405</v>
      </c>
      <c r="C32" s="39">
        <f>IF(ISERROR(B32*3.6/1000000/'E Balans VL '!Z20*100),0,B32*3.6/1000000/'E Balans VL '!Z20*100)</f>
        <v>1.0347260080373016E-2</v>
      </c>
      <c r="D32" s="234" t="s">
        <v>700</v>
      </c>
    </row>
    <row r="33" spans="1:5">
      <c r="A33" s="169" t="s">
        <v>39</v>
      </c>
      <c r="B33" s="37">
        <f>IF( ISERROR(IND_textiel_ele_kWh/1000),0,IND_textiel_ele_kWh/1000)</f>
        <v>423.50162903832597</v>
      </c>
      <c r="C33" s="39">
        <f>IF(ISERROR(B33*3.6/1000000/'E Balans VL '!Z21*100),0,B33*3.6/1000000/'E Balans VL '!Z21*100)</f>
        <v>5.5754966074583093E-2</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58.974779089208596</v>
      </c>
      <c r="C35" s="39">
        <f>IF(ISERROR(B35*3.6/1000000/'E Balans VL '!Z22*100),0,B35*3.6/1000000/'E Balans VL '!Z22*100)</f>
        <v>1.1469946731726022E-2</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11878.631674615999</v>
      </c>
      <c r="C37" s="39">
        <f>IF(ISERROR(B37*3.6/1000000/'E Balans VL '!Z15*100),0,B37*3.6/1000000/'E Balans VL '!Z15*100)</f>
        <v>8.8357667712794227E-2</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2940.9512585308739</v>
      </c>
      <c r="C5" s="17">
        <f>'Eigen informatie GS &amp; warmtenet'!B60</f>
        <v>0</v>
      </c>
      <c r="D5" s="30">
        <f>IF(ISERROR(SUM(LB_lb_gas_kWh,LB_rest_gas_kWh)/1000),0,SUM(LB_lb_gas_kWh,LB_rest_gas_kWh)/1000)*0.902</f>
        <v>300.69053210371436</v>
      </c>
      <c r="E5" s="17">
        <f>B17*'E Balans VL '!I25/3.6*1000000/100</f>
        <v>30.798278269318722</v>
      </c>
      <c r="F5" s="17">
        <f>B17*('E Balans VL '!L25/3.6*1000000+'E Balans VL '!N25/3.6*1000000)/100</f>
        <v>12589.506034875561</v>
      </c>
      <c r="G5" s="18"/>
      <c r="H5" s="17"/>
      <c r="I5" s="17"/>
      <c r="J5" s="17">
        <f>('E Balans VL '!D25+'E Balans VL '!E25)/3.6*1000000*landbouw!B17/100</f>
        <v>262.65330758263326</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2940.9512585308739</v>
      </c>
      <c r="C8" s="21">
        <f>C5+C6</f>
        <v>0</v>
      </c>
      <c r="D8" s="21">
        <f>MAX((D5+D6),0)</f>
        <v>300.69053210371436</v>
      </c>
      <c r="E8" s="21">
        <f>MAX((E5+E6),0)</f>
        <v>30.798278269318722</v>
      </c>
      <c r="F8" s="21">
        <f>MAX((F5+F6),0)</f>
        <v>12589.506034875561</v>
      </c>
      <c r="G8" s="21"/>
      <c r="H8" s="21"/>
      <c r="I8" s="21"/>
      <c r="J8" s="21">
        <f>MAX((J5+J6),0)</f>
        <v>262.65330758263326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0.19723519113079915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580.05908358270119</v>
      </c>
      <c r="C12" s="23">
        <f ca="1">C8*C10</f>
        <v>0</v>
      </c>
      <c r="D12" s="23">
        <f>D8*D10</f>
        <v>60.739487484950303</v>
      </c>
      <c r="E12" s="23">
        <f>E8*E10</f>
        <v>6.9912091671353505</v>
      </c>
      <c r="F12" s="23">
        <f>F8*F10</f>
        <v>3361.3981113117752</v>
      </c>
      <c r="G12" s="23"/>
      <c r="H12" s="23"/>
      <c r="I12" s="23"/>
      <c r="J12" s="23">
        <f>J8*J10</f>
        <v>92.979270884252173</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0.45266916953835568</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275.51785858105734</v>
      </c>
      <c r="C26" s="244">
        <f>B26*'GWP N2O_CH4'!B5</f>
        <v>5785.8750302022045</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206.48433047853064</v>
      </c>
      <c r="C27" s="244">
        <f>B27*'GWP N2O_CH4'!B5</f>
        <v>4336.1709400491436</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4.7169173944661509</v>
      </c>
      <c r="C28" s="244">
        <f>B28*'GWP N2O_CH4'!B4</f>
        <v>1462.2443922845068</v>
      </c>
      <c r="D28" s="50"/>
    </row>
    <row r="29" spans="1:4">
      <c r="A29" s="41" t="s">
        <v>266</v>
      </c>
      <c r="B29" s="244">
        <f>B34*'ha_N2O bodem landbouw'!B4</f>
        <v>22.915517845715101</v>
      </c>
      <c r="C29" s="244">
        <f>B29*'GWP N2O_CH4'!B4</f>
        <v>7103.8105321716812</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3.787090289466328E-3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1.4293203133445575E-6</v>
      </c>
      <c r="C5" s="433" t="s">
        <v>204</v>
      </c>
      <c r="D5" s="418">
        <f>SUM(D6:D11)</f>
        <v>6.7858008864121378E-6</v>
      </c>
      <c r="E5" s="418">
        <f>SUM(E6:E11)</f>
        <v>6.728334977357316E-4</v>
      </c>
      <c r="F5" s="431" t="s">
        <v>204</v>
      </c>
      <c r="G5" s="418">
        <f>SUM(G6:G11)</f>
        <v>0.11250217839174606</v>
      </c>
      <c r="H5" s="418">
        <f>SUM(H6:H11)</f>
        <v>2.1536989487484136E-2</v>
      </c>
      <c r="I5" s="433" t="s">
        <v>204</v>
      </c>
      <c r="J5" s="433" t="s">
        <v>204</v>
      </c>
      <c r="K5" s="433" t="s">
        <v>204</v>
      </c>
      <c r="L5" s="433" t="s">
        <v>204</v>
      </c>
      <c r="M5" s="418">
        <f>SUM(M6:M11)</f>
        <v>5.837742629552699E-3</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2.9580845926162071E-7</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9.3659494782188226E-7</v>
      </c>
      <c r="E6" s="421">
        <f>vkm_GW_PW*SUMIFS(TableVerdeelsleutelVkm[LPG],TableVerdeelsleutelVkm[Voertuigtype],"Lichte voertuigen")*SUMIFS(TableECFTransport[EnergieConsumptieFactor (PJ per km)],TableECFTransport[Index],CONCATENATE($A6,"_LPG_LPG"))</f>
        <v>9.7601337845183405E-5</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1.3000522532256094E-2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3.1187972840131697E-3</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7.0359468770322226E-4</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1.1941772504796495E-8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5.3830783338496523E-3</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1.4574674533712411E-7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2.3190525310984702E-4</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1.0870205389056397E-6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5.8492059385902557E-6</v>
      </c>
      <c r="E8" s="421">
        <f>vkm_NGW_PW*SUMIFS(TableVerdeelsleutelVkm[LPG],TableVerdeelsleutelVkm[Voertuigtype],"Lichte voertuigen")*SUMIFS(TableECFTransport[EnergieConsumptieFactor (PJ per km)],TableECFTransport[Index],CONCATENATE($A8,"_LPG_LPG"))</f>
        <v>5.7523215989054824E-4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7.2545941031652933E-2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1.8417537490667449E-2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3.9728879949289253E-3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3.4549542672500526E-8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2.1572636493987392E-2</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5.0896605818256962E-7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9.2935469381070482E-4</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0.39703342037348821</v>
      </c>
      <c r="C14" s="21"/>
      <c r="D14" s="21">
        <f t="shared" ref="D14:M14" si="0">((D5)*10^9/3600)+D12</f>
        <v>1.8849446906700382</v>
      </c>
      <c r="E14" s="21">
        <f t="shared" si="0"/>
        <v>186.89819381548102</v>
      </c>
      <c r="F14" s="21"/>
      <c r="G14" s="21">
        <f t="shared" si="0"/>
        <v>31250.605108818349</v>
      </c>
      <c r="H14" s="21">
        <f t="shared" si="0"/>
        <v>5982.4970798567037</v>
      </c>
      <c r="I14" s="21"/>
      <c r="J14" s="21"/>
      <c r="K14" s="21"/>
      <c r="L14" s="21"/>
      <c r="M14" s="21">
        <f t="shared" si="0"/>
        <v>1621.5951748757495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0.19723519113079915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7.830896255267987E-2</v>
      </c>
      <c r="C18" s="23"/>
      <c r="D18" s="23">
        <f t="shared" ref="D18:M18" si="1">D14*D16</f>
        <v>0.38075882751534773</v>
      </c>
      <c r="E18" s="23">
        <f t="shared" si="1"/>
        <v>42.425889996114194</v>
      </c>
      <c r="F18" s="23"/>
      <c r="G18" s="23">
        <f t="shared" si="1"/>
        <v>8343.9115640544987</v>
      </c>
      <c r="H18" s="23">
        <f t="shared" si="1"/>
        <v>1489.6417728843192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2.2664193877764675E-5</v>
      </c>
      <c r="C50" s="315">
        <f t="shared" ref="C50:P50" si="2">SUM(C51:C52)</f>
        <v>0</v>
      </c>
      <c r="D50" s="315">
        <f t="shared" si="2"/>
        <v>0</v>
      </c>
      <c r="E50" s="315">
        <f t="shared" si="2"/>
        <v>0</v>
      </c>
      <c r="F50" s="315">
        <f t="shared" si="2"/>
        <v>0</v>
      </c>
      <c r="G50" s="315">
        <f t="shared" si="2"/>
        <v>4.9167693164847998E-3</v>
      </c>
      <c r="H50" s="315">
        <f t="shared" si="2"/>
        <v>0</v>
      </c>
      <c r="I50" s="315">
        <f t="shared" si="2"/>
        <v>0</v>
      </c>
      <c r="J50" s="315">
        <f t="shared" si="2"/>
        <v>0</v>
      </c>
      <c r="K50" s="315">
        <f t="shared" si="2"/>
        <v>0</v>
      </c>
      <c r="L50" s="315">
        <f t="shared" si="2"/>
        <v>0</v>
      </c>
      <c r="M50" s="315">
        <f t="shared" si="2"/>
        <v>2.1051717559652261E-4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2.2664193877764675E-5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4.9167693164847998E-3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2.1051717559652261E-4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6.2956094104901874</v>
      </c>
      <c r="C54" s="21">
        <f t="shared" ref="C54:P54" si="3">(C50)*10^9/3600</f>
        <v>0</v>
      </c>
      <c r="D54" s="21">
        <f t="shared" si="3"/>
        <v>0</v>
      </c>
      <c r="E54" s="21">
        <f t="shared" si="3"/>
        <v>0</v>
      </c>
      <c r="F54" s="21">
        <f t="shared" si="3"/>
        <v>0</v>
      </c>
      <c r="G54" s="21">
        <f t="shared" si="3"/>
        <v>1365.769254579111</v>
      </c>
      <c r="H54" s="21">
        <f t="shared" si="3"/>
        <v>0</v>
      </c>
      <c r="I54" s="21">
        <f t="shared" si="3"/>
        <v>0</v>
      </c>
      <c r="J54" s="21">
        <f t="shared" si="3"/>
        <v>0</v>
      </c>
      <c r="K54" s="21">
        <f t="shared" si="3"/>
        <v>0</v>
      </c>
      <c r="L54" s="21">
        <f t="shared" si="3"/>
        <v>0</v>
      </c>
      <c r="M54" s="21">
        <f t="shared" si="3"/>
        <v>58.476993221256279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0.19723519113079915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1.2417157253628899</v>
      </c>
      <c r="C58" s="23">
        <f t="shared" ref="C58:P58" ca="1" si="4">C54*C56</f>
        <v>0</v>
      </c>
      <c r="D58" s="23">
        <f t="shared" si="4"/>
        <v>0</v>
      </c>
      <c r="E58" s="23">
        <f t="shared" si="4"/>
        <v>0</v>
      </c>
      <c r="F58" s="23">
        <f t="shared" si="4"/>
        <v>0</v>
      </c>
      <c r="G58" s="23">
        <f t="shared" si="4"/>
        <v>364.66039097262268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1909.4154516571698</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4458</v>
      </c>
      <c r="C8" s="544">
        <f>B48</f>
        <v>0</v>
      </c>
      <c r="D8" s="963"/>
      <c r="E8" s="963">
        <f>E48</f>
        <v>0</v>
      </c>
      <c r="F8" s="964"/>
      <c r="G8" s="545"/>
      <c r="H8" s="963">
        <f>I48</f>
        <v>0</v>
      </c>
      <c r="I8" s="963">
        <f>G48+F48</f>
        <v>0</v>
      </c>
      <c r="J8" s="963">
        <f>H48+D48+C48</f>
        <v>5244.7058823529424</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6367.4154516571698</v>
      </c>
      <c r="C10" s="556">
        <f t="shared" ref="C10:L10" si="0">SUM(C8:C9)</f>
        <v>0</v>
      </c>
      <c r="D10" s="556">
        <f t="shared" si="0"/>
        <v>0</v>
      </c>
      <c r="E10" s="556">
        <f t="shared" si="0"/>
        <v>0</v>
      </c>
      <c r="F10" s="556">
        <f t="shared" si="0"/>
        <v>0</v>
      </c>
      <c r="G10" s="556">
        <f t="shared" si="0"/>
        <v>0</v>
      </c>
      <c r="H10" s="556">
        <f t="shared" si="0"/>
        <v>0</v>
      </c>
      <c r="I10" s="556">
        <f t="shared" si="0"/>
        <v>0</v>
      </c>
      <c r="J10" s="556">
        <f t="shared" si="0"/>
        <v>5244.7058823529424</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6368.5714285714284</v>
      </c>
      <c r="C17" s="568">
        <f>B49</f>
        <v>0</v>
      </c>
      <c r="D17" s="569"/>
      <c r="E17" s="569">
        <f>E49</f>
        <v>0</v>
      </c>
      <c r="F17" s="570"/>
      <c r="G17" s="571"/>
      <c r="H17" s="568">
        <f>I49</f>
        <v>0</v>
      </c>
      <c r="I17" s="569">
        <f>G49+F49</f>
        <v>0</v>
      </c>
      <c r="J17" s="569">
        <f>H49+D49+C49</f>
        <v>7492.4369747899173</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6368.5714285714284</v>
      </c>
      <c r="C20" s="555">
        <f>SUM(C17:C19)</f>
        <v>0</v>
      </c>
      <c r="D20" s="555">
        <f t="shared" ref="D20:L20" si="1">SUM(D17:D19)</f>
        <v>0</v>
      </c>
      <c r="E20" s="555">
        <f t="shared" si="1"/>
        <v>0</v>
      </c>
      <c r="F20" s="555">
        <f t="shared" si="1"/>
        <v>0</v>
      </c>
      <c r="G20" s="555">
        <f t="shared" si="1"/>
        <v>0</v>
      </c>
      <c r="H20" s="555">
        <f t="shared" si="1"/>
        <v>0</v>
      </c>
      <c r="I20" s="555">
        <f t="shared" si="1"/>
        <v>0</v>
      </c>
      <c r="J20" s="555">
        <f t="shared" si="1"/>
        <v>7492.4369747899173</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51" hidden="1">
      <c r="A28" s="580"/>
      <c r="B28" s="775">
        <v>36012</v>
      </c>
      <c r="C28" s="775">
        <v>8890</v>
      </c>
      <c r="D28" s="628"/>
      <c r="E28" s="627"/>
      <c r="F28" s="627"/>
      <c r="G28" s="627" t="s">
        <v>977</v>
      </c>
      <c r="H28" s="627" t="s">
        <v>978</v>
      </c>
      <c r="I28" s="627"/>
      <c r="J28" s="774"/>
      <c r="K28" s="774"/>
      <c r="L28" s="627" t="s">
        <v>979</v>
      </c>
      <c r="M28" s="627">
        <v>1486</v>
      </c>
      <c r="N28" s="627">
        <v>4458</v>
      </c>
      <c r="O28" s="627">
        <v>6368.5714285714284</v>
      </c>
      <c r="P28" s="627">
        <v>0</v>
      </c>
      <c r="Q28" s="627">
        <v>12737.142857142859</v>
      </c>
      <c r="R28" s="627">
        <v>0</v>
      </c>
      <c r="S28" s="627">
        <v>0</v>
      </c>
      <c r="T28" s="627">
        <v>0</v>
      </c>
      <c r="U28" s="627">
        <v>0</v>
      </c>
      <c r="V28" s="627">
        <v>0</v>
      </c>
      <c r="W28" s="627">
        <v>0</v>
      </c>
      <c r="X28" s="627">
        <v>1500</v>
      </c>
      <c r="Y28" s="627" t="s">
        <v>50</v>
      </c>
      <c r="Z28" s="629" t="s">
        <v>149</v>
      </c>
    </row>
    <row r="29" spans="1:26" s="563" customFormat="1" hidden="1">
      <c r="A29" s="583" t="s">
        <v>269</v>
      </c>
      <c r="B29" s="584"/>
      <c r="C29" s="584"/>
      <c r="D29" s="584"/>
      <c r="E29" s="584"/>
      <c r="F29" s="584"/>
      <c r="G29" s="584"/>
      <c r="H29" s="584"/>
      <c r="I29" s="584"/>
      <c r="J29" s="584"/>
      <c r="K29" s="584"/>
      <c r="L29" s="585"/>
      <c r="M29" s="585">
        <f>SUM(M28:M28)</f>
        <v>1486</v>
      </c>
      <c r="N29" s="585">
        <f>SUM(N28:N28)</f>
        <v>4458</v>
      </c>
      <c r="O29" s="585">
        <f>SUM(O28:O28)</f>
        <v>6368.5714285714284</v>
      </c>
      <c r="P29" s="585">
        <f>SUM(P28:P28)</f>
        <v>0</v>
      </c>
      <c r="Q29" s="585">
        <f>SUM(Q28:Q28)</f>
        <v>12737.142857142859</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1486</v>
      </c>
      <c r="N31" s="585">
        <f ca="1">SUMIF($Z$28:AD28,"tertiair",N28:N28)</f>
        <v>4458</v>
      </c>
      <c r="O31" s="585">
        <f ca="1">SUMIF($Z$28:AE28,"tertiair",O28:O28)</f>
        <v>6368.5714285714284</v>
      </c>
      <c r="P31" s="585">
        <f ca="1">SUMIF($Z$28:AF28,"tertiair",P28:P28)</f>
        <v>0</v>
      </c>
      <c r="Q31" s="585">
        <f ca="1">SUMIF($Z$28:AG28,"tertiair",Q28:Q28)</f>
        <v>12737.142857142859</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0.58823529411764708</v>
      </c>
      <c r="C45" s="610">
        <f>IF(ISERROR(N29/(O29+N29)),0,N29/(N29+O29))</f>
        <v>0.41176470588235298</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5244.7058823529424</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7492.4369747899173</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2021-11-11T13:46:36Z</dcterms:modified>
</cp:coreProperties>
</file>