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1\"/>
    </mc:Choice>
  </mc:AlternateContent>
  <xr:revisionPtr revIDLastSave="0" documentId="8_{15E91B48-15FC-4362-8AE5-AF59ACA9BC87}"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V37" i="18"/>
  <c r="U37" i="18"/>
  <c r="T37" i="18"/>
  <c r="I9" i="18" s="1"/>
  <c r="S37" i="18"/>
  <c r="E9" i="18" s="1"/>
  <c r="R37" i="18"/>
  <c r="Q37" i="18"/>
  <c r="P37" i="18"/>
  <c r="C9" i="18" s="1"/>
  <c r="O37" i="18"/>
  <c r="N37" i="18"/>
  <c r="B9" i="18" s="1"/>
  <c r="M37"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B8" i="18" s="1"/>
  <c r="M30" i="18"/>
  <c r="G22" i="18"/>
  <c r="F22" i="18"/>
  <c r="E22" i="18"/>
  <c r="D22" i="18"/>
  <c r="C22" i="18"/>
  <c r="D20" i="18"/>
  <c r="G12" i="18"/>
  <c r="F12" i="18"/>
  <c r="E12" i="18"/>
  <c r="D12" i="18"/>
  <c r="C12" i="18"/>
  <c r="L10" i="18"/>
  <c r="K10" i="18"/>
  <c r="G10" i="18"/>
  <c r="D10" i="18"/>
  <c r="B6" i="18"/>
  <c r="B5" i="18"/>
  <c r="B4" i="18"/>
  <c r="F20" i="18" l="1"/>
  <c r="G20" i="18"/>
  <c r="K20" i="18"/>
  <c r="B46" i="18"/>
  <c r="I50" i="18" s="1"/>
  <c r="H17" i="18" s="1"/>
  <c r="J9" i="18"/>
  <c r="O9" i="18" s="1"/>
  <c r="B17" i="18"/>
  <c r="B20" i="18" s="1"/>
  <c r="C46" i="18"/>
  <c r="H49" i="18" s="1"/>
  <c r="O19" i="18"/>
  <c r="O18" i="18"/>
  <c r="L20" i="18"/>
  <c r="B10" i="18"/>
  <c r="D50"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50" i="18"/>
  <c r="C17" i="18" s="1"/>
  <c r="D87" i="14" s="1"/>
  <c r="D17" i="55" s="1"/>
  <c r="D20" i="55" s="1"/>
  <c r="L20" i="55"/>
  <c r="F50" i="18"/>
  <c r="J77" i="14"/>
  <c r="J9" i="55" s="1"/>
  <c r="H50" i="18"/>
  <c r="H20" i="18"/>
  <c r="M87" i="14"/>
  <c r="M17" i="55" s="1"/>
  <c r="M20" i="55" s="1"/>
  <c r="C50" i="18"/>
  <c r="E50" i="18"/>
  <c r="E17" i="18" s="1"/>
  <c r="G50" i="18"/>
  <c r="K10" i="55"/>
  <c r="C49" i="18"/>
  <c r="E49" i="18"/>
  <c r="E8" i="18" s="1"/>
  <c r="G49" i="18"/>
  <c r="I49" i="18"/>
  <c r="H8" i="18" s="1"/>
  <c r="B49" i="18"/>
  <c r="C8" i="18" s="1"/>
  <c r="D76" i="14" s="1"/>
  <c r="D8" i="55" s="1"/>
  <c r="D10" i="55" s="1"/>
  <c r="D49" i="18"/>
  <c r="F49"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O27" i="48"/>
  <c r="O31" i="48"/>
  <c r="P27" i="48"/>
  <c r="O30" i="48"/>
  <c r="Q77" i="14"/>
  <c r="D78" i="14"/>
  <c r="K90" i="14"/>
  <c r="I17" i="18" l="1"/>
  <c r="M90" i="14"/>
  <c r="Q14" i="48"/>
  <c r="B77" i="14"/>
  <c r="B9" i="55" s="1"/>
  <c r="C77" i="14"/>
  <c r="C9" i="55" s="1"/>
  <c r="C10" i="18"/>
  <c r="J8" i="18"/>
  <c r="J76" i="14" s="1"/>
  <c r="J17" i="18"/>
  <c r="J20" i="18" s="1"/>
  <c r="E20" i="18"/>
  <c r="F87" i="14"/>
  <c r="Q87" i="14" s="1"/>
  <c r="I8" i="18"/>
  <c r="I10" i="18" s="1"/>
  <c r="H10" i="18"/>
  <c r="M76" i="14"/>
  <c r="E10" i="18"/>
  <c r="F76" i="14"/>
  <c r="O17" i="18"/>
  <c r="O20" i="18" s="1"/>
  <c r="P9" i="55"/>
  <c r="J87" i="14"/>
  <c r="I20" i="18"/>
  <c r="I87" i="14"/>
  <c r="I17" i="55" s="1"/>
  <c r="I20" i="55" s="1"/>
  <c r="O8" i="18"/>
  <c r="O10" i="18" s="1"/>
  <c r="J10" i="18"/>
  <c r="D90" i="14"/>
  <c r="I76" i="14" l="1"/>
  <c r="I8" i="55" s="1"/>
  <c r="I10" i="55" s="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0" i="22" l="1"/>
  <c r="D8" i="22"/>
  <c r="D6" i="22"/>
  <c r="B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6" i="19"/>
  <c r="B27" i="19" s="1"/>
  <c r="B6" i="13" l="1"/>
  <c r="B17" i="17" l="1"/>
  <c r="B34" i="17" l="1"/>
  <c r="B6" i="16" l="1"/>
  <c r="F6" i="17" l="1"/>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M17" i="19"/>
  <c r="L17" i="19"/>
  <c r="K17" i="19"/>
  <c r="J17" i="19"/>
  <c r="I17" i="19"/>
  <c r="F17" i="19"/>
  <c r="E17" i="19"/>
  <c r="D17" i="19"/>
  <c r="P19" i="19"/>
  <c r="Q39" i="14" s="1"/>
  <c r="N15" i="19"/>
  <c r="M15" i="19"/>
  <c r="L15" i="19"/>
  <c r="K15" i="19"/>
  <c r="J15" i="19"/>
  <c r="I15" i="19"/>
  <c r="F15" i="19"/>
  <c r="E15" i="19"/>
  <c r="D15" i="19"/>
  <c r="C15" i="19"/>
  <c r="B15" i="19"/>
  <c r="A7" i="31"/>
  <c r="A6" i="31"/>
  <c r="P5" i="13" l="1"/>
  <c r="P8" i="13" s="1"/>
  <c r="B37" i="13"/>
  <c r="B36" i="13"/>
  <c r="B32" i="13"/>
  <c r="B35" i="13"/>
  <c r="C35" i="13" s="1"/>
  <c r="B34" i="13"/>
  <c r="B33" i="13"/>
  <c r="C34" i="13"/>
  <c r="B67" i="22"/>
  <c r="J19" i="19"/>
  <c r="K39" i="14" s="1"/>
  <c r="N19" i="19"/>
  <c r="O39" i="14" s="1"/>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C8" i="48"/>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G51" i="22" s="1"/>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16" i="14" s="1"/>
  <c r="L27" i="14" s="1"/>
  <c r="L46" i="14"/>
  <c r="L61"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G14" i="22" l="1"/>
  <c r="L63" i="14"/>
  <c r="P33" i="48"/>
  <c r="K15" i="48"/>
  <c r="K23" i="48"/>
  <c r="K33" i="48" s="1"/>
  <c r="I23" i="48"/>
  <c r="I33" i="48" s="1"/>
  <c r="I15" i="48"/>
  <c r="Q63" i="14"/>
  <c r="O8" i="48"/>
  <c r="O26" i="48" s="1"/>
  <c r="P13" i="14"/>
  <c r="P16" i="14" s="1"/>
  <c r="P27" i="14" s="1"/>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O15" i="48" l="1"/>
  <c r="P63" i="14"/>
  <c r="H22" i="14"/>
  <c r="H27" i="14" s="1"/>
  <c r="O33" i="48"/>
  <c r="R19" i="14"/>
  <c r="R11" i="14"/>
  <c r="E22" i="48"/>
  <c r="Q4" i="48"/>
  <c r="H52" i="14"/>
  <c r="H61"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H63" i="14" l="1"/>
  <c r="G33" i="48"/>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<sst xmlns="http://schemas.openxmlformats.org/spreadsheetml/2006/main" count="2579" uniqueCount="980">
  <si>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</si>
  <si>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</si>
  <si>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</si>
  <si>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</si>
  <si>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</si>
  <si>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</si>
  <si>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</si>
  <si>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</si>
  <si>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</si>
  <si>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</si>
  <si>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</si>
  <si>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</si>
  <si>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</si>
  <si>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</si>
  <si>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</si>
  <si>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</si>
  <si>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</si>
  <si>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</si>
  <si>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</si>
  <si>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</si>
  <si>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</si>
  <si>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</si>
  <si>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</si>
  <si>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</si>
  <si>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</si>
  <si>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</si>
  <si>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</si>
  <si>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</si>
  <si>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</si>
  <si>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</si>
  <si>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</si>
  <si>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</si>
  <si>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</si>
  <si>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</si>
  <si>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</si>
  <si>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</si>
  <si>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</si>
  <si>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</si>
  <si>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</si>
  <si>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</si>
  <si>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</si>
  <si>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</si>
  <si>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</si>
  <si>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</si>
  <si>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</si>
  <si>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</si>
  <si>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</si>
  <si>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</si>
  <si>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</si>
  <si>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</si>
  <si>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</si>
  <si>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</si>
  <si>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</si>
  <si>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</si>
  <si>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</si>
  <si>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</si>
  <si>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</si>
  <si>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</si>
  <si>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</si>
  <si>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</si>
  <si>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</si>
  <si>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</si>
  <si>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</si>
  <si>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</si>
  <si>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</si>
  <si>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</si>
  <si>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</si>
  <si>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</si>
  <si>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</si>
  <si>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</si>
  <si>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</si>
  <si>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</si>
  <si>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</si>
  <si>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</si>
  <si>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</si>
  <si>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</si>
  <si>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</si>
  <si>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</si>
  <si>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</si>
  <si>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</si>
  <si>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</si>
  <si>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</si>
  <si>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</si>
  <si>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</si>
  <si>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</si>
  <si>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</si>
  <si>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</si>
  <si>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</si>
  <si>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</si>
  <si>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</si>
  <si>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</si>
  <si>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</si>
  <si>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</si>
  <si>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</si>
  <si>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</si>
  <si>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</si>
  <si>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</si>
  <si>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</si>
  <si>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</si>
  <si>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</si>
  <si>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</si>
  <si>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</si>
  <si>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</si>
  <si>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</si>
  <si>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</si>
  <si>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</si>
  <si>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</si>
  <si>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</si>
  <si>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</si>
  <si>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</si>
  <si>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</si>
  <si>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</si>
  <si>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</si>
  <si>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</si>
  <si>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</si>
  <si>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</si>
  <si>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</si>
  <si>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</si>
  <si>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</si>
  <si>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</si>
  <si>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</si>
  <si>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</si>
  <si>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</si>
  <si>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</si>
  <si>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</si>
  <si>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</si>
  <si>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</si>
  <si>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</si>
  <si>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</si>
  <si>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</si>
  <si>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</si>
  <si>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</si>
  <si>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</si>
  <si>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</si>
  <si>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</si>
  <si>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</si>
  <si>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</si>
  <si>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</si>
  <si>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</si>
  <si>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</si>
  <si>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</si>
  <si>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</si>
  <si>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</si>
  <si>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</si>
  <si>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</si>
  <si>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</si>
  <si>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</si>
  <si>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</si>
  <si>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</si>
  <si>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</si>
  <si>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</si>
  <si>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</si>
  <si>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</si>
  <si>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</si>
  <si>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</si>
  <si>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</si>
  <si>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</si>
  <si>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</si>
  <si>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</si>
  <si>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</si>
  <si>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</si>
  <si>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</si>
  <si>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</si>
  <si>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</si>
  <si>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</si>
  <si>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</si>
  <si>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</si>
  <si>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</si>
  <si>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</si>
  <si>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</si>
  <si>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</si>
  <si>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</si>
  <si>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</si>
  <si>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</si>
  <si>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</si>
  <si>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</si>
  <si>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</si>
  <si>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</si>
  <si>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</si>
  <si>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</si>
  <si>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</si>
  <si>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</si>
  <si>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</si>
  <si>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</si>
  <si>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</si>
  <si>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</si>
  <si>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</si>
  <si>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</si>
  <si>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</si>
  <si>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</si>
  <si>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</si>
  <si>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</si>
  <si>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</si>
  <si>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</si>
  <si>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</si>
  <si>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</si>
  <si>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</si>
  <si>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</si>
  <si>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</si>
  <si>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</si>
  <si>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</si>
  <si>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</si>
  <si>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</si>
  <si>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</si>
  <si>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</si>
  <si>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</si>
  <si>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</si>
  <si>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</si>
  <si>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</si>
  <si>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</si>
  <si>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</si>
  <si>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</si>
  <si>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</si>
  <si>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</si>
  <si>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</si>
  <si>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</si>
  <si>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</si>
  <si>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</si>
  <si>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</si>
  <si>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</si>
  <si>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</si>
  <si>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</si>
  <si>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</si>
  <si>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</si>
  <si>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</si>
  <si>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</si>
  <si>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</si>
  <si>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</si>
  <si>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</si>
  <si>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</si>
  <si>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</si>
  <si>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</si>
  <si>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</si>
  <si>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</si>
  <si>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</si>
  <si>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</si>
  <si>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</si>
  <si>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</si>
  <si>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</si>
  <si>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</si>
  <si>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</si>
  <si>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</si>
  <si>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</si>
  <si>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</si>
  <si>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</si>
  <si>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</si>
  <si>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</si>
  <si>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</si>
  <si>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</si>
  <si>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</si>
  <si>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</si>
  <si>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</si>
  <si>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</si>
  <si>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</si>
  <si>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</si>
  <si>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</si>
  <si>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</si>
  <si>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</si>
  <si>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</si>
  <si>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</si>
  <si>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</si>
  <si>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</si>
  <si>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</si>
  <si>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</si>
  <si>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</si>
  <si>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</si>
  <si>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</si>
  <si>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</si>
  <si>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</si>
  <si>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</si>
  <si>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</si>
  <si>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</si>
  <si>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</si>
  <si>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</si>
  <si>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</si>
  <si>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</si>
  <si>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</si>
  <si>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</si>
  <si>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</si>
  <si>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</si>
  <si>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</si>
  <si>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</si>
  <si>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</si>
  <si>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</si>
  <si>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</si>
  <si>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</si>
  <si>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</si>
  <si>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</si>
  <si>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</si>
  <si>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</si>
  <si>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</si>
  <si>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</si>
  <si>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</si>
  <si>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</si>
  <si>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</si>
  <si>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</si>
  <si>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</si>
  <si>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</si>
  <si>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</si>
  <si>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</si>
  <si>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</si>
  <si>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</si>
  <si>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</si>
  <si>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</si>
  <si>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</si>
  <si>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</si>
  <si>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</si>
  <si>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</si>
  <si>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</si>
  <si>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</si>
  <si>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</si>
  <si>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</si>
  <si>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</si>
  <si>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</si>
  <si>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</si>
  <si>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</si>
  <si>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</si>
  <si>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</si>
  <si>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</si>
  <si>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</si>
  <si>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</si>
  <si>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</si>
  <si>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</si>
  <si>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</si>
  <si>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</si>
  <si>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</si>
  <si>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</si>
  <si>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</si>
  <si>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</si>
  <si>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</si>
  <si>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</si>
  <si>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</si>
  <si>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</si>
  <si>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</si>
  <si>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</si>
  <si>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</si>
  <si>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</si>
  <si>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</si>
  <si>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</si>
  <si>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</si>
  <si>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</si>
  <si>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</si>
  <si>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</si>
  <si>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</si>
  <si>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</si>
  <si>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</si>
  <si>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</si>
  <si>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</si>
  <si>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</si>
  <si>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</si>
  <si>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</si>
  <si>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</si>
  <si>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</si>
  <si>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</si>
  <si>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</si>
  <si>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</si>
  <si>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</si>
  <si>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</si>
  <si>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</si>
  <si>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</si>
  <si>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</si>
  <si>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</si>
  <si>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</si>
  <si>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</si>
  <si>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</si>
  <si>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</si>
  <si>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</si>
  <si>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</si>
  <si>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</si>
  <si>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</si>
  <si>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</si>
  <si>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</si>
  <si>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</si>
  <si>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</si>
  <si>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</si>
  <si>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</si>
  <si>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</si>
  <si>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</si>
  <si>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</si>
  <si>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</si>
  <si>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</si>
  <si>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</si>
  <si>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</si>
  <si>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</si>
  <si>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</si>
  <si>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</si>
  <si>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</si>
  <si>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</si>
  <si>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</si>
  <si>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</si>
  <si>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</si>
  <si>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</si>
  <si>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</si>
  <si>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</si>
  <si>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</si>
  <si>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</si>
  <si>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</si>
  <si>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</si>
  <si>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</si>
  <si>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</si>
  <si>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</si>
  <si>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</si>
  <si>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</si>
  <si>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</si>
  <si>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</si>
  <si>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</si>
  <si>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</si>
  <si>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</si>
  <si>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</si>
  <si>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</si>
  <si>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</si>
  <si>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</si>
  <si>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</si>
  <si>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</si>
  <si>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</si>
  <si>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</si>
  <si>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</si>
  <si>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</si>
  <si>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</si>
  <si>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</si>
  <si>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</si>
  <si>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</si>
  <si>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</si>
  <si>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</si>
  <si>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</si>
  <si>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</si>
  <si>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</si>
  <si>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</si>
  <si>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</si>
  <si>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</si>
  <si>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</si>
  <si>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</si>
  <si>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</si>
  <si>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</si>
  <si>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</si>
  <si>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</si>
  <si>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</si>
  <si>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</si>
  <si>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</si>
  <si>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</si>
  <si>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</si>
  <si>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</si>
  <si>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</si>
  <si>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</si>
  <si>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</si>
  <si>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</si>
  <si>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</si>
  <si>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</si>
  <si>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</si>
  <si>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</si>
  <si>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</si>
  <si>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</si>
  <si>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</si>
  <si>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</si>
  <si>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</si>
  <si>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</si>
  <si>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</si>
  <si>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</si>
  <si>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</si>
  <si>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</si>
  <si>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</si>
  <si>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</si>
  <si>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</si>
  <si>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</si>
  <si>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</si>
  <si>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</si>
  <si>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</si>
  <si>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</si>
  <si>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</si>
  <si>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</si>
  <si>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</si>
  <si>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</si>
  <si>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</si>
  <si>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</si>
  <si>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</si>
  <si>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</si>
  <si>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</si>
  <si>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</si>
  <si>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</si>
  <si>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</si>
  <si>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</si>
  <si>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</si>
  <si>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</si>
  <si>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</si>
  <si>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</si>
  <si>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</si>
  <si>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</si>
  <si>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</si>
  <si>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</si>
  <si>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</si>
  <si>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</si>
  <si>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</si>
  <si>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</si>
  <si>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</si>
  <si>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</si>
  <si>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</si>
  <si>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</si>
  <si>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</si>
  <si>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</si>
  <si>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</si>
  <si>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</si>
  <si>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</si>
  <si>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</si>
  <si>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</si>
  <si>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</si>
  <si>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</si>
  <si>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</si>
  <si>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</si>
  <si>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</si>
  <si>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</si>
  <si>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</si>
  <si>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</si>
  <si>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</si>
  <si>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</si>
  <si>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</si>
  <si>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</si>
  <si>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</si>
  <si>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</si>
  <si>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</si>
  <si>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</si>
  <si>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</si>
  <si>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</si>
  <si>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</si>
  <si>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</si>
  <si>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</si>
  <si>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</si>
  <si>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</si>
  <si>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</si>
  <si>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</si>
  <si>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</si>
  <si>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</si>
  <si>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</si>
  <si>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</si>
  <si>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</si>
  <si>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</si>
  <si>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</si>
  <si>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</si>
  <si>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</si>
  <si>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</si>
  <si>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</si>
  <si>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</si>
  <si>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</si>
  <si>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</si>
  <si>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</si>
  <si>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</si>
  <si>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</si>
  <si>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</si>
  <si>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</si>
  <si>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</si>
  <si>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</si>
  <si>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</si>
  <si>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</si>
  <si>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</si>
  <si>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</si>
  <si>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</si>
  <si>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</si>
  <si>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</si>
  <si>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</si>
  <si>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</si>
  <si>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</si>
  <si>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</si>
  <si>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</si>
  <si>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</si>
  <si>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</si>
  <si>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</si>
  <si>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</si>
  <si>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</si>
  <si>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</si>
  <si>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</si>
  <si>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</si>
  <si>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</si>
  <si>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</si>
  <si>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</si>
  <si>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</si>
  <si>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</si>
  <si>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</si>
  <si>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</si>
  <si>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</si>
  <si>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</si>
  <si>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</si>
  <si>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</si>
  <si>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</si>
  <si>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</si>
  <si>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</si>
  <si>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</si>
  <si>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</si>
  <si>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</si>
  <si>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</si>
  <si>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</si>
  <si>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</si>
  <si>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</si>
  <si>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</si>
  <si>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</si>
  <si>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</si>
  <si>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</si>
  <si>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</si>
  <si>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</si>
  <si>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</si>
  <si>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</si>
  <si>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</si>
  <si>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</si>
  <si>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</si>
  <si>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</si>
  <si>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</si>
  <si>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</si>
  <si>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</si>
  <si>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</si>
  <si>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</si>
  <si>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</si>
  <si>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</si>
  <si>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</si>
  <si>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</si>
  <si>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</si>
  <si>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</si>
  <si>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</si>
  <si>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</si>
  <si>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</si>
  <si>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</si>
  <si>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</si>
  <si>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</si>
  <si>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</si>
  <si>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</si>
  <si>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</si>
  <si>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</si>
  <si>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</si>
  <si>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</si>
  <si>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</si>
  <si>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</si>
  <si>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</si>
  <si>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</si>
  <si>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</si>
  <si>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</si>
  <si>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</si>
  <si>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</si>
  <si>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</si>
  <si>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</si>
  <si>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</si>
  <si>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</si>
  <si>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</si>
  <si>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</si>
  <si>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</si>
  <si>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</si>
  <si>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</si>
  <si>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</si>
  <si>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</si>
  <si>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</si>
  <si>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</si>
  <si>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</si>
  <si>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</si>
  <si>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</si>
  <si>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</si>
  <si>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</si>
  <si>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</si>
  <si>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</si>
  <si>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</si>
  <si>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</si>
  <si>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</si>
  <si>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</si>
  <si>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</si>
  <si>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</si>
  <si>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</si>
  <si>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</si>
  <si>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</si>
  <si>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</si>
  <si>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</si>
  <si>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</si>
  <si>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</si>
  <si>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</si>
  <si>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</si>
  <si>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</si>
  <si>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</si>
  <si>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</si>
  <si>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</si>
  <si>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</si>
  <si>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</si>
  <si>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</si>
  <si>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</si>
  <si>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</si>
  <si>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</si>
  <si>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</si>
  <si>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</si>
  <si>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</si>
  <si>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</si>
  <si>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</si>
  <si>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</si>
  <si>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</si>
  <si>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</si>
  <si>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</si>
  <si>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</si>
  <si>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</si>
  <si>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</si>
  <si>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</si>
  <si>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</si>
  <si>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</si>
  <si>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</si>
  <si>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</si>
  <si>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</si>
  <si>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</si>
  <si>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</si>
  <si>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</si>
  <si>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</si>
  <si>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</si>
  <si>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</si>
  <si>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</si>
  <si>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</si>
  <si>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</si>
  <si>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</si>
  <si>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</si>
  <si>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</si>
  <si>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</si>
  <si>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</si>
  <si>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</si>
  <si>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</si>
  <si>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</si>
  <si>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</si>
  <si>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</si>
  <si>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</si>
  <si>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</si>
  <si>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</si>
  <si>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</si>
  <si>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</si>
  <si>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</si>
  <si>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</si>
  <si>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</si>
  <si>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</si>
  <si>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</si>
  <si>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</si>
  <si>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</si>
  <si>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</si>
  <si>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</si>
  <si>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</si>
  <si>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</si>
  <si>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</si>
  <si>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</si>
  <si>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</si>
  <si>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</si>
  <si>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</si>
  <si>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</si>
  <si>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</si>
  <si>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</si>
  <si>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</si>
  <si>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</si>
  <si>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</si>
  <si>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</si>
  <si>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</si>
  <si>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</si>
  <si>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</si>
  <si>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</si>
  <si>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</si>
  <si>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</si>
  <si>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</si>
  <si>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</si>
  <si>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</si>
  <si>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</si>
  <si>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</si>
  <si>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</si>
  <si>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</si>
  <si>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</si>
  <si>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</si>
  <si>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</si>
  <si>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</si>
  <si>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</si>
  <si>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</si>
  <si>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</si>
  <si>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</si>
  <si>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</si>
  <si>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</si>
  <si>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</si>
  <si>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</si>
  <si>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</si>
  <si>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</si>
  <si>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</si>
  <si>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</si>
  <si>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</si>
  <si>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</si>
  <si>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</si>
  <si>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</si>
  <si>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</si>
  <si>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</si>
  <si>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</si>
  <si>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</si>
  <si>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</si>
  <si>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</si>
  <si>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</si>
  <si>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</si>
  <si>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</si>
  <si>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</si>
  <si>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</si>
  <si>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</si>
  <si>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</si>
  <si>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</si>
  <si>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</si>
  <si>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</si>
  <si>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</si>
  <si>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</si>
  <si>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</si>
  <si>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</si>
  <si>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</si>
  <si>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</si>
  <si>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</si>
  <si>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</si>
  <si>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</si>
  <si>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</si>
  <si>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</si>
  <si>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</si>
  <si>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</si>
  <si>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</si>
  <si>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</si>
  <si>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</si>
  <si>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</si>
  <si>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</si>
  <si>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</si>
  <si>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</si>
  <si>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</si>
  <si>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</si>
  <si>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</si>
  <si>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</si>
  <si>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</si>
  <si>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</si>
  <si>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</si>
  <si>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</si>
  <si>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</si>
  <si>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</si>
  <si>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</si>
  <si>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</si>
  <si>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</si>
  <si>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</si>
  <si>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</si>
  <si>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</si>
  <si>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</si>
  <si>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</si>
  <si>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</si>
  <si>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</si>
  <si>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</si>
  <si>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</si>
  <si>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</si>
  <si>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</si>
  <si>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</si>
  <si>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</si>
  <si>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</si>
  <si>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</si>
  <si>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</si>
  <si>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</si>
  <si>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</si>
  <si>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</si>
  <si>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</si>
  <si>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</si>
  <si>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</si>
  <si>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</si>
  <si>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</si>
  <si>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</si>
  <si>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</si>
  <si>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</si>
  <si>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</si>
  <si>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</si>
  <si>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</si>
  <si>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</si>
  <si>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</si>
  <si>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</si>
  <si>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</si>
  <si>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</si>
  <si>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</si>
  <si>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</si>
  <si>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</si>
  <si>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</si>
  <si>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</si>
  <si>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</si>
  <si>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</si>
  <si>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</si>
  <si>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</si>
  <si>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</si>
  <si>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</si>
  <si>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</si>
  <si>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</si>
  <si>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</si>
  <si>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</si>
  <si>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</si>
  <si>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</si>
  <si>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</si>
  <si>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</si>
  <si>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</si>
  <si>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</si>
  <si>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</si>
  <si>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</si>
  <si>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</si>
  <si>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</si>
  <si>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</si>
  <si>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</si>
  <si>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</si>
  <si>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</si>
  <si>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</si>
  <si>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</si>
  <si>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</si>
  <si>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</si>
  <si>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</si>
  <si>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</si>
  <si>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</si>
  <si>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</si>
  <si>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</si>
  <si>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</si>
  <si>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</si>
  <si>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</si>
  <si>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</si>
  <si>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</si>
  <si>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</si>
  <si>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</si>
  <si>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</si>
  <si>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</si>
  <si>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</si>
  <si>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</si>
  <si>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</si>
  <si>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</si>
  <si>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</si>
  <si>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</si>
  <si>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</si>
  <si>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</si>
  <si>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</si>
  <si>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</si>
  <si>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</si>
  <si>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</si>
  <si>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</si>
  <si>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</si>
  <si>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</si>
  <si>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</si>
  <si>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</si>
  <si>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</si>
  <si>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</si>
  <si>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</si>
  <si>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</si>
  <si>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</si>
  <si>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</si>
  <si>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</si>
  <si>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</si>
  <si>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</si>
  <si>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</si>
  <si>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</si>
  <si>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</si>
  <si>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</si>
  <si>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</si>
  <si>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</si>
  <si>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</si>
  <si>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</si>
  <si>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</si>
  <si>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</si>
  <si>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</si>
  <si>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</si>
  <si>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</si>
  <si>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</si>
  <si>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</si>
  <si>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</si>
  <si>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</si>
  <si>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</si>
  <si>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</si>
  <si>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</si>
  <si>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</si>
  <si>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</si>
  <si>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</si>
  <si>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</si>
  <si>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</si>
  <si>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</si>
  <si>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</si>
  <si>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</si>
  <si>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</si>
  <si>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</si>
  <si>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</si>
  <si>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</si>
  <si>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</si>
  <si>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</si>
  <si>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</si>
  <si>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</si>
  <si>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36006</t>
  </si>
  <si>
    <t>HOOGLEDE</t>
  </si>
  <si>
    <t>Paarden&amp;pony's 200 - 600 kg</t>
  </si>
  <si>
    <t>Paarden&amp;pony's &lt; 200 kg</t>
  </si>
  <si>
    <t>Fluvius</t>
  </si>
  <si>
    <t xml:space="preserve">Bron: </t>
  </si>
  <si>
    <t>referentietaak LNE (2017); Jaarverslag De Lijn</t>
  </si>
  <si>
    <t>interne verbrandingsmotor</t>
  </si>
  <si>
    <t>WKK interne verbrandinsgmotor (gas)</t>
  </si>
  <si>
    <t>Infrax 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</si>
</sst>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6"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6"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6"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6"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5"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6"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0" fontId="113" fillId="0" borderId="0"/>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31"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6"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30"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3" fillId="0" borderId="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30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99" fillId="0" borderId="0" xfId="5" applyNumberFormat="1" applyFont="1" applyFill="1" applyBorder="1" applyAlignment="1">
      <alignment horizontal="right" wrapText="1"/>
    </xf>
    <xf numFmtId="176"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943252B7-470E-4354-9ADA-7CEB8B6C041D}"/>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704</v>
      </c>
      <c r="B2" s="388"/>
      <c r="C2" s="389"/>
    </row>
    <row r="3" spans="1:7" s="11" customFormat="1" ht="15" customHeight="1">
      <c r="A3" s="93"/>
      <c r="B3" s="74"/>
      <c r="C3" s="94"/>
    </row>
    <row r="4" spans="1:7" s="11" customFormat="1" ht="15.75" customHeight="1" thickBot="1">
      <c r="A4" s="105" t="s">
        <v>933</v>
      </c>
      <c r="B4" s="106"/>
      <c r="C4" s="107"/>
    </row>
    <row r="5" spans="1:7" s="382" customFormat="1" ht="15.75" customHeight="1">
      <c r="A5" s="379" t="s">
        <v>0</v>
      </c>
      <c r="B5" s="380"/>
      <c r="C5" s="381"/>
    </row>
    <row r="6" spans="1:7" s="382" customFormat="1" ht="15" customHeight="1">
      <c r="A6" s="383" t="str">
        <f>txtNIS</f>
        <v>36006</v>
      </c>
      <c r="B6" s="384"/>
      <c r="C6" s="385"/>
    </row>
    <row r="7" spans="1:7" s="382" customFormat="1" ht="15.75" customHeight="1">
      <c r="A7" s="386" t="str">
        <f>txtMunicipality</f>
        <v>HOOGLEDE</v>
      </c>
      <c r="B7" s="384"/>
      <c r="C7" s="385"/>
    </row>
    <row r="8" spans="1:7" ht="15.75" thickBot="1">
      <c r="A8" s="45"/>
      <c r="B8" s="108"/>
      <c r="C8" s="109"/>
    </row>
    <row r="9" spans="1:7" s="375" customFormat="1" ht="15.75" thickBot="1">
      <c r="A9" s="399" t="s">
        <v>344</v>
      </c>
      <c r="B9" s="402"/>
      <c r="C9" s="403"/>
    </row>
    <row r="10" spans="1:7" s="15" customFormat="1" ht="57.75" customHeight="1" thickBot="1">
      <c r="A10" s="1049" t="s">
        <v>969</v>
      </c>
      <c r="B10" s="1050"/>
      <c r="C10" s="1051"/>
    </row>
    <row r="11" spans="1:7" s="376" customFormat="1" ht="15.75" thickBot="1">
      <c r="A11" s="399" t="s">
        <v>347</v>
      </c>
      <c r="B11" s="402"/>
      <c r="C11" s="403"/>
      <c r="G11" s="377"/>
    </row>
    <row r="12" spans="1:7">
      <c r="A12" s="44"/>
      <c r="B12" s="43"/>
      <c r="C12" s="96"/>
    </row>
    <row r="13" spans="1:7" s="376" customFormat="1">
      <c r="A13" s="753" t="s">
        <v>610</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348</v>
      </c>
      <c r="B16" s="1052" t="s">
        <v>515</v>
      </c>
      <c r="C16" s="1053"/>
    </row>
    <row r="17" spans="1:3" s="15" customFormat="1" ht="15.75">
      <c r="A17" s="98"/>
      <c r="B17" s="70"/>
      <c r="C17" s="99"/>
    </row>
    <row r="18" spans="1:3">
      <c r="A18" s="95" t="s">
        <v>351</v>
      </c>
      <c r="B18" s="69" t="s">
        <v>363</v>
      </c>
      <c r="C18" s="100" t="s">
        <v>362</v>
      </c>
    </row>
    <row r="19" spans="1:3" s="332" customFormat="1">
      <c r="A19" s="366" t="s">
        <v>349</v>
      </c>
      <c r="B19" s="367" t="s">
        <v>689</v>
      </c>
      <c r="C19" s="368" t="s">
        <v>513</v>
      </c>
    </row>
    <row r="20" spans="1:3" s="332" customFormat="1">
      <c r="A20" s="369"/>
      <c r="B20" s="329"/>
      <c r="C20" s="370"/>
    </row>
    <row r="21" spans="1:3" s="332" customFormat="1">
      <c r="A21" s="371" t="s">
        <v>350</v>
      </c>
      <c r="B21" s="367" t="s">
        <v>510</v>
      </c>
      <c r="C21" s="368" t="s">
        <v>514</v>
      </c>
    </row>
    <row r="22" spans="1:3" s="332" customFormat="1">
      <c r="A22" s="372"/>
      <c r="B22" s="329"/>
      <c r="C22" s="370"/>
    </row>
    <row r="23" spans="1:3" s="332" customFormat="1" ht="30">
      <c r="A23" s="366" t="s">
        <v>431</v>
      </c>
      <c r="B23" s="438" t="s">
        <v>435</v>
      </c>
      <c r="C23" s="368" t="s">
        <v>511</v>
      </c>
    </row>
    <row r="24" spans="1:3" s="332" customFormat="1">
      <c r="A24" s="372"/>
      <c r="B24" s="329"/>
      <c r="C24" s="370"/>
    </row>
    <row r="25" spans="1:3" s="332" customFormat="1">
      <c r="A25" s="366" t="s">
        <v>433</v>
      </c>
      <c r="B25" s="367" t="s">
        <v>432</v>
      </c>
      <c r="C25" s="368" t="s">
        <v>512</v>
      </c>
    </row>
    <row r="26" spans="1:3" s="332" customFormat="1">
      <c r="A26" s="372"/>
      <c r="B26" s="329"/>
      <c r="C26" s="370"/>
    </row>
    <row r="27" spans="1:3" s="332" customFormat="1">
      <c r="A27" s="366" t="s">
        <v>405</v>
      </c>
      <c r="B27" s="367" t="s">
        <v>430</v>
      </c>
      <c r="C27" s="368"/>
    </row>
    <row r="28" spans="1:3" s="332" customFormat="1">
      <c r="A28" s="372"/>
      <c r="B28" s="329" t="s">
        <v>567</v>
      </c>
      <c r="C28" s="370"/>
    </row>
    <row r="29" spans="1:3" ht="15.75" thickBot="1">
      <c r="A29" s="44"/>
      <c r="B29" s="43"/>
      <c r="C29" s="96"/>
    </row>
    <row r="30" spans="1:3" s="375" customFormat="1" ht="15.75" thickBot="1">
      <c r="A30" s="399" t="s">
        <v>360</v>
      </c>
      <c r="B30" s="400"/>
      <c r="C30" s="401"/>
    </row>
    <row r="31" spans="1:3" s="15" customFormat="1" ht="15.75">
      <c r="A31" s="98"/>
      <c r="B31" s="71"/>
      <c r="C31" s="102"/>
    </row>
    <row r="32" spans="1:3" s="15" customFormat="1">
      <c r="A32" s="103" t="s">
        <v>361</v>
      </c>
      <c r="B32" s="73" t="s">
        <v>363</v>
      </c>
      <c r="C32" s="104"/>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463</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5" customFormat="1" ht="15.75">
      <c r="A3" s="98"/>
      <c r="B3" s="70"/>
      <c r="C3" s="99"/>
    </row>
    <row r="4" spans="1:3" s="326" customFormat="1">
      <c r="A4" s="383" t="s">
        <v>351</v>
      </c>
      <c r="B4" s="405" t="s">
        <v>363</v>
      </c>
      <c r="C4" s="406" t="s">
        <v>362</v>
      </c>
    </row>
    <row r="5" spans="1:3" s="326" customFormat="1">
      <c r="A5" s="407"/>
      <c r="B5" s="332"/>
      <c r="C5" s="359"/>
    </row>
    <row r="6" spans="1:3" s="326" customFormat="1">
      <c r="A6" s="408" t="s">
        <v>346</v>
      </c>
      <c r="B6" s="409" t="s">
        <v>691</v>
      </c>
      <c r="C6" s="410" t="s">
        <v>345</v>
      </c>
    </row>
    <row r="7" spans="1:3" s="326" customFormat="1">
      <c r="A7" s="411" t="s">
        <v>690</v>
      </c>
      <c r="B7" s="412" t="s">
        <v>596</v>
      </c>
      <c r="C7" s="413" t="s">
        <v>595</v>
      </c>
    </row>
    <row r="8" spans="1:3" s="326" customFormat="1">
      <c r="A8" s="440"/>
      <c r="B8" s="412"/>
      <c r="C8" s="413"/>
    </row>
    <row r="9" spans="1:3" ht="21">
      <c r="A9" s="126" t="s">
        <v>464</v>
      </c>
      <c r="B9" s="125"/>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54" t="s">
        <v>210</v>
      </c>
      <c r="B2" s="1054"/>
      <c r="C2" s="1054"/>
      <c r="D2" s="59"/>
      <c r="E2" s="59"/>
      <c r="F2" s="59"/>
      <c r="G2" s="59"/>
      <c r="H2" s="60"/>
      <c r="I2" s="60"/>
      <c r="J2" s="61"/>
      <c r="K2" s="61"/>
      <c r="L2" s="60"/>
      <c r="M2" s="60"/>
      <c r="N2" s="60"/>
      <c r="O2" s="60"/>
      <c r="P2" s="60"/>
      <c r="Q2" s="60"/>
      <c r="R2" s="60"/>
    </row>
    <row r="3" spans="1:19">
      <c r="A3" s="1055"/>
      <c r="B3" s="1055"/>
      <c r="C3" s="1055"/>
      <c r="D3" s="1055"/>
      <c r="E3" s="1055"/>
      <c r="F3" s="1055"/>
      <c r="G3" s="1055"/>
      <c r="H3" s="1055"/>
      <c r="I3" s="1055"/>
      <c r="J3" s="1055"/>
      <c r="K3" s="1055"/>
      <c r="L3" s="1055"/>
      <c r="M3" s="1055"/>
      <c r="N3" s="1055"/>
      <c r="O3" s="1055"/>
      <c r="P3" s="1055"/>
      <c r="Q3" s="1055"/>
      <c r="R3" s="1055"/>
    </row>
    <row r="4" spans="1:19" ht="15.75" thickBot="1">
      <c r="A4" s="442"/>
      <c r="B4" s="442"/>
      <c r="C4" s="63"/>
      <c r="D4" s="63"/>
      <c r="E4" s="63"/>
      <c r="F4" s="63"/>
      <c r="G4" s="63"/>
      <c r="H4" s="63"/>
      <c r="I4" s="63"/>
      <c r="J4" s="63"/>
      <c r="K4" s="63"/>
      <c r="L4" s="63"/>
      <c r="M4" s="63"/>
      <c r="N4" s="63"/>
      <c r="O4" s="63"/>
      <c r="P4" s="63"/>
      <c r="Q4" s="63"/>
      <c r="R4" s="63"/>
    </row>
    <row r="5" spans="1:19" ht="16.5" thickBot="1">
      <c r="A5" s="1056" t="s">
        <v>211</v>
      </c>
      <c r="B5" s="780"/>
      <c r="C5" s="1059" t="s">
        <v>330</v>
      </c>
      <c r="D5" s="1060"/>
      <c r="E5" s="1060"/>
      <c r="F5" s="1060"/>
      <c r="G5" s="1060"/>
      <c r="H5" s="1060"/>
      <c r="I5" s="1060"/>
      <c r="J5" s="1060"/>
      <c r="K5" s="1060"/>
      <c r="L5" s="1060"/>
      <c r="M5" s="1060"/>
      <c r="N5" s="1060"/>
      <c r="O5" s="1060"/>
      <c r="P5" s="1060"/>
      <c r="Q5" s="1060"/>
      <c r="R5" s="1061"/>
    </row>
    <row r="6" spans="1:19" ht="16.5" thickTop="1">
      <c r="A6" s="1057"/>
      <c r="B6" s="781"/>
      <c r="C6" s="1062" t="s">
        <v>20</v>
      </c>
      <c r="D6" s="1064" t="s">
        <v>189</v>
      </c>
      <c r="E6" s="1066" t="s">
        <v>190</v>
      </c>
      <c r="F6" s="1067"/>
      <c r="G6" s="1067"/>
      <c r="H6" s="1067"/>
      <c r="I6" s="1067"/>
      <c r="J6" s="1067"/>
      <c r="K6" s="1067"/>
      <c r="L6" s="1068"/>
      <c r="M6" s="1066" t="s">
        <v>191</v>
      </c>
      <c r="N6" s="1067"/>
      <c r="O6" s="1067"/>
      <c r="P6" s="1067"/>
      <c r="Q6" s="1067"/>
      <c r="R6" s="1069" t="s">
        <v>109</v>
      </c>
    </row>
    <row r="7" spans="1:19" ht="45.75" thickBot="1">
      <c r="A7" s="1058"/>
      <c r="B7" s="782"/>
      <c r="C7" s="1063"/>
      <c r="D7" s="1065"/>
      <c r="E7" s="955" t="s">
        <v>192</v>
      </c>
      <c r="F7" s="955" t="s">
        <v>193</v>
      </c>
      <c r="G7" s="64" t="s">
        <v>194</v>
      </c>
      <c r="H7" s="955" t="s">
        <v>195</v>
      </c>
      <c r="I7" s="955" t="s">
        <v>113</v>
      </c>
      <c r="J7" s="955" t="s">
        <v>196</v>
      </c>
      <c r="K7" s="439" t="s">
        <v>197</v>
      </c>
      <c r="L7" s="439" t="s">
        <v>198</v>
      </c>
      <c r="M7" s="64" t="s">
        <v>199</v>
      </c>
      <c r="N7" s="65" t="s">
        <v>200</v>
      </c>
      <c r="O7" s="65" t="s">
        <v>201</v>
      </c>
      <c r="P7" s="65" t="s">
        <v>202</v>
      </c>
      <c r="Q7" s="66" t="s">
        <v>203</v>
      </c>
      <c r="R7" s="1070"/>
    </row>
    <row r="8" spans="1:19" ht="18.75" customHeight="1" thickTop="1">
      <c r="A8" s="788" t="s">
        <v>331</v>
      </c>
      <c r="B8" s="793"/>
      <c r="C8" s="1075"/>
      <c r="D8" s="1075"/>
      <c r="E8" s="1075"/>
      <c r="F8" s="1075"/>
      <c r="G8" s="1075"/>
      <c r="H8" s="1075"/>
      <c r="I8" s="1075"/>
      <c r="J8" s="1075"/>
      <c r="K8" s="1075"/>
      <c r="L8" s="1075"/>
      <c r="M8" s="1075"/>
      <c r="N8" s="1075"/>
      <c r="O8" s="1075"/>
      <c r="P8" s="1075"/>
      <c r="Q8" s="1075"/>
      <c r="R8" s="302"/>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7"/>
    </row>
    <row r="10" spans="1:19" s="443" customFormat="1">
      <c r="A10" s="790" t="s">
        <v>213</v>
      </c>
      <c r="B10" s="795"/>
      <c r="C10" s="674">
        <f ca="1">tertiair!B16+'openbare verlichting'!B8</f>
        <v>18485.890000000003</v>
      </c>
      <c r="D10" s="674">
        <f ca="1">tertiair!C16</f>
        <v>6888.2142857142853</v>
      </c>
      <c r="E10" s="674">
        <f ca="1">tertiair!D16</f>
        <v>14670.661722571429</v>
      </c>
      <c r="F10" s="674">
        <f>tertiair!E16</f>
        <v>163.53861232168822</v>
      </c>
      <c r="G10" s="674">
        <f ca="1">tertiair!F16</f>
        <v>2496.6094441295195</v>
      </c>
      <c r="H10" s="674">
        <f>tertiair!G16</f>
        <v>0</v>
      </c>
      <c r="I10" s="674">
        <f>tertiair!H16</f>
        <v>0</v>
      </c>
      <c r="J10" s="674">
        <f>tertiair!I16</f>
        <v>0</v>
      </c>
      <c r="K10" s="674">
        <f>tertiair!J16</f>
        <v>0</v>
      </c>
      <c r="L10" s="674">
        <f>tertiair!K16</f>
        <v>0</v>
      </c>
      <c r="M10" s="674">
        <f ca="1">tertiair!L16</f>
        <v>0</v>
      </c>
      <c r="N10" s="674">
        <f>tertiair!M16</f>
        <v>0</v>
      </c>
      <c r="O10" s="674">
        <f ca="1">tertiair!N16</f>
        <v>0</v>
      </c>
      <c r="P10" s="674">
        <f>tertiair!O16</f>
        <v>0</v>
      </c>
      <c r="Q10" s="675">
        <f>tertiair!P16</f>
        <v>95.333333333333343</v>
      </c>
      <c r="R10" s="677">
        <f ca="1">SUM(C10:Q10)</f>
        <v>42800.247398070263</v>
      </c>
      <c r="S10" s="67"/>
    </row>
    <row r="11" spans="1:19" s="443" customFormat="1">
      <c r="A11" s="789" t="s">
        <v>214</v>
      </c>
      <c r="B11" s="794"/>
      <c r="C11" s="674">
        <f>huishoudens!B8</f>
        <v>18629.849755512507</v>
      </c>
      <c r="D11" s="674">
        <f>huishoudens!C8</f>
        <v>0</v>
      </c>
      <c r="E11" s="674">
        <f>huishoudens!D8</f>
        <v>37141.818164000004</v>
      </c>
      <c r="F11" s="674">
        <f>huishoudens!E8</f>
        <v>766.93535909378397</v>
      </c>
      <c r="G11" s="674">
        <f>huishoudens!F8</f>
        <v>26178.874978750166</v>
      </c>
      <c r="H11" s="674">
        <f>huishoudens!G8</f>
        <v>0</v>
      </c>
      <c r="I11" s="674">
        <f>huishoudens!H8</f>
        <v>0</v>
      </c>
      <c r="J11" s="674">
        <f>huishoudens!I8</f>
        <v>0</v>
      </c>
      <c r="K11" s="674">
        <f>huishoudens!J8</f>
        <v>589.48189355525517</v>
      </c>
      <c r="L11" s="674">
        <f>huishoudens!K8</f>
        <v>0</v>
      </c>
      <c r="M11" s="674">
        <f>huishoudens!L8</f>
        <v>0</v>
      </c>
      <c r="N11" s="674">
        <f>huishoudens!M8</f>
        <v>0</v>
      </c>
      <c r="O11" s="674">
        <f>huishoudens!N8</f>
        <v>4609.1559476143093</v>
      </c>
      <c r="P11" s="674">
        <f>huishoudens!O8</f>
        <v>51.589999999999996</v>
      </c>
      <c r="Q11" s="675">
        <f>huishoudens!P8</f>
        <v>209.73333333333335</v>
      </c>
      <c r="R11" s="677">
        <f>SUM(C11:Q11)</f>
        <v>88177.43943185937</v>
      </c>
      <c r="S11" s="67"/>
    </row>
    <row r="12" spans="1:19" s="443" customFormat="1">
      <c r="A12" s="789" t="s">
        <v>496</v>
      </c>
      <c r="B12" s="794"/>
      <c r="C12" s="674">
        <f>'Eigen openbare verlichting'!B15</f>
        <v>0</v>
      </c>
      <c r="D12" s="674"/>
      <c r="E12" s="674"/>
      <c r="F12" s="674"/>
      <c r="G12" s="674"/>
      <c r="H12" s="674"/>
      <c r="I12" s="674"/>
      <c r="J12" s="674"/>
      <c r="K12" s="674"/>
      <c r="L12" s="674"/>
      <c r="M12" s="674"/>
      <c r="N12" s="674"/>
      <c r="O12" s="674"/>
      <c r="P12" s="674"/>
      <c r="Q12" s="674"/>
      <c r="R12" s="677">
        <f>SUM(C12:Q12)</f>
        <v>0</v>
      </c>
      <c r="S12" s="67"/>
    </row>
    <row r="13" spans="1:19" s="443" customFormat="1">
      <c r="A13" s="789" t="s">
        <v>640</v>
      </c>
      <c r="B13" s="798" t="s">
        <v>638</v>
      </c>
      <c r="C13" s="674">
        <f>industrie!B18</f>
        <v>55264.46</v>
      </c>
      <c r="D13" s="674">
        <f>industrie!C18</f>
        <v>0</v>
      </c>
      <c r="E13" s="674">
        <f>industrie!D18</f>
        <v>27555.813163999999</v>
      </c>
      <c r="F13" s="674">
        <f>industrie!E18</f>
        <v>796.26644267215545</v>
      </c>
      <c r="G13" s="674">
        <f>industrie!F18</f>
        <v>24585.785845884482</v>
      </c>
      <c r="H13" s="674">
        <f>industrie!G18</f>
        <v>0</v>
      </c>
      <c r="I13" s="674">
        <f>industrie!H18</f>
        <v>0</v>
      </c>
      <c r="J13" s="674">
        <f>industrie!I18</f>
        <v>0</v>
      </c>
      <c r="K13" s="674">
        <f>industrie!J18</f>
        <v>460.43536818042736</v>
      </c>
      <c r="L13" s="674">
        <f>industrie!K18</f>
        <v>0</v>
      </c>
      <c r="M13" s="674">
        <f>industrie!L18</f>
        <v>0</v>
      </c>
      <c r="N13" s="674">
        <f>industrie!M18</f>
        <v>0</v>
      </c>
      <c r="O13" s="674">
        <f>industrie!N18</f>
        <v>2058.2425096526213</v>
      </c>
      <c r="P13" s="674">
        <f>industrie!O18</f>
        <v>0</v>
      </c>
      <c r="Q13" s="675">
        <f>industrie!P18</f>
        <v>0</v>
      </c>
      <c r="R13" s="677">
        <f>SUM(C13:Q13)</f>
        <v>110721.00333038969</v>
      </c>
      <c r="S13" s="67"/>
    </row>
    <row r="14" spans="1:19" s="443" customFormat="1">
      <c r="A14" s="789"/>
      <c r="B14" s="798" t="s">
        <v>639</v>
      </c>
      <c r="C14" s="674"/>
      <c r="D14" s="674"/>
      <c r="E14" s="674"/>
      <c r="F14" s="674"/>
      <c r="G14" s="674"/>
      <c r="H14" s="674"/>
      <c r="I14" s="674"/>
      <c r="J14" s="674"/>
      <c r="K14" s="674"/>
      <c r="L14" s="674"/>
      <c r="M14" s="674"/>
      <c r="N14" s="674"/>
      <c r="O14" s="674"/>
      <c r="P14" s="674"/>
      <c r="Q14" s="674"/>
      <c r="R14" s="677"/>
      <c r="S14" s="67"/>
    </row>
    <row r="15" spans="1:19" s="443" customFormat="1" ht="15" thickBot="1">
      <c r="A15" s="965" t="s">
        <v>887</v>
      </c>
      <c r="B15" s="966"/>
      <c r="C15" s="967"/>
      <c r="D15" s="967"/>
      <c r="E15" s="967"/>
      <c r="F15" s="967"/>
      <c r="G15" s="967"/>
      <c r="H15" s="967"/>
      <c r="I15" s="967"/>
      <c r="J15" s="967"/>
      <c r="K15" s="967"/>
      <c r="L15" s="967"/>
      <c r="M15" s="967"/>
      <c r="N15" s="967"/>
      <c r="O15" s="967"/>
      <c r="P15" s="967"/>
      <c r="Q15" s="968"/>
      <c r="R15" s="676"/>
      <c r="S15" s="67"/>
    </row>
    <row r="16" spans="1:19" s="443" customFormat="1" ht="15.75" thickBot="1">
      <c r="A16" s="678" t="s">
        <v>215</v>
      </c>
      <c r="B16" s="796"/>
      <c r="C16" s="707">
        <f ca="1">SUM(C9:C15)</f>
        <v>92380.199755512498</v>
      </c>
      <c r="D16" s="707">
        <f t="shared" ref="D16:R16" ca="1" si="0">SUM(D9:D15)</f>
        <v>6888.2142857142853</v>
      </c>
      <c r="E16" s="707">
        <f t="shared" ca="1" si="0"/>
        <v>79368.293050571432</v>
      </c>
      <c r="F16" s="707">
        <f t="shared" si="0"/>
        <v>1726.7404140876276</v>
      </c>
      <c r="G16" s="707">
        <f t="shared" ca="1" si="0"/>
        <v>53261.270268764172</v>
      </c>
      <c r="H16" s="707">
        <f t="shared" si="0"/>
        <v>0</v>
      </c>
      <c r="I16" s="707">
        <f t="shared" si="0"/>
        <v>0</v>
      </c>
      <c r="J16" s="707">
        <f t="shared" si="0"/>
        <v>0</v>
      </c>
      <c r="K16" s="707">
        <f t="shared" si="0"/>
        <v>1049.9172617356826</v>
      </c>
      <c r="L16" s="707">
        <f t="shared" si="0"/>
        <v>0</v>
      </c>
      <c r="M16" s="707">
        <f t="shared" ca="1" si="0"/>
        <v>0</v>
      </c>
      <c r="N16" s="707">
        <f t="shared" si="0"/>
        <v>0</v>
      </c>
      <c r="O16" s="707">
        <f t="shared" ca="1" si="0"/>
        <v>6667.3984572669306</v>
      </c>
      <c r="P16" s="707">
        <f t="shared" si="0"/>
        <v>51.589999999999996</v>
      </c>
      <c r="Q16" s="707">
        <f t="shared" si="0"/>
        <v>305.06666666666672</v>
      </c>
      <c r="R16" s="707">
        <f t="shared" ca="1" si="0"/>
        <v>241698.69016031933</v>
      </c>
      <c r="S16" s="67"/>
    </row>
    <row r="17" spans="1:19" s="443" customFormat="1" ht="15.75">
      <c r="A17" s="791" t="s">
        <v>216</v>
      </c>
      <c r="B17" s="711"/>
      <c r="C17" s="1076"/>
      <c r="D17" s="1076"/>
      <c r="E17" s="1076"/>
      <c r="F17" s="1076"/>
      <c r="G17" s="1076"/>
      <c r="H17" s="1076"/>
      <c r="I17" s="1076"/>
      <c r="J17" s="1076"/>
      <c r="K17" s="1076"/>
      <c r="L17" s="1076"/>
      <c r="M17" s="1076"/>
      <c r="N17" s="1076"/>
      <c r="O17" s="1076"/>
      <c r="P17" s="1076"/>
      <c r="Q17" s="1076"/>
      <c r="R17" s="679"/>
      <c r="S17" s="67"/>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7"/>
    </row>
    <row r="19" spans="1:19" s="443" customFormat="1">
      <c r="A19" s="789" t="s">
        <v>218</v>
      </c>
      <c r="B19" s="794"/>
      <c r="C19" s="674">
        <f>transport!B54</f>
        <v>2.7183418311467005</v>
      </c>
      <c r="D19" s="674">
        <f>transport!C54</f>
        <v>0</v>
      </c>
      <c r="E19" s="674">
        <f>transport!D54</f>
        <v>0</v>
      </c>
      <c r="F19" s="674">
        <f>transport!E54</f>
        <v>0</v>
      </c>
      <c r="G19" s="674">
        <f>transport!F54</f>
        <v>0</v>
      </c>
      <c r="H19" s="674">
        <f>transport!G54</f>
        <v>589.71696850033345</v>
      </c>
      <c r="I19" s="674">
        <f>transport!H54</f>
        <v>0</v>
      </c>
      <c r="J19" s="674">
        <f>transport!I54</f>
        <v>0</v>
      </c>
      <c r="K19" s="674">
        <f>transport!J54</f>
        <v>0</v>
      </c>
      <c r="L19" s="674">
        <f>transport!K54</f>
        <v>0</v>
      </c>
      <c r="M19" s="674">
        <f>transport!L54</f>
        <v>0</v>
      </c>
      <c r="N19" s="674">
        <f>transport!M54</f>
        <v>25.249415341452391</v>
      </c>
      <c r="O19" s="674">
        <f>transport!N54</f>
        <v>0</v>
      </c>
      <c r="P19" s="674">
        <f>transport!O54</f>
        <v>0</v>
      </c>
      <c r="Q19" s="675">
        <f>transport!P54</f>
        <v>0</v>
      </c>
      <c r="R19" s="677">
        <f>SUM(C19:Q19)</f>
        <v>617.68472567293259</v>
      </c>
      <c r="S19" s="67"/>
    </row>
    <row r="20" spans="1:19" s="443" customFormat="1">
      <c r="A20" s="789" t="s">
        <v>296</v>
      </c>
      <c r="B20" s="794"/>
      <c r="C20" s="674">
        <f>transport!B14</f>
        <v>0.78114211372442832</v>
      </c>
      <c r="D20" s="674">
        <f>transport!C14</f>
        <v>0</v>
      </c>
      <c r="E20" s="674">
        <f>transport!D14</f>
        <v>2.7830758961468938</v>
      </c>
      <c r="F20" s="674">
        <f>transport!E14</f>
        <v>283.11166109587612</v>
      </c>
      <c r="G20" s="674">
        <f>transport!F14</f>
        <v>0</v>
      </c>
      <c r="H20" s="674">
        <f>transport!G14</f>
        <v>65091.230505678344</v>
      </c>
      <c r="I20" s="674">
        <f>transport!H14</f>
        <v>9054.712951581796</v>
      </c>
      <c r="J20" s="674">
        <f>transport!I14</f>
        <v>0</v>
      </c>
      <c r="K20" s="674">
        <f>transport!J14</f>
        <v>0</v>
      </c>
      <c r="L20" s="674">
        <f>transport!K14</f>
        <v>0</v>
      </c>
      <c r="M20" s="674">
        <f>transport!L14</f>
        <v>0</v>
      </c>
      <c r="N20" s="674">
        <f>transport!M14</f>
        <v>3220.8202762627716</v>
      </c>
      <c r="O20" s="674">
        <f>transport!N14</f>
        <v>0</v>
      </c>
      <c r="P20" s="674">
        <f>transport!O14</f>
        <v>0</v>
      </c>
      <c r="Q20" s="675">
        <f>transport!P14</f>
        <v>0</v>
      </c>
      <c r="R20" s="677">
        <f>SUM(C20:Q20)</f>
        <v>77653.439612628674</v>
      </c>
      <c r="S20" s="67"/>
    </row>
    <row r="21" spans="1:19" s="443" customFormat="1" ht="15" thickBot="1">
      <c r="A21" s="811" t="s">
        <v>888</v>
      </c>
      <c r="B21" s="966"/>
      <c r="C21" s="967"/>
      <c r="D21" s="967"/>
      <c r="E21" s="967"/>
      <c r="F21" s="967"/>
      <c r="G21" s="967"/>
      <c r="H21" s="967"/>
      <c r="I21" s="967"/>
      <c r="J21" s="967"/>
      <c r="K21" s="967"/>
      <c r="L21" s="967"/>
      <c r="M21" s="967"/>
      <c r="N21" s="967"/>
      <c r="O21" s="967"/>
      <c r="P21" s="967"/>
      <c r="Q21" s="968"/>
      <c r="R21" s="676"/>
      <c r="S21" s="67"/>
    </row>
    <row r="22" spans="1:19" s="443" customFormat="1" ht="15.75" thickBot="1">
      <c r="A22" s="680" t="s">
        <v>219</v>
      </c>
      <c r="B22" s="797"/>
      <c r="C22" s="792">
        <f>SUM(C18:C21)</f>
        <v>3.4994839448711286</v>
      </c>
      <c r="D22" s="792">
        <f t="shared" ref="D22:R22" si="1">SUM(D18:D21)</f>
        <v>0</v>
      </c>
      <c r="E22" s="792">
        <f t="shared" si="1"/>
        <v>2.7830758961468938</v>
      </c>
      <c r="F22" s="792">
        <f t="shared" si="1"/>
        <v>283.11166109587612</v>
      </c>
      <c r="G22" s="792">
        <f t="shared" si="1"/>
        <v>0</v>
      </c>
      <c r="H22" s="792">
        <f t="shared" si="1"/>
        <v>65680.947474178683</v>
      </c>
      <c r="I22" s="792">
        <f t="shared" si="1"/>
        <v>9054.712951581796</v>
      </c>
      <c r="J22" s="792">
        <f t="shared" si="1"/>
        <v>0</v>
      </c>
      <c r="K22" s="792">
        <f t="shared" si="1"/>
        <v>0</v>
      </c>
      <c r="L22" s="792">
        <f t="shared" si="1"/>
        <v>0</v>
      </c>
      <c r="M22" s="792">
        <f t="shared" si="1"/>
        <v>0</v>
      </c>
      <c r="N22" s="792">
        <f t="shared" si="1"/>
        <v>3246.0696916042239</v>
      </c>
      <c r="O22" s="792">
        <f t="shared" si="1"/>
        <v>0</v>
      </c>
      <c r="P22" s="792">
        <f t="shared" si="1"/>
        <v>0</v>
      </c>
      <c r="Q22" s="792">
        <f t="shared" si="1"/>
        <v>0</v>
      </c>
      <c r="R22" s="792">
        <f t="shared" si="1"/>
        <v>78271.124338301612</v>
      </c>
      <c r="S22" s="67"/>
    </row>
    <row r="23" spans="1:19" s="443" customFormat="1" ht="15.75">
      <c r="A23" s="791" t="s">
        <v>226</v>
      </c>
      <c r="B23" s="711"/>
      <c r="C23" s="1076"/>
      <c r="D23" s="1076"/>
      <c r="E23" s="1076"/>
      <c r="F23" s="1076"/>
      <c r="G23" s="1076"/>
      <c r="H23" s="1076"/>
      <c r="I23" s="1076"/>
      <c r="J23" s="1076"/>
      <c r="K23" s="1076"/>
      <c r="L23" s="1076"/>
      <c r="M23" s="1076"/>
      <c r="N23" s="1076"/>
      <c r="O23" s="1076"/>
      <c r="P23" s="1076"/>
      <c r="Q23" s="1076"/>
      <c r="R23" s="679"/>
      <c r="S23" s="67"/>
    </row>
    <row r="24" spans="1:19" s="443" customFormat="1">
      <c r="A24" s="789" t="s">
        <v>633</v>
      </c>
      <c r="B24" s="794"/>
      <c r="C24" s="674">
        <f>+landbouw!B8</f>
        <v>4630.4430000000002</v>
      </c>
      <c r="D24" s="674">
        <f>+landbouw!C8</f>
        <v>0</v>
      </c>
      <c r="E24" s="674">
        <f>+landbouw!D8</f>
        <v>3005.3756040000003</v>
      </c>
      <c r="F24" s="674">
        <f>+landbouw!E8</f>
        <v>48.491001546029821</v>
      </c>
      <c r="G24" s="674">
        <f>+landbouw!F8</f>
        <v>19821.814429446895</v>
      </c>
      <c r="H24" s="674">
        <f>+landbouw!G8</f>
        <v>0</v>
      </c>
      <c r="I24" s="674">
        <f>+landbouw!H8</f>
        <v>0</v>
      </c>
      <c r="J24" s="674">
        <f>+landbouw!I8</f>
        <v>0</v>
      </c>
      <c r="K24" s="674">
        <f>+landbouw!J8</f>
        <v>413.54006326864231</v>
      </c>
      <c r="L24" s="674">
        <f>+landbouw!K8</f>
        <v>0</v>
      </c>
      <c r="M24" s="674">
        <f>+landbouw!L8</f>
        <v>0</v>
      </c>
      <c r="N24" s="674">
        <f>+landbouw!M8</f>
        <v>0</v>
      </c>
      <c r="O24" s="674">
        <f>+landbouw!N8</f>
        <v>0</v>
      </c>
      <c r="P24" s="674">
        <f>+landbouw!O8</f>
        <v>0</v>
      </c>
      <c r="Q24" s="675">
        <f>+landbouw!P8</f>
        <v>0</v>
      </c>
      <c r="R24" s="677">
        <f>SUM(C24:Q24)</f>
        <v>27919.664098261568</v>
      </c>
      <c r="S24" s="67"/>
    </row>
    <row r="25" spans="1:19" s="443" customFormat="1" ht="15" thickBot="1">
      <c r="A25" s="811" t="s">
        <v>889</v>
      </c>
      <c r="B25" s="966"/>
      <c r="C25" s="967">
        <f>IF(Onbekend_ele_kWh="---",0,Onbekend_ele_kWh)/1000+IF(REST_rest_ele_kWh="---",0,REST_rest_ele_kWh)/1000</f>
        <v>1035.1610000000001</v>
      </c>
      <c r="D25" s="967"/>
      <c r="E25" s="967">
        <f>IF(onbekend_gas_kWh="---",0,onbekend_gas_kWh)/1000+IF(REST_rest_gas_kWh="---",0,REST_rest_gas_kWh)/1000</f>
        <v>489.69400000000002</v>
      </c>
      <c r="F25" s="967"/>
      <c r="G25" s="967"/>
      <c r="H25" s="967"/>
      <c r="I25" s="967"/>
      <c r="J25" s="967"/>
      <c r="K25" s="967"/>
      <c r="L25" s="967"/>
      <c r="M25" s="967"/>
      <c r="N25" s="967"/>
      <c r="O25" s="967"/>
      <c r="P25" s="967"/>
      <c r="Q25" s="968"/>
      <c r="R25" s="677">
        <f>SUM(C25:Q25)</f>
        <v>1524.855</v>
      </c>
      <c r="S25" s="67"/>
    </row>
    <row r="26" spans="1:19" s="443" customFormat="1" ht="15.75" thickBot="1">
      <c r="A26" s="680" t="s">
        <v>890</v>
      </c>
      <c r="B26" s="797"/>
      <c r="C26" s="792">
        <f>SUM(C24:C25)</f>
        <v>5665.6040000000003</v>
      </c>
      <c r="D26" s="792">
        <f t="shared" ref="D26:R26" si="2">SUM(D24:D25)</f>
        <v>0</v>
      </c>
      <c r="E26" s="792">
        <f t="shared" si="2"/>
        <v>3495.0696040000003</v>
      </c>
      <c r="F26" s="792">
        <f t="shared" si="2"/>
        <v>48.491001546029821</v>
      </c>
      <c r="G26" s="792">
        <f t="shared" si="2"/>
        <v>19821.814429446895</v>
      </c>
      <c r="H26" s="792">
        <f t="shared" si="2"/>
        <v>0</v>
      </c>
      <c r="I26" s="792">
        <f t="shared" si="2"/>
        <v>0</v>
      </c>
      <c r="J26" s="792">
        <f t="shared" si="2"/>
        <v>0</v>
      </c>
      <c r="K26" s="792">
        <f t="shared" si="2"/>
        <v>413.54006326864231</v>
      </c>
      <c r="L26" s="792">
        <f t="shared" si="2"/>
        <v>0</v>
      </c>
      <c r="M26" s="792">
        <f t="shared" si="2"/>
        <v>0</v>
      </c>
      <c r="N26" s="792">
        <f t="shared" si="2"/>
        <v>0</v>
      </c>
      <c r="O26" s="792">
        <f t="shared" si="2"/>
        <v>0</v>
      </c>
      <c r="P26" s="792">
        <f t="shared" si="2"/>
        <v>0</v>
      </c>
      <c r="Q26" s="792">
        <f t="shared" si="2"/>
        <v>0</v>
      </c>
      <c r="R26" s="792">
        <f t="shared" si="2"/>
        <v>29444.519098261568</v>
      </c>
      <c r="S26" s="67"/>
    </row>
    <row r="27" spans="1:19" s="443" customFormat="1" ht="17.25" thickTop="1" thickBot="1">
      <c r="A27" s="681" t="s">
        <v>109</v>
      </c>
      <c r="B27" s="784"/>
      <c r="C27" s="682">
        <f ca="1">C22+C16+C26</f>
        <v>98049.303239457382</v>
      </c>
      <c r="D27" s="682">
        <f t="shared" ref="D27:R27" ca="1" si="3">D22+D16+D26</f>
        <v>6888.2142857142853</v>
      </c>
      <c r="E27" s="682">
        <f t="shared" ca="1" si="3"/>
        <v>82866.145730467586</v>
      </c>
      <c r="F27" s="682">
        <f t="shared" si="3"/>
        <v>2058.3430767295335</v>
      </c>
      <c r="G27" s="682">
        <f t="shared" ca="1" si="3"/>
        <v>73083.084698211067</v>
      </c>
      <c r="H27" s="682">
        <f t="shared" si="3"/>
        <v>65680.947474178683</v>
      </c>
      <c r="I27" s="682">
        <f t="shared" si="3"/>
        <v>9054.712951581796</v>
      </c>
      <c r="J27" s="682">
        <f t="shared" si="3"/>
        <v>0</v>
      </c>
      <c r="K27" s="682">
        <f t="shared" si="3"/>
        <v>1463.457325004325</v>
      </c>
      <c r="L27" s="682">
        <f t="shared" si="3"/>
        <v>0</v>
      </c>
      <c r="M27" s="682">
        <f t="shared" ca="1" si="3"/>
        <v>0</v>
      </c>
      <c r="N27" s="682">
        <f t="shared" si="3"/>
        <v>3246.0696916042239</v>
      </c>
      <c r="O27" s="682">
        <f t="shared" ca="1" si="3"/>
        <v>6667.3984572669306</v>
      </c>
      <c r="P27" s="682">
        <f t="shared" si="3"/>
        <v>51.589999999999996</v>
      </c>
      <c r="Q27" s="682">
        <f t="shared" si="3"/>
        <v>305.06666666666672</v>
      </c>
      <c r="R27" s="682">
        <f t="shared" ca="1" si="3"/>
        <v>349414.33359688247</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77"/>
      <c r="B31" s="1077"/>
      <c r="C31" s="1077"/>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78"/>
      <c r="B33" s="1078"/>
      <c r="C33" s="1078"/>
      <c r="D33" s="1078"/>
      <c r="E33" s="1078"/>
      <c r="F33" s="1078"/>
      <c r="G33" s="1078"/>
      <c r="H33" s="1078"/>
      <c r="I33" s="1078"/>
      <c r="J33" s="1078"/>
      <c r="K33" s="1078"/>
      <c r="L33" s="1078"/>
      <c r="M33" s="1078"/>
      <c r="N33" s="1078"/>
      <c r="O33" s="1078"/>
      <c r="P33" s="1078"/>
      <c r="Q33" s="1078"/>
      <c r="R33" s="1078"/>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79"/>
      <c r="B35" s="799"/>
      <c r="C35" s="1081" t="s">
        <v>334</v>
      </c>
      <c r="D35" s="1082"/>
      <c r="E35" s="1082"/>
      <c r="F35" s="1082"/>
      <c r="G35" s="1082"/>
      <c r="H35" s="1082"/>
      <c r="I35" s="1082"/>
      <c r="J35" s="1082"/>
      <c r="K35" s="1082"/>
      <c r="L35" s="1082"/>
      <c r="M35" s="1082"/>
      <c r="N35" s="1082"/>
      <c r="O35" s="1082"/>
      <c r="P35" s="1082"/>
      <c r="Q35" s="1082"/>
      <c r="R35" s="1083"/>
    </row>
    <row r="36" spans="1:18" ht="16.5" thickTop="1">
      <c r="A36" s="1080"/>
      <c r="B36" s="800"/>
      <c r="C36" s="1084" t="s">
        <v>20</v>
      </c>
      <c r="D36" s="1086" t="s">
        <v>221</v>
      </c>
      <c r="E36" s="1088" t="s">
        <v>190</v>
      </c>
      <c r="F36" s="1089"/>
      <c r="G36" s="1089"/>
      <c r="H36" s="1089"/>
      <c r="I36" s="1089"/>
      <c r="J36" s="1089"/>
      <c r="K36" s="1089"/>
      <c r="L36" s="1090"/>
      <c r="M36" s="1088" t="s">
        <v>191</v>
      </c>
      <c r="N36" s="1089"/>
      <c r="O36" s="1089"/>
      <c r="P36" s="1089"/>
      <c r="Q36" s="1089"/>
      <c r="R36" s="1091" t="s">
        <v>109</v>
      </c>
    </row>
    <row r="37" spans="1:18" ht="45.75" thickBot="1">
      <c r="A37" s="1080"/>
      <c r="B37" s="800"/>
      <c r="C37" s="1085"/>
      <c r="D37" s="1087"/>
      <c r="E37" s="698" t="s">
        <v>192</v>
      </c>
      <c r="F37" s="698" t="s">
        <v>193</v>
      </c>
      <c r="G37" s="698" t="s">
        <v>194</v>
      </c>
      <c r="H37" s="698" t="s">
        <v>195</v>
      </c>
      <c r="I37" s="698" t="s">
        <v>113</v>
      </c>
      <c r="J37" s="698" t="s">
        <v>196</v>
      </c>
      <c r="K37" s="699" t="s">
        <v>222</v>
      </c>
      <c r="L37" s="699" t="s">
        <v>198</v>
      </c>
      <c r="M37" s="64" t="s">
        <v>199</v>
      </c>
      <c r="N37" s="65" t="s">
        <v>200</v>
      </c>
      <c r="O37" s="698" t="s">
        <v>223</v>
      </c>
      <c r="P37" s="698" t="s">
        <v>224</v>
      </c>
      <c r="Q37" s="699" t="s">
        <v>203</v>
      </c>
      <c r="R37" s="1092"/>
    </row>
    <row r="38" spans="1:18" ht="17.25" thickTop="1" thickBot="1">
      <c r="A38" s="812" t="s">
        <v>331</v>
      </c>
      <c r="B38" s="813"/>
      <c r="C38" s="700" t="s">
        <v>225</v>
      </c>
      <c r="D38" s="701"/>
      <c r="E38" s="702"/>
      <c r="F38" s="702"/>
      <c r="G38" s="702"/>
      <c r="H38" s="702"/>
      <c r="I38" s="702"/>
      <c r="J38" s="702"/>
      <c r="K38" s="702"/>
      <c r="L38" s="702"/>
      <c r="M38" s="969"/>
      <c r="N38" s="969"/>
      <c r="O38" s="702"/>
      <c r="P38" s="969"/>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70">
        <f t="shared" ref="R39:R44" ca="1" si="4">SUM(C39:Q39)</f>
        <v>0</v>
      </c>
    </row>
    <row r="40" spans="1:18">
      <c r="A40" s="790" t="s">
        <v>213</v>
      </c>
      <c r="B40" s="810"/>
      <c r="C40" s="674">
        <f ca="1">tertiair!B20+'openbare verlichting'!B12</f>
        <v>3713.5043930187821</v>
      </c>
      <c r="D40" s="674">
        <f ca="1">tertiair!C20</f>
        <v>11.457983193277309</v>
      </c>
      <c r="E40" s="674">
        <f ca="1">tertiair!D20</f>
        <v>2963.4736679594289</v>
      </c>
      <c r="F40" s="674">
        <f>tertiair!E20</f>
        <v>37.123264997023227</v>
      </c>
      <c r="G40" s="674">
        <f ca="1">tertiair!F20</f>
        <v>666.59472158258177</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7392.1540307510941</v>
      </c>
    </row>
    <row r="41" spans="1:18">
      <c r="A41" s="802" t="s">
        <v>214</v>
      </c>
      <c r="B41" s="809"/>
      <c r="C41" s="674">
        <f ca="1">huishoudens!B12</f>
        <v>3742.4234866904203</v>
      </c>
      <c r="D41" s="674">
        <f ca="1">huishoudens!C12</f>
        <v>0</v>
      </c>
      <c r="E41" s="674">
        <f>huishoudens!D12</f>
        <v>7502.6472691280014</v>
      </c>
      <c r="F41" s="674">
        <f>huishoudens!E12</f>
        <v>174.09432651428898</v>
      </c>
      <c r="G41" s="674">
        <f>huishoudens!F12</f>
        <v>6989.7596193262943</v>
      </c>
      <c r="H41" s="674">
        <f>huishoudens!G12</f>
        <v>0</v>
      </c>
      <c r="I41" s="674">
        <f>huishoudens!H12</f>
        <v>0</v>
      </c>
      <c r="J41" s="674">
        <f>huishoudens!I12</f>
        <v>0</v>
      </c>
      <c r="K41" s="674">
        <f>huishoudens!J12</f>
        <v>208.67659031856033</v>
      </c>
      <c r="L41" s="674">
        <f>huishoudens!K12</f>
        <v>0</v>
      </c>
      <c r="M41" s="674">
        <f>huishoudens!L12</f>
        <v>0</v>
      </c>
      <c r="N41" s="674">
        <f>huishoudens!M12</f>
        <v>0</v>
      </c>
      <c r="O41" s="674">
        <f>huishoudens!N12</f>
        <v>0</v>
      </c>
      <c r="P41" s="674">
        <f>huishoudens!O12</f>
        <v>0</v>
      </c>
      <c r="Q41" s="749">
        <f>huishoudens!P12</f>
        <v>0</v>
      </c>
      <c r="R41" s="830">
        <f t="shared" ca="1" si="4"/>
        <v>18617.601291977564</v>
      </c>
    </row>
    <row r="42" spans="1:18">
      <c r="A42" s="802" t="s">
        <v>496</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641</v>
      </c>
      <c r="B43" s="817" t="s">
        <v>638</v>
      </c>
      <c r="C43" s="674">
        <f ca="1">industrie!B22</f>
        <v>11101.700539590507</v>
      </c>
      <c r="D43" s="674">
        <f ca="1">industrie!C22</f>
        <v>0</v>
      </c>
      <c r="E43" s="674">
        <f>industrie!D22</f>
        <v>5566.2742591280003</v>
      </c>
      <c r="F43" s="674">
        <f>industrie!E22</f>
        <v>180.75248248657928</v>
      </c>
      <c r="G43" s="674">
        <f>industrie!F22</f>
        <v>6564.4048208511567</v>
      </c>
      <c r="H43" s="674">
        <f>industrie!G22</f>
        <v>0</v>
      </c>
      <c r="I43" s="674">
        <f>industrie!H22</f>
        <v>0</v>
      </c>
      <c r="J43" s="674">
        <f>industrie!I22</f>
        <v>0</v>
      </c>
      <c r="K43" s="674">
        <f>industrie!J22</f>
        <v>162.99412033587129</v>
      </c>
      <c r="L43" s="674">
        <f>industrie!K22</f>
        <v>0</v>
      </c>
      <c r="M43" s="674">
        <f>industrie!L22</f>
        <v>0</v>
      </c>
      <c r="N43" s="674">
        <f>industrie!M22</f>
        <v>0</v>
      </c>
      <c r="O43" s="674">
        <f>industrie!N22</f>
        <v>0</v>
      </c>
      <c r="P43" s="674">
        <f>industrie!O22</f>
        <v>0</v>
      </c>
      <c r="Q43" s="749">
        <f>industrie!P22</f>
        <v>0</v>
      </c>
      <c r="R43" s="829">
        <f t="shared" ca="1" si="4"/>
        <v>23576.126222392115</v>
      </c>
    </row>
    <row r="44" spans="1:18">
      <c r="A44" s="802"/>
      <c r="B44" s="809" t="s">
        <v>639</v>
      </c>
      <c r="C44" s="674"/>
      <c r="D44" s="674"/>
      <c r="E44" s="674"/>
      <c r="F44" s="674"/>
      <c r="G44" s="674"/>
      <c r="H44" s="674"/>
      <c r="I44" s="674"/>
      <c r="J44" s="674"/>
      <c r="K44" s="674"/>
      <c r="L44" s="674"/>
      <c r="M44" s="674"/>
      <c r="N44" s="674"/>
      <c r="O44" s="674"/>
      <c r="P44" s="674"/>
      <c r="Q44" s="749"/>
      <c r="R44" s="830">
        <f t="shared" si="4"/>
        <v>0</v>
      </c>
    </row>
    <row r="45" spans="1:18" ht="15" thickBot="1">
      <c r="A45" s="965" t="s">
        <v>887</v>
      </c>
      <c r="B45" s="971"/>
      <c r="C45" s="967"/>
      <c r="D45" s="967"/>
      <c r="E45" s="967"/>
      <c r="F45" s="967"/>
      <c r="G45" s="967"/>
      <c r="H45" s="967"/>
      <c r="I45" s="967"/>
      <c r="J45" s="967"/>
      <c r="K45" s="967"/>
      <c r="L45" s="967"/>
      <c r="M45" s="967"/>
      <c r="N45" s="967"/>
      <c r="O45" s="967"/>
      <c r="P45" s="967"/>
      <c r="Q45" s="968"/>
      <c r="R45" s="972"/>
    </row>
    <row r="46" spans="1:18" ht="15.75" thickBot="1">
      <c r="A46" s="803" t="s">
        <v>215</v>
      </c>
      <c r="B46" s="816"/>
      <c r="C46" s="707">
        <f ca="1">SUM(C39:C45)</f>
        <v>18557.628419299712</v>
      </c>
      <c r="D46" s="707">
        <f t="shared" ref="D46:Q46" ca="1" si="5">SUM(D39:D45)</f>
        <v>11.457983193277309</v>
      </c>
      <c r="E46" s="707">
        <f t="shared" ca="1" si="5"/>
        <v>16032.395196215431</v>
      </c>
      <c r="F46" s="707">
        <f t="shared" si="5"/>
        <v>391.97007399789152</v>
      </c>
      <c r="G46" s="707">
        <f t="shared" ca="1" si="5"/>
        <v>14220.759161760034</v>
      </c>
      <c r="H46" s="707">
        <f t="shared" si="5"/>
        <v>0</v>
      </c>
      <c r="I46" s="707">
        <f t="shared" si="5"/>
        <v>0</v>
      </c>
      <c r="J46" s="707">
        <f t="shared" si="5"/>
        <v>0</v>
      </c>
      <c r="K46" s="707">
        <f t="shared" si="5"/>
        <v>371.67071065443162</v>
      </c>
      <c r="L46" s="707">
        <f t="shared" si="5"/>
        <v>0</v>
      </c>
      <c r="M46" s="707">
        <f t="shared" ca="1" si="5"/>
        <v>0</v>
      </c>
      <c r="N46" s="707">
        <f t="shared" si="5"/>
        <v>0</v>
      </c>
      <c r="O46" s="707">
        <f t="shared" ca="1" si="5"/>
        <v>0</v>
      </c>
      <c r="P46" s="707">
        <f t="shared" si="5"/>
        <v>0</v>
      </c>
      <c r="Q46" s="707">
        <f t="shared" si="5"/>
        <v>0</v>
      </c>
      <c r="R46" s="707">
        <f ca="1">SUM(R39:R45)</f>
        <v>49585.881545120777</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0.54606915499821718</v>
      </c>
      <c r="D49" s="674">
        <f ca="1">transport!C58</f>
        <v>0</v>
      </c>
      <c r="E49" s="674">
        <f>transport!D58</f>
        <v>0</v>
      </c>
      <c r="F49" s="674">
        <f>transport!E58</f>
        <v>0</v>
      </c>
      <c r="G49" s="674">
        <f>transport!F58</f>
        <v>0</v>
      </c>
      <c r="H49" s="674">
        <f>transport!G58</f>
        <v>157.45443058958904</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158.00049974458724</v>
      </c>
    </row>
    <row r="50" spans="1:18">
      <c r="A50" s="805" t="s">
        <v>296</v>
      </c>
      <c r="B50" s="815"/>
      <c r="C50" s="973">
        <f ca="1">transport!B18</f>
        <v>0.15691831288012867</v>
      </c>
      <c r="D50" s="973">
        <f>transport!C18</f>
        <v>0</v>
      </c>
      <c r="E50" s="973">
        <f>transport!D18</f>
        <v>0.56218133102167256</v>
      </c>
      <c r="F50" s="973">
        <f>transport!E18</f>
        <v>64.266347068763878</v>
      </c>
      <c r="G50" s="973">
        <f>transport!F18</f>
        <v>0</v>
      </c>
      <c r="H50" s="973">
        <f>transport!G18</f>
        <v>17379.358545016119</v>
      </c>
      <c r="I50" s="973">
        <f>transport!H18</f>
        <v>2254.6235249438673</v>
      </c>
      <c r="J50" s="973">
        <f>transport!I18</f>
        <v>0</v>
      </c>
      <c r="K50" s="973">
        <f>transport!J18</f>
        <v>0</v>
      </c>
      <c r="L50" s="973">
        <f>transport!K18</f>
        <v>0</v>
      </c>
      <c r="M50" s="973">
        <f>transport!L18</f>
        <v>0</v>
      </c>
      <c r="N50" s="973">
        <f>transport!M18</f>
        <v>0</v>
      </c>
      <c r="O50" s="973">
        <f>transport!N18</f>
        <v>0</v>
      </c>
      <c r="P50" s="973">
        <f>transport!O18</f>
        <v>0</v>
      </c>
      <c r="Q50" s="974">
        <f>transport!P18</f>
        <v>0</v>
      </c>
      <c r="R50" s="706">
        <f ca="1">SUM(C50:Q50)</f>
        <v>19698.967516672652</v>
      </c>
    </row>
    <row r="51" spans="1:18" ht="15" thickBot="1">
      <c r="A51" s="802" t="s">
        <v>888</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0.70298746787834587</v>
      </c>
      <c r="D52" s="707">
        <f t="shared" ref="D52:Q52" ca="1" si="6">SUM(D48:D51)</f>
        <v>0</v>
      </c>
      <c r="E52" s="707">
        <f t="shared" si="6"/>
        <v>0.56218133102167256</v>
      </c>
      <c r="F52" s="707">
        <f t="shared" si="6"/>
        <v>64.266347068763878</v>
      </c>
      <c r="G52" s="707">
        <f t="shared" si="6"/>
        <v>0</v>
      </c>
      <c r="H52" s="707">
        <f t="shared" si="6"/>
        <v>17536.81297560571</v>
      </c>
      <c r="I52" s="707">
        <f t="shared" si="6"/>
        <v>2254.6235249438673</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19856.968016417239</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633</v>
      </c>
      <c r="B54" s="815"/>
      <c r="C54" s="973">
        <f ca="1">+landbouw!B12</f>
        <v>930.17812083286594</v>
      </c>
      <c r="D54" s="973">
        <f ca="1">+landbouw!C12</f>
        <v>0</v>
      </c>
      <c r="E54" s="973">
        <f>+landbouw!D12</f>
        <v>607.08587200800014</v>
      </c>
      <c r="F54" s="973">
        <f>+landbouw!E12</f>
        <v>11.007457350948769</v>
      </c>
      <c r="G54" s="973">
        <f>+landbouw!F12</f>
        <v>5292.4244526623215</v>
      </c>
      <c r="H54" s="973">
        <f>+landbouw!G12</f>
        <v>0</v>
      </c>
      <c r="I54" s="973">
        <f>+landbouw!H12</f>
        <v>0</v>
      </c>
      <c r="J54" s="973">
        <f>+landbouw!I12</f>
        <v>0</v>
      </c>
      <c r="K54" s="973">
        <f>+landbouw!J12</f>
        <v>146.39318239709937</v>
      </c>
      <c r="L54" s="973">
        <f>+landbouw!K12</f>
        <v>0</v>
      </c>
      <c r="M54" s="973">
        <f>+landbouw!L12</f>
        <v>0</v>
      </c>
      <c r="N54" s="973">
        <f>+landbouw!M12</f>
        <v>0</v>
      </c>
      <c r="O54" s="973">
        <f>+landbouw!N12</f>
        <v>0</v>
      </c>
      <c r="P54" s="973">
        <f>+landbouw!O12</f>
        <v>0</v>
      </c>
      <c r="Q54" s="974">
        <f>+landbouw!P12</f>
        <v>0</v>
      </c>
      <c r="R54" s="706">
        <f ca="1">SUM(C54:Q54)</f>
        <v>6987.0890852512366</v>
      </c>
    </row>
    <row r="55" spans="1:18" ht="15" thickBot="1">
      <c r="A55" s="805" t="s">
        <v>889</v>
      </c>
      <c r="B55" s="815"/>
      <c r="C55" s="973">
        <f ca="1">C25*'EF ele_warmte'!B12</f>
        <v>207.94643487447539</v>
      </c>
      <c r="D55" s="973"/>
      <c r="E55" s="973">
        <f>E25*EF_CO2_aardgas</f>
        <v>98.918188000000015</v>
      </c>
      <c r="F55" s="973"/>
      <c r="G55" s="973"/>
      <c r="H55" s="973"/>
      <c r="I55" s="973"/>
      <c r="J55" s="973"/>
      <c r="K55" s="973"/>
      <c r="L55" s="973"/>
      <c r="M55" s="973"/>
      <c r="N55" s="973"/>
      <c r="O55" s="973"/>
      <c r="P55" s="973"/>
      <c r="Q55" s="974"/>
      <c r="R55" s="706">
        <f ca="1">SUM(C55:Q55)</f>
        <v>306.8646228744754</v>
      </c>
    </row>
    <row r="56" spans="1:18" ht="15.75" thickBot="1">
      <c r="A56" s="803" t="s">
        <v>890</v>
      </c>
      <c r="B56" s="816"/>
      <c r="C56" s="707">
        <f ca="1">SUM(C54:C55)</f>
        <v>1138.1245557073414</v>
      </c>
      <c r="D56" s="707">
        <f t="shared" ref="D56:Q56" ca="1" si="7">SUM(D54:D55)</f>
        <v>0</v>
      </c>
      <c r="E56" s="707">
        <f t="shared" si="7"/>
        <v>706.00406000800012</v>
      </c>
      <c r="F56" s="707">
        <f t="shared" si="7"/>
        <v>11.007457350948769</v>
      </c>
      <c r="G56" s="707">
        <f t="shared" si="7"/>
        <v>5292.4244526623215</v>
      </c>
      <c r="H56" s="707">
        <f t="shared" si="7"/>
        <v>0</v>
      </c>
      <c r="I56" s="707">
        <f t="shared" si="7"/>
        <v>0</v>
      </c>
      <c r="J56" s="707">
        <f t="shared" si="7"/>
        <v>0</v>
      </c>
      <c r="K56" s="707">
        <f t="shared" si="7"/>
        <v>146.39318239709937</v>
      </c>
      <c r="L56" s="707">
        <f t="shared" si="7"/>
        <v>0</v>
      </c>
      <c r="M56" s="707">
        <f t="shared" si="7"/>
        <v>0</v>
      </c>
      <c r="N56" s="707">
        <f t="shared" si="7"/>
        <v>0</v>
      </c>
      <c r="O56" s="707">
        <f t="shared" si="7"/>
        <v>0</v>
      </c>
      <c r="P56" s="707">
        <f t="shared" si="7"/>
        <v>0</v>
      </c>
      <c r="Q56" s="708">
        <f t="shared" si="7"/>
        <v>0</v>
      </c>
      <c r="R56" s="709">
        <f ca="1">SUM(R54:R55)</f>
        <v>7293.9537081257122</v>
      </c>
    </row>
    <row r="57" spans="1:18" ht="15.75">
      <c r="A57" s="783" t="s">
        <v>634</v>
      </c>
      <c r="B57" s="783"/>
      <c r="C57" s="712"/>
      <c r="D57" s="701"/>
      <c r="E57" s="701"/>
      <c r="F57" s="701"/>
      <c r="G57" s="701"/>
      <c r="H57" s="701"/>
      <c r="I57" s="701"/>
      <c r="J57" s="701"/>
      <c r="K57" s="701"/>
      <c r="L57" s="701"/>
      <c r="M57" s="710"/>
      <c r="N57" s="710"/>
      <c r="O57" s="701"/>
      <c r="P57" s="710"/>
      <c r="Q57" s="710"/>
      <c r="R57" s="704"/>
    </row>
    <row r="58" spans="1:18" ht="15">
      <c r="A58" s="806" t="s">
        <v>227</v>
      </c>
      <c r="B58" s="820"/>
      <c r="C58" s="1071"/>
      <c r="D58" s="1072"/>
      <c r="E58" s="1072"/>
      <c r="F58" s="1072"/>
      <c r="G58" s="1072"/>
      <c r="H58" s="1072"/>
      <c r="I58" s="1072"/>
      <c r="J58" s="1072"/>
      <c r="K58" s="1072"/>
      <c r="L58" s="1072"/>
      <c r="M58" s="1072"/>
      <c r="N58" s="1072"/>
      <c r="O58" s="1072"/>
      <c r="P58" s="1072"/>
      <c r="Q58" s="1072"/>
      <c r="R58" s="713"/>
    </row>
    <row r="59" spans="1:18" ht="15">
      <c r="A59" s="807" t="s">
        <v>228</v>
      </c>
      <c r="B59" s="794"/>
      <c r="C59" s="1073"/>
      <c r="D59" s="1074"/>
      <c r="E59" s="1074"/>
      <c r="F59" s="1074"/>
      <c r="G59" s="1074"/>
      <c r="H59" s="1074"/>
      <c r="I59" s="1074"/>
      <c r="J59" s="1074"/>
      <c r="K59" s="1074"/>
      <c r="L59" s="1074"/>
      <c r="M59" s="1074"/>
      <c r="N59" s="1074"/>
      <c r="O59" s="1074"/>
      <c r="P59" s="1074"/>
      <c r="Q59" s="1074"/>
      <c r="R59" s="714"/>
    </row>
    <row r="60" spans="1:18" ht="15" thickBot="1">
      <c r="A60" s="818" t="s">
        <v>229</v>
      </c>
      <c r="B60" s="819"/>
      <c r="C60" s="1073"/>
      <c r="D60" s="1074"/>
      <c r="E60" s="1074"/>
      <c r="F60" s="1074"/>
      <c r="G60" s="1074"/>
      <c r="H60" s="1074"/>
      <c r="I60" s="1074"/>
      <c r="J60" s="1074"/>
      <c r="K60" s="1074"/>
      <c r="L60" s="1074"/>
      <c r="M60" s="1074"/>
      <c r="N60" s="1074"/>
      <c r="O60" s="1074"/>
      <c r="P60" s="1074"/>
      <c r="Q60" s="1074"/>
      <c r="R60" s="706"/>
    </row>
    <row r="61" spans="1:18" ht="16.5" thickBot="1">
      <c r="A61" s="821" t="s">
        <v>109</v>
      </c>
      <c r="B61" s="822"/>
      <c r="C61" s="715">
        <f ca="1">C46+C52+C56</f>
        <v>19696.455962474931</v>
      </c>
      <c r="D61" s="715">
        <f t="shared" ref="D61:Q61" ca="1" si="8">D46+D52+D56</f>
        <v>11.457983193277309</v>
      </c>
      <c r="E61" s="715">
        <f t="shared" ca="1" si="8"/>
        <v>16738.961437554452</v>
      </c>
      <c r="F61" s="715">
        <f t="shared" si="8"/>
        <v>467.24387841760415</v>
      </c>
      <c r="G61" s="715">
        <f t="shared" ca="1" si="8"/>
        <v>19513.183614422356</v>
      </c>
      <c r="H61" s="715">
        <f t="shared" si="8"/>
        <v>17536.81297560571</v>
      </c>
      <c r="I61" s="715">
        <f t="shared" si="8"/>
        <v>2254.6235249438673</v>
      </c>
      <c r="J61" s="715">
        <f t="shared" si="8"/>
        <v>0</v>
      </c>
      <c r="K61" s="715">
        <f t="shared" si="8"/>
        <v>518.06389305153095</v>
      </c>
      <c r="L61" s="715">
        <f t="shared" si="8"/>
        <v>0</v>
      </c>
      <c r="M61" s="715">
        <f t="shared" ca="1" si="8"/>
        <v>0</v>
      </c>
      <c r="N61" s="715">
        <f t="shared" si="8"/>
        <v>0</v>
      </c>
      <c r="O61" s="715">
        <f t="shared" ca="1" si="8"/>
        <v>0</v>
      </c>
      <c r="P61" s="715">
        <f t="shared" si="8"/>
        <v>0</v>
      </c>
      <c r="Q61" s="715">
        <f t="shared" si="8"/>
        <v>0</v>
      </c>
      <c r="R61" s="715">
        <f ca="1">R46+R52+R56</f>
        <v>76736.803269663738</v>
      </c>
    </row>
    <row r="62" spans="1:18" ht="15.75" thickTop="1" thickBot="1">
      <c r="A62" s="953"/>
      <c r="B62" s="953"/>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0.20088318133553656</v>
      </c>
      <c r="D63" s="759">
        <f t="shared" ca="1" si="9"/>
        <v>1.6634185171968926E-3</v>
      </c>
      <c r="E63" s="975">
        <f t="shared" ca="1" si="9"/>
        <v>0.20199999999999999</v>
      </c>
      <c r="F63" s="759">
        <f t="shared" si="9"/>
        <v>0.22700000000000001</v>
      </c>
      <c r="G63" s="759">
        <f t="shared" ca="1" si="9"/>
        <v>0.26700000000000002</v>
      </c>
      <c r="H63" s="759">
        <f t="shared" si="9"/>
        <v>0.26700000000000002</v>
      </c>
      <c r="I63" s="759">
        <f t="shared" si="9"/>
        <v>0.24900000000000003</v>
      </c>
      <c r="J63" s="759">
        <f t="shared" si="9"/>
        <v>0</v>
      </c>
      <c r="K63" s="759">
        <f t="shared" si="9"/>
        <v>0.35399999999999993</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78"/>
      <c r="B67" s="1078"/>
      <c r="C67" s="1078"/>
      <c r="D67" s="1078"/>
      <c r="E67" s="1078"/>
      <c r="F67" s="1078"/>
      <c r="G67" s="1078"/>
      <c r="H67" s="1078"/>
      <c r="I67" s="1078"/>
      <c r="J67" s="1078"/>
      <c r="K67" s="1078"/>
      <c r="L67" s="1078"/>
      <c r="M67" s="1078"/>
      <c r="N67" s="1078"/>
      <c r="O67" s="1078"/>
      <c r="P67" s="1078"/>
      <c r="Q67" s="1078"/>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091" t="s">
        <v>230</v>
      </c>
      <c r="B69" s="1094" t="s">
        <v>338</v>
      </c>
      <c r="C69" s="1095"/>
      <c r="D69" s="1098" t="s">
        <v>339</v>
      </c>
      <c r="E69" s="1099"/>
      <c r="F69" s="1099"/>
      <c r="G69" s="1099"/>
      <c r="H69" s="1099"/>
      <c r="I69" s="1099"/>
      <c r="J69" s="1099"/>
      <c r="K69" s="1099"/>
      <c r="L69" s="1099"/>
      <c r="M69" s="1099"/>
      <c r="N69" s="1099"/>
      <c r="O69" s="1100"/>
      <c r="P69" s="976" t="s">
        <v>644</v>
      </c>
      <c r="Q69" s="1101" t="s">
        <v>643</v>
      </c>
      <c r="R69" s="1102"/>
    </row>
    <row r="70" spans="1:18" ht="61.5" thickTop="1" thickBot="1">
      <c r="A70" s="1093"/>
      <c r="B70" s="1096"/>
      <c r="C70" s="1097"/>
      <c r="D70" s="1103" t="s">
        <v>190</v>
      </c>
      <c r="E70" s="1104"/>
      <c r="F70" s="1104"/>
      <c r="G70" s="1104"/>
      <c r="H70" s="1105"/>
      <c r="I70" s="946" t="s">
        <v>235</v>
      </c>
      <c r="J70" s="946" t="s">
        <v>223</v>
      </c>
      <c r="K70" s="946" t="s">
        <v>202</v>
      </c>
      <c r="L70" s="946" t="s">
        <v>203</v>
      </c>
      <c r="M70" s="724" t="s">
        <v>234</v>
      </c>
      <c r="N70" s="946" t="s">
        <v>236</v>
      </c>
      <c r="O70" s="948" t="s">
        <v>120</v>
      </c>
      <c r="P70" s="977"/>
      <c r="Q70" s="836"/>
      <c r="R70" s="837"/>
    </row>
    <row r="71" spans="1:18" ht="95.25" customHeight="1" thickTop="1" thickBot="1">
      <c r="A71" s="1092"/>
      <c r="B71" s="951" t="s">
        <v>642</v>
      </c>
      <c r="C71" s="951" t="s">
        <v>891</v>
      </c>
      <c r="D71" s="978" t="s">
        <v>192</v>
      </c>
      <c r="E71" s="979" t="s">
        <v>193</v>
      </c>
      <c r="F71" s="946" t="s">
        <v>194</v>
      </c>
      <c r="G71" s="943" t="s">
        <v>196</v>
      </c>
      <c r="H71" s="980" t="s">
        <v>197</v>
      </c>
      <c r="I71" s="947"/>
      <c r="J71" s="947"/>
      <c r="K71" s="947"/>
      <c r="L71" s="947"/>
      <c r="M71" s="944"/>
      <c r="N71" s="947"/>
      <c r="O71" s="952"/>
      <c r="P71" s="981"/>
      <c r="Q71" s="954" t="s">
        <v>645</v>
      </c>
      <c r="R71" s="952" t="s">
        <v>646</v>
      </c>
    </row>
    <row r="72" spans="1:18" ht="15.75" thickTop="1">
      <c r="A72" s="725" t="s">
        <v>238</v>
      </c>
      <c r="B72" s="823">
        <f>'lokale energieproductie'!B4</f>
        <v>0</v>
      </c>
      <c r="C72" s="1127"/>
      <c r="D72" s="1127"/>
      <c r="E72" s="1128"/>
      <c r="F72" s="1128"/>
      <c r="G72" s="1118"/>
      <c r="H72" s="1121"/>
      <c r="I72" s="1124"/>
      <c r="J72" s="949"/>
      <c r="K72" s="1106"/>
      <c r="L72" s="1106"/>
      <c r="M72" s="1106"/>
      <c r="N72" s="1106"/>
      <c r="O72" s="1109"/>
      <c r="P72" s="831">
        <v>0</v>
      </c>
      <c r="Q72" s="982"/>
      <c r="R72" s="831">
        <v>0</v>
      </c>
    </row>
    <row r="73" spans="1:18" ht="15">
      <c r="A73" s="726" t="s">
        <v>239</v>
      </c>
      <c r="B73" s="725">
        <f>'lokale energieproductie'!B5</f>
        <v>0</v>
      </c>
      <c r="C73" s="1125"/>
      <c r="D73" s="1125"/>
      <c r="E73" s="1107"/>
      <c r="F73" s="1107"/>
      <c r="G73" s="1119"/>
      <c r="H73" s="1122"/>
      <c r="I73" s="1125"/>
      <c r="J73" s="950"/>
      <c r="K73" s="1107"/>
      <c r="L73" s="1107"/>
      <c r="M73" s="1107"/>
      <c r="N73" s="1107"/>
      <c r="O73" s="1110"/>
      <c r="P73" s="832">
        <v>0</v>
      </c>
      <c r="Q73" s="838"/>
      <c r="R73" s="832">
        <v>0</v>
      </c>
    </row>
    <row r="74" spans="1:18" ht="15">
      <c r="A74" s="726" t="s">
        <v>240</v>
      </c>
      <c r="B74" s="725">
        <f>'lokale energieproductie'!B6</f>
        <v>4139.6103695947686</v>
      </c>
      <c r="C74" s="1125"/>
      <c r="D74" s="1125"/>
      <c r="E74" s="1107"/>
      <c r="F74" s="1107"/>
      <c r="G74" s="1119"/>
      <c r="H74" s="1122"/>
      <c r="I74" s="1125"/>
      <c r="J74" s="950"/>
      <c r="K74" s="1107"/>
      <c r="L74" s="1107"/>
      <c r="M74" s="1107"/>
      <c r="N74" s="1107"/>
      <c r="O74" s="1110"/>
      <c r="P74" s="832">
        <v>0</v>
      </c>
      <c r="Q74" s="838"/>
      <c r="R74" s="832">
        <v>0</v>
      </c>
    </row>
    <row r="75" spans="1:18" ht="15.75" thickBot="1">
      <c r="A75" s="726" t="s">
        <v>884</v>
      </c>
      <c r="B75" s="725">
        <f>'lokale energieproductie'!B7</f>
        <v>0</v>
      </c>
      <c r="C75" s="1126"/>
      <c r="D75" s="1126"/>
      <c r="E75" s="1108"/>
      <c r="F75" s="1108"/>
      <c r="G75" s="1120"/>
      <c r="H75" s="1123"/>
      <c r="I75" s="1126"/>
      <c r="J75" s="983"/>
      <c r="K75" s="1108"/>
      <c r="L75" s="1108"/>
      <c r="M75" s="1108"/>
      <c r="N75" s="1108"/>
      <c r="O75" s="1111"/>
      <c r="P75" s="832">
        <v>0</v>
      </c>
      <c r="Q75" s="984"/>
      <c r="R75" s="832">
        <v>0</v>
      </c>
    </row>
    <row r="76" spans="1:18" ht="15">
      <c r="A76" s="727" t="s">
        <v>241</v>
      </c>
      <c r="B76" s="725">
        <f>'lokale energieproductie'!B8*IFERROR(SUM(I76:O76)/SUM(D76:O76),0)</f>
        <v>4788</v>
      </c>
      <c r="C76" s="725">
        <f>'lokale energieproductie'!B8*IFERROR(SUM(D76:H76)/SUM(D76:O76),0)</f>
        <v>33.75</v>
      </c>
      <c r="D76" s="985">
        <f>'lokale energieproductie'!C8</f>
        <v>39.705882352941174</v>
      </c>
      <c r="E76" s="986">
        <f>'lokale energieproductie'!D8</f>
        <v>0</v>
      </c>
      <c r="F76" s="986">
        <f>'lokale energieproductie'!E8</f>
        <v>0</v>
      </c>
      <c r="G76" s="986">
        <f>'lokale energieproductie'!F8</f>
        <v>0</v>
      </c>
      <c r="H76" s="986">
        <f>'lokale energieproductie'!G8</f>
        <v>0</v>
      </c>
      <c r="I76" s="986">
        <f>'lokale energieproductie'!I8</f>
        <v>0</v>
      </c>
      <c r="J76" s="986">
        <f>'lokale energieproductie'!J8</f>
        <v>5632.9411764705883</v>
      </c>
      <c r="K76" s="986">
        <f>'lokale energieproductie'!M8</f>
        <v>0</v>
      </c>
      <c r="L76" s="986">
        <f>'lokale energieproductie'!N8</f>
        <v>0</v>
      </c>
      <c r="M76" s="986">
        <f>'lokale energieproductie'!H8</f>
        <v>0</v>
      </c>
      <c r="N76" s="986">
        <f>'lokale energieproductie'!K8</f>
        <v>0</v>
      </c>
      <c r="O76" s="987">
        <f>'lokale energieproductie'!L8</f>
        <v>0</v>
      </c>
      <c r="P76" s="988"/>
      <c r="Q76" s="833">
        <f>D76*EF_CO2_aardgas+E76*EF_VLgas_CO2+'SEAP template'!F76*EF_stookolie_CO2+EF_bruinkool_CO2*'SEAP template'!G76+'SEAP template'!H76*EF_steenkool_CO2+'EF brandstof'!M4*'SEAP template'!M76+'SEAP template'!O76*EF_anderfossiel_CO2</f>
        <v>8.0205882352941185</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86">
        <f>'lokale energieproductie'!I9</f>
        <v>0</v>
      </c>
      <c r="J77" s="986">
        <f>'lokale energieproductie'!J9</f>
        <v>0</v>
      </c>
      <c r="K77" s="986">
        <f>'lokale energieproductie'!M9</f>
        <v>0</v>
      </c>
      <c r="L77" s="986">
        <f>'lokale energieproductie'!N9</f>
        <v>0</v>
      </c>
      <c r="M77" s="986">
        <f>'lokale energieproductie'!H9</f>
        <v>0</v>
      </c>
      <c r="N77" s="986">
        <f>'lokale energieproductie'!K9</f>
        <v>0</v>
      </c>
      <c r="O77" s="987">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8927.6103695947677</v>
      </c>
      <c r="C78" s="730">
        <f>SUM(C72:C77)</f>
        <v>33.75</v>
      </c>
      <c r="D78" s="731">
        <f t="shared" ref="D78:H78" si="10">SUM(D76:D77)</f>
        <v>39.705882352941174</v>
      </c>
      <c r="E78" s="731">
        <f t="shared" si="10"/>
        <v>0</v>
      </c>
      <c r="F78" s="731">
        <f t="shared" si="10"/>
        <v>0</v>
      </c>
      <c r="G78" s="731">
        <f t="shared" si="10"/>
        <v>0</v>
      </c>
      <c r="H78" s="731">
        <f t="shared" si="10"/>
        <v>0</v>
      </c>
      <c r="I78" s="731">
        <f>SUM(I76:I77)</f>
        <v>0</v>
      </c>
      <c r="J78" s="731">
        <f>SUM(J76:J77)</f>
        <v>5632.9411764705883</v>
      </c>
      <c r="K78" s="731">
        <f t="shared" ref="K78:L78" si="11">SUM(K76:K77)</f>
        <v>0</v>
      </c>
      <c r="L78" s="731">
        <f t="shared" si="11"/>
        <v>0</v>
      </c>
      <c r="M78" s="731">
        <f>SUM(M76:M77)</f>
        <v>0</v>
      </c>
      <c r="N78" s="731">
        <f>SUM(N76:N77)</f>
        <v>0</v>
      </c>
      <c r="O78" s="840">
        <f>SUM(O76:O77)</f>
        <v>0</v>
      </c>
      <c r="P78" s="732">
        <v>0</v>
      </c>
      <c r="Q78" s="732">
        <f>SUM(Q76:Q77)</f>
        <v>8.0205882352941185</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53"/>
      <c r="B80" s="953"/>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78"/>
      <c r="B82" s="1078"/>
      <c r="C82" s="1078"/>
      <c r="D82" s="1078"/>
      <c r="E82" s="1078"/>
      <c r="F82" s="1078"/>
      <c r="G82" s="1078"/>
      <c r="H82" s="1078"/>
      <c r="I82" s="1078"/>
      <c r="J82" s="1078"/>
      <c r="K82" s="1078"/>
      <c r="L82" s="1078"/>
      <c r="M82" s="1078"/>
      <c r="N82" s="1078"/>
      <c r="O82" s="1078"/>
      <c r="P82" s="1078"/>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091" t="s">
        <v>242</v>
      </c>
      <c r="B84" s="1094" t="s">
        <v>342</v>
      </c>
      <c r="C84" s="1112"/>
      <c r="D84" s="1115" t="s">
        <v>343</v>
      </c>
      <c r="E84" s="1116"/>
      <c r="F84" s="1116"/>
      <c r="G84" s="1116"/>
      <c r="H84" s="1116"/>
      <c r="I84" s="1116"/>
      <c r="J84" s="1116"/>
      <c r="K84" s="1116"/>
      <c r="L84" s="1116"/>
      <c r="M84" s="1116"/>
      <c r="N84" s="1116"/>
      <c r="O84" s="1117"/>
      <c r="P84" s="976" t="s">
        <v>644</v>
      </c>
      <c r="Q84" s="1094" t="s">
        <v>643</v>
      </c>
      <c r="R84" s="1095"/>
    </row>
    <row r="85" spans="1:19" ht="16.5" customHeight="1" thickTop="1" thickBot="1">
      <c r="A85" s="1093"/>
      <c r="B85" s="1113"/>
      <c r="C85" s="1114"/>
      <c r="D85" s="1132" t="s">
        <v>190</v>
      </c>
      <c r="E85" s="1133"/>
      <c r="F85" s="1133"/>
      <c r="G85" s="1133"/>
      <c r="H85" s="1134"/>
      <c r="I85" s="1135" t="s">
        <v>235</v>
      </c>
      <c r="J85" s="1086" t="s">
        <v>223</v>
      </c>
      <c r="K85" s="1138" t="s">
        <v>202</v>
      </c>
      <c r="L85" s="1138" t="s">
        <v>203</v>
      </c>
      <c r="M85" s="1139" t="s">
        <v>234</v>
      </c>
      <c r="N85" s="1138" t="s">
        <v>246</v>
      </c>
      <c r="O85" s="1141" t="s">
        <v>120</v>
      </c>
      <c r="P85" s="977"/>
      <c r="Q85" s="836"/>
      <c r="R85" s="837"/>
    </row>
    <row r="86" spans="1:19" ht="110.25" customHeight="1" thickTop="1" thickBot="1">
      <c r="A86" s="1092"/>
      <c r="B86" s="824" t="s">
        <v>642</v>
      </c>
      <c r="C86" s="824" t="s">
        <v>891</v>
      </c>
      <c r="D86" s="954" t="s">
        <v>192</v>
      </c>
      <c r="E86" s="947" t="s">
        <v>193</v>
      </c>
      <c r="F86" s="945" t="s">
        <v>194</v>
      </c>
      <c r="G86" s="947" t="s">
        <v>196</v>
      </c>
      <c r="H86" s="739" t="s">
        <v>197</v>
      </c>
      <c r="I86" s="1136"/>
      <c r="J86" s="1137"/>
      <c r="K86" s="1087"/>
      <c r="L86" s="1087"/>
      <c r="M86" s="1140"/>
      <c r="N86" s="1087"/>
      <c r="O86" s="1142"/>
      <c r="P86" s="981"/>
      <c r="Q86" s="954" t="s">
        <v>645</v>
      </c>
      <c r="R86" s="952" t="s">
        <v>646</v>
      </c>
    </row>
    <row r="87" spans="1:19" ht="15.75" thickTop="1">
      <c r="A87" s="740" t="s">
        <v>241</v>
      </c>
      <c r="B87" s="741">
        <f>'lokale energieproductie'!B17*IFERROR(SUM(I87:O87)/SUM(D87:O87),0)</f>
        <v>6840</v>
      </c>
      <c r="C87" s="741">
        <f>'lokale energieproductie'!B17*IFERROR(SUM(D87:H87)/SUM(D87:O87),0)</f>
        <v>48.214285714285708</v>
      </c>
      <c r="D87" s="752">
        <f>'lokale energieproductie'!C17</f>
        <v>56.722689075630242</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8047.0588235294108</v>
      </c>
      <c r="K87" s="752">
        <f>'lokale energieproductie'!M17</f>
        <v>0</v>
      </c>
      <c r="L87" s="752">
        <f>'lokale energieproductie'!N17</f>
        <v>0</v>
      </c>
      <c r="M87" s="752">
        <f>'lokale energieproductie'!H17</f>
        <v>0</v>
      </c>
      <c r="N87" s="752">
        <f>'lokale energieproductie'!K17</f>
        <v>0</v>
      </c>
      <c r="O87" s="752">
        <f>'lokale energieproductie'!L17</f>
        <v>0</v>
      </c>
      <c r="P87" s="1129"/>
      <c r="Q87" s="839">
        <f>D87*EF_CO2_aardgas+E87*EF_VLgas_CO2+'SEAP template'!F87*EF_stookolie_CO2+EF_bruinkool_CO2*'SEAP template'!G87+'SEAP template'!H87*EF_steenkool_CO2+'EF brandstof'!M4*'SEAP template'!M87+'SEAP template'!O87*EF_anderfossiel_CO2</f>
        <v>11.457983193277309</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30"/>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31"/>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6840</v>
      </c>
      <c r="C90" s="730">
        <f>SUM(C87:C89)</f>
        <v>48.214285714285708</v>
      </c>
      <c r="D90" s="730">
        <f t="shared" ref="D90:H90" si="12">SUM(D87:D89)</f>
        <v>56.722689075630242</v>
      </c>
      <c r="E90" s="730">
        <f t="shared" si="12"/>
        <v>0</v>
      </c>
      <c r="F90" s="730">
        <f t="shared" si="12"/>
        <v>0</v>
      </c>
      <c r="G90" s="730">
        <f t="shared" si="12"/>
        <v>0</v>
      </c>
      <c r="H90" s="730">
        <f t="shared" si="12"/>
        <v>0</v>
      </c>
      <c r="I90" s="730">
        <f>SUM(I87:I89)</f>
        <v>0</v>
      </c>
      <c r="J90" s="730">
        <f>SUM(J87:J89)</f>
        <v>8047.0588235294108</v>
      </c>
      <c r="K90" s="730">
        <f t="shared" ref="K90:L90" si="13">SUM(K87:K89)</f>
        <v>0</v>
      </c>
      <c r="L90" s="730">
        <f t="shared" si="13"/>
        <v>0</v>
      </c>
      <c r="M90" s="730">
        <f>SUM(M87:M89)</f>
        <v>0</v>
      </c>
      <c r="N90" s="730">
        <f>SUM(N87:N89)</f>
        <v>0</v>
      </c>
      <c r="O90" s="730">
        <f>SUM(O87:O89)</f>
        <v>0</v>
      </c>
      <c r="P90" s="730">
        <v>0</v>
      </c>
      <c r="Q90" s="730">
        <f>SUM(Q87:Q89)</f>
        <v>11.457983193277309</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43" t="s">
        <v>545</v>
      </c>
      <c r="B1" s="1144" t="s">
        <v>541</v>
      </c>
      <c r="C1" s="1144"/>
      <c r="D1" s="1144"/>
      <c r="E1" s="1144"/>
      <c r="F1" s="1144"/>
      <c r="G1" s="1144"/>
      <c r="H1" s="1144"/>
      <c r="I1" s="1144"/>
      <c r="J1" s="1144"/>
      <c r="K1" s="1144"/>
      <c r="L1" s="1144"/>
      <c r="M1" s="1144"/>
      <c r="N1" s="1144"/>
      <c r="O1" s="1144"/>
      <c r="P1" s="1145"/>
      <c r="Q1" s="992"/>
    </row>
    <row r="2" spans="1:17">
      <c r="A2" s="1143"/>
      <c r="B2" s="1146" t="s">
        <v>20</v>
      </c>
      <c r="C2" s="1148" t="s">
        <v>189</v>
      </c>
      <c r="D2" s="1150" t="s">
        <v>190</v>
      </c>
      <c r="E2" s="1151"/>
      <c r="F2" s="1151"/>
      <c r="G2" s="1151"/>
      <c r="H2" s="1151"/>
      <c r="I2" s="1151"/>
      <c r="J2" s="1151"/>
      <c r="K2" s="1147"/>
      <c r="L2" s="1150" t="s">
        <v>191</v>
      </c>
      <c r="M2" s="1151"/>
      <c r="N2" s="1151"/>
      <c r="O2" s="1151"/>
      <c r="P2" s="1147"/>
      <c r="Q2" s="992"/>
    </row>
    <row r="3" spans="1:17" ht="45">
      <c r="A3" s="1143"/>
      <c r="B3" s="1147"/>
      <c r="C3" s="1149"/>
      <c r="D3" s="992" t="s">
        <v>192</v>
      </c>
      <c r="E3" s="992" t="s">
        <v>193</v>
      </c>
      <c r="F3" s="992" t="s">
        <v>194</v>
      </c>
      <c r="G3" s="992" t="s">
        <v>195</v>
      </c>
      <c r="H3" s="992" t="s">
        <v>113</v>
      </c>
      <c r="I3" s="992" t="s">
        <v>196</v>
      </c>
      <c r="J3" s="992" t="s">
        <v>197</v>
      </c>
      <c r="K3" s="992" t="s">
        <v>198</v>
      </c>
      <c r="L3" s="992" t="s">
        <v>199</v>
      </c>
      <c r="M3" s="992" t="s">
        <v>200</v>
      </c>
      <c r="N3" s="992" t="s">
        <v>201</v>
      </c>
      <c r="O3" s="992" t="s">
        <v>202</v>
      </c>
      <c r="P3" s="992" t="s">
        <v>203</v>
      </c>
      <c r="Q3" s="992" t="s">
        <v>109</v>
      </c>
    </row>
    <row r="4" spans="1:17">
      <c r="A4" s="446" t="s">
        <v>148</v>
      </c>
      <c r="B4" s="447">
        <f>huishoudens!B8</f>
        <v>18629.849755512507</v>
      </c>
      <c r="C4" s="447">
        <f>huishoudens!C8</f>
        <v>0</v>
      </c>
      <c r="D4" s="447">
        <f>huishoudens!D8</f>
        <v>37141.818164000004</v>
      </c>
      <c r="E4" s="447">
        <f>huishoudens!E8</f>
        <v>766.93535909378397</v>
      </c>
      <c r="F4" s="447">
        <f>huishoudens!F8</f>
        <v>26178.874978750166</v>
      </c>
      <c r="G4" s="447">
        <f>huishoudens!G8</f>
        <v>0</v>
      </c>
      <c r="H4" s="447">
        <f>huishoudens!H8</f>
        <v>0</v>
      </c>
      <c r="I4" s="447">
        <f>huishoudens!I8</f>
        <v>0</v>
      </c>
      <c r="J4" s="447">
        <f>huishoudens!J8</f>
        <v>589.48189355525517</v>
      </c>
      <c r="K4" s="447">
        <f>huishoudens!K8</f>
        <v>0</v>
      </c>
      <c r="L4" s="447">
        <f>huishoudens!L8</f>
        <v>0</v>
      </c>
      <c r="M4" s="447">
        <f>huishoudens!M8</f>
        <v>0</v>
      </c>
      <c r="N4" s="447">
        <f>huishoudens!N8</f>
        <v>4609.1559476143093</v>
      </c>
      <c r="O4" s="447">
        <f>huishoudens!O8</f>
        <v>51.589999999999996</v>
      </c>
      <c r="P4" s="448">
        <f>huishoudens!P8</f>
        <v>209.73333333333335</v>
      </c>
      <c r="Q4" s="449">
        <f>SUM(B4:P4)</f>
        <v>88177.43943185937</v>
      </c>
    </row>
    <row r="5" spans="1:17">
      <c r="A5" s="446" t="s">
        <v>149</v>
      </c>
      <c r="B5" s="447">
        <f ca="1">tertiair!B16</f>
        <v>17468.311000000002</v>
      </c>
      <c r="C5" s="447">
        <f ca="1">tertiair!C16</f>
        <v>6888.2142857142853</v>
      </c>
      <c r="D5" s="447">
        <f ca="1">tertiair!D16</f>
        <v>14670.661722571429</v>
      </c>
      <c r="E5" s="447">
        <f>tertiair!E16</f>
        <v>163.53861232168822</v>
      </c>
      <c r="F5" s="447">
        <f ca="1">tertiair!F16</f>
        <v>2496.6094441295195</v>
      </c>
      <c r="G5" s="447">
        <f>tertiair!G16</f>
        <v>0</v>
      </c>
      <c r="H5" s="447">
        <f>tertiair!H16</f>
        <v>0</v>
      </c>
      <c r="I5" s="447">
        <f>tertiair!I16</f>
        <v>0</v>
      </c>
      <c r="J5" s="447">
        <f>tertiair!J16</f>
        <v>0</v>
      </c>
      <c r="K5" s="447">
        <f>tertiair!K16</f>
        <v>0</v>
      </c>
      <c r="L5" s="447">
        <f ca="1">tertiair!L16</f>
        <v>0</v>
      </c>
      <c r="M5" s="447">
        <f>tertiair!M16</f>
        <v>0</v>
      </c>
      <c r="N5" s="447">
        <f ca="1">tertiair!N16</f>
        <v>0</v>
      </c>
      <c r="O5" s="447">
        <f>tertiair!O16</f>
        <v>0</v>
      </c>
      <c r="P5" s="448">
        <f>tertiair!P16</f>
        <v>95.333333333333343</v>
      </c>
      <c r="Q5" s="446">
        <f t="shared" ref="Q5:Q14" ca="1" si="0">SUM(B5:P5)</f>
        <v>41782.668398070266</v>
      </c>
    </row>
    <row r="6" spans="1:17">
      <c r="A6" s="446" t="s">
        <v>187</v>
      </c>
      <c r="B6" s="447">
        <f>'openbare verlichting'!B8</f>
        <v>1017.579</v>
      </c>
      <c r="C6" s="447"/>
      <c r="D6" s="447"/>
      <c r="E6" s="447"/>
      <c r="F6" s="447"/>
      <c r="G6" s="447"/>
      <c r="H6" s="447"/>
      <c r="I6" s="447"/>
      <c r="J6" s="447"/>
      <c r="K6" s="447"/>
      <c r="L6" s="447"/>
      <c r="M6" s="447"/>
      <c r="N6" s="447"/>
      <c r="O6" s="447"/>
      <c r="P6" s="448"/>
      <c r="Q6" s="446">
        <f t="shared" si="0"/>
        <v>1017.579</v>
      </c>
    </row>
    <row r="7" spans="1:17">
      <c r="A7" s="446" t="s">
        <v>105</v>
      </c>
      <c r="B7" s="447">
        <f>landbouw!B8</f>
        <v>4630.4430000000002</v>
      </c>
      <c r="C7" s="447">
        <f>landbouw!C8</f>
        <v>0</v>
      </c>
      <c r="D7" s="447">
        <f>landbouw!D8</f>
        <v>3005.3756040000003</v>
      </c>
      <c r="E7" s="447">
        <f>landbouw!E8</f>
        <v>48.491001546029821</v>
      </c>
      <c r="F7" s="447">
        <f>landbouw!F8</f>
        <v>19821.814429446895</v>
      </c>
      <c r="G7" s="447">
        <f>landbouw!G8</f>
        <v>0</v>
      </c>
      <c r="H7" s="447">
        <f>landbouw!H8</f>
        <v>0</v>
      </c>
      <c r="I7" s="447">
        <f>landbouw!I8</f>
        <v>0</v>
      </c>
      <c r="J7" s="447">
        <f>landbouw!J8</f>
        <v>413.54006326864231</v>
      </c>
      <c r="K7" s="447">
        <f>landbouw!K8</f>
        <v>0</v>
      </c>
      <c r="L7" s="447">
        <f>landbouw!L8</f>
        <v>0</v>
      </c>
      <c r="M7" s="447">
        <f>landbouw!M8</f>
        <v>0</v>
      </c>
      <c r="N7" s="447">
        <f>landbouw!N8</f>
        <v>0</v>
      </c>
      <c r="O7" s="447">
        <f>landbouw!O8</f>
        <v>0</v>
      </c>
      <c r="P7" s="448">
        <f>landbouw!P8</f>
        <v>0</v>
      </c>
      <c r="Q7" s="446">
        <f t="shared" si="0"/>
        <v>27919.664098261568</v>
      </c>
    </row>
    <row r="8" spans="1:17">
      <c r="A8" s="446" t="s">
        <v>637</v>
      </c>
      <c r="B8" s="447">
        <f>industrie!B18</f>
        <v>55264.46</v>
      </c>
      <c r="C8" s="447">
        <f>industrie!C18</f>
        <v>0</v>
      </c>
      <c r="D8" s="447">
        <f>industrie!D18</f>
        <v>27555.813163999999</v>
      </c>
      <c r="E8" s="447">
        <f>industrie!E18</f>
        <v>796.26644267215545</v>
      </c>
      <c r="F8" s="447">
        <f>industrie!F18</f>
        <v>24585.785845884482</v>
      </c>
      <c r="G8" s="447">
        <f>industrie!G18</f>
        <v>0</v>
      </c>
      <c r="H8" s="447">
        <f>industrie!H18</f>
        <v>0</v>
      </c>
      <c r="I8" s="447">
        <f>industrie!I18</f>
        <v>0</v>
      </c>
      <c r="J8" s="447">
        <f>industrie!J18</f>
        <v>460.43536818042736</v>
      </c>
      <c r="K8" s="447">
        <f>industrie!K18</f>
        <v>0</v>
      </c>
      <c r="L8" s="447">
        <f>industrie!L18</f>
        <v>0</v>
      </c>
      <c r="M8" s="447">
        <f>industrie!M18</f>
        <v>0</v>
      </c>
      <c r="N8" s="447">
        <f>industrie!N18</f>
        <v>2058.2425096526213</v>
      </c>
      <c r="O8" s="447">
        <f>industrie!O18</f>
        <v>0</v>
      </c>
      <c r="P8" s="448">
        <f>industrie!P18</f>
        <v>0</v>
      </c>
      <c r="Q8" s="446">
        <f t="shared" si="0"/>
        <v>110721.00333038969</v>
      </c>
    </row>
    <row r="9" spans="1:17" s="452" customFormat="1">
      <c r="A9" s="450" t="s">
        <v>556</v>
      </c>
      <c r="B9" s="451">
        <f>transport!B14</f>
        <v>0.78114211372442832</v>
      </c>
      <c r="C9" s="451">
        <f>transport!C14</f>
        <v>0</v>
      </c>
      <c r="D9" s="451">
        <f>transport!D14</f>
        <v>2.7830758961468938</v>
      </c>
      <c r="E9" s="451">
        <f>transport!E14</f>
        <v>283.11166109587612</v>
      </c>
      <c r="F9" s="451">
        <f>transport!F14</f>
        <v>0</v>
      </c>
      <c r="G9" s="451">
        <f>transport!G14</f>
        <v>65091.230505678344</v>
      </c>
      <c r="H9" s="451">
        <f>transport!H14</f>
        <v>9054.712951581796</v>
      </c>
      <c r="I9" s="451">
        <f>transport!I14</f>
        <v>0</v>
      </c>
      <c r="J9" s="451">
        <f>transport!J14</f>
        <v>0</v>
      </c>
      <c r="K9" s="451">
        <f>transport!K14</f>
        <v>0</v>
      </c>
      <c r="L9" s="451">
        <f>transport!L14</f>
        <v>0</v>
      </c>
      <c r="M9" s="451">
        <f>transport!M14</f>
        <v>3220.8202762627716</v>
      </c>
      <c r="N9" s="451">
        <f>transport!N14</f>
        <v>0</v>
      </c>
      <c r="O9" s="451">
        <f>transport!O14</f>
        <v>0</v>
      </c>
      <c r="P9" s="451">
        <f>transport!P14</f>
        <v>0</v>
      </c>
      <c r="Q9" s="450">
        <f>SUM(B9:P9)</f>
        <v>77653.439612628674</v>
      </c>
    </row>
    <row r="10" spans="1:17">
      <c r="A10" s="446" t="s">
        <v>546</v>
      </c>
      <c r="B10" s="447">
        <f>transport!B54</f>
        <v>2.7183418311467005</v>
      </c>
      <c r="C10" s="447">
        <f>transport!C54</f>
        <v>0</v>
      </c>
      <c r="D10" s="447">
        <f>transport!D54</f>
        <v>0</v>
      </c>
      <c r="E10" s="447">
        <f>transport!E54</f>
        <v>0</v>
      </c>
      <c r="F10" s="447">
        <f>transport!F54</f>
        <v>0</v>
      </c>
      <c r="G10" s="447">
        <f>transport!G54</f>
        <v>589.71696850033345</v>
      </c>
      <c r="H10" s="447">
        <f>transport!H54</f>
        <v>0</v>
      </c>
      <c r="I10" s="447">
        <f>transport!I54</f>
        <v>0</v>
      </c>
      <c r="J10" s="447">
        <f>transport!J54</f>
        <v>0</v>
      </c>
      <c r="K10" s="447">
        <f>transport!K54</f>
        <v>0</v>
      </c>
      <c r="L10" s="447">
        <f>transport!L54</f>
        <v>0</v>
      </c>
      <c r="M10" s="447">
        <f>transport!M54</f>
        <v>25.249415341452391</v>
      </c>
      <c r="N10" s="447">
        <f>transport!N54</f>
        <v>0</v>
      </c>
      <c r="O10" s="447">
        <f>transport!O54</f>
        <v>0</v>
      </c>
      <c r="P10" s="448">
        <f>transport!P54</f>
        <v>0</v>
      </c>
      <c r="Q10" s="446">
        <f t="shared" si="0"/>
        <v>617.68472567293259</v>
      </c>
    </row>
    <row r="11" spans="1:17">
      <c r="A11" s="446" t="s">
        <v>547</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548</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549</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893</v>
      </c>
      <c r="B14" s="454">
        <f>'SEAP template'!C25</f>
        <v>1035.1610000000001</v>
      </c>
      <c r="C14" s="454"/>
      <c r="D14" s="454">
        <f>'SEAP template'!E25</f>
        <v>489.69400000000002</v>
      </c>
      <c r="E14" s="454"/>
      <c r="F14" s="454"/>
      <c r="G14" s="454"/>
      <c r="H14" s="454"/>
      <c r="I14" s="454"/>
      <c r="J14" s="454"/>
      <c r="K14" s="454"/>
      <c r="L14" s="454"/>
      <c r="M14" s="454"/>
      <c r="N14" s="454"/>
      <c r="O14" s="454"/>
      <c r="P14" s="455"/>
      <c r="Q14" s="446">
        <f t="shared" si="0"/>
        <v>1524.855</v>
      </c>
    </row>
    <row r="15" spans="1:17" s="459" customFormat="1">
      <c r="A15" s="456" t="s">
        <v>550</v>
      </c>
      <c r="B15" s="457">
        <f ca="1">SUM(B4:B14)</f>
        <v>98049.303239457367</v>
      </c>
      <c r="C15" s="457">
        <f t="shared" ref="C15:Q15" ca="1" si="1">SUM(C4:C14)</f>
        <v>6888.2142857142853</v>
      </c>
      <c r="D15" s="457">
        <f t="shared" ca="1" si="1"/>
        <v>82866.145730467586</v>
      </c>
      <c r="E15" s="457">
        <f t="shared" si="1"/>
        <v>2058.3430767295335</v>
      </c>
      <c r="F15" s="457">
        <f t="shared" ca="1" si="1"/>
        <v>73083.084698211067</v>
      </c>
      <c r="G15" s="457">
        <f t="shared" si="1"/>
        <v>65680.947474178683</v>
      </c>
      <c r="H15" s="457">
        <f t="shared" si="1"/>
        <v>9054.712951581796</v>
      </c>
      <c r="I15" s="457">
        <f t="shared" si="1"/>
        <v>0</v>
      </c>
      <c r="J15" s="457">
        <f t="shared" si="1"/>
        <v>1463.4573250043247</v>
      </c>
      <c r="K15" s="457">
        <f t="shared" si="1"/>
        <v>0</v>
      </c>
      <c r="L15" s="457">
        <f t="shared" ca="1" si="1"/>
        <v>0</v>
      </c>
      <c r="M15" s="457">
        <f t="shared" si="1"/>
        <v>3246.0696916042239</v>
      </c>
      <c r="N15" s="457">
        <f t="shared" ca="1" si="1"/>
        <v>6667.3984572669306</v>
      </c>
      <c r="O15" s="457">
        <f t="shared" si="1"/>
        <v>51.589999999999996</v>
      </c>
      <c r="P15" s="457">
        <f t="shared" si="1"/>
        <v>305.06666666666672</v>
      </c>
      <c r="Q15" s="457">
        <f t="shared" ca="1" si="1"/>
        <v>349414.33359688247</v>
      </c>
    </row>
    <row r="17" spans="1:17">
      <c r="A17" s="460" t="s">
        <v>551</v>
      </c>
      <c r="B17" s="764">
        <f ca="1">huishoudens!B10</f>
        <v>0.20088318133553656</v>
      </c>
      <c r="C17" s="764">
        <f ca="1">huishoudens!C10</f>
        <v>1.6634185171968926E-3</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43" t="s">
        <v>553</v>
      </c>
      <c r="B19" s="1144" t="s">
        <v>552</v>
      </c>
      <c r="C19" s="1144"/>
      <c r="D19" s="1144"/>
      <c r="E19" s="1144"/>
      <c r="F19" s="1144"/>
      <c r="G19" s="1144"/>
      <c r="H19" s="1144"/>
      <c r="I19" s="1144"/>
      <c r="J19" s="1144"/>
      <c r="K19" s="1144"/>
      <c r="L19" s="1144"/>
      <c r="M19" s="1144"/>
      <c r="N19" s="1144"/>
      <c r="O19" s="1144"/>
      <c r="P19" s="1145"/>
      <c r="Q19" s="992"/>
    </row>
    <row r="20" spans="1:17" ht="15" customHeight="1">
      <c r="A20" s="1143"/>
      <c r="B20" s="1146" t="s">
        <v>20</v>
      </c>
      <c r="C20" s="1148" t="s">
        <v>189</v>
      </c>
      <c r="D20" s="1150" t="s">
        <v>190</v>
      </c>
      <c r="E20" s="1151"/>
      <c r="F20" s="1151"/>
      <c r="G20" s="1151"/>
      <c r="H20" s="1151"/>
      <c r="I20" s="1151"/>
      <c r="J20" s="1151"/>
      <c r="K20" s="1147"/>
      <c r="L20" s="1150" t="s">
        <v>191</v>
      </c>
      <c r="M20" s="1151"/>
      <c r="N20" s="1151"/>
      <c r="O20" s="1151"/>
      <c r="P20" s="1147"/>
      <c r="Q20" s="992"/>
    </row>
    <row r="21" spans="1:17" ht="45">
      <c r="A21" s="1143"/>
      <c r="B21" s="1147"/>
      <c r="C21" s="1149"/>
      <c r="D21" s="992" t="s">
        <v>192</v>
      </c>
      <c r="E21" s="992" t="s">
        <v>193</v>
      </c>
      <c r="F21" s="992" t="s">
        <v>194</v>
      </c>
      <c r="G21" s="992" t="s">
        <v>195</v>
      </c>
      <c r="H21" s="992" t="s">
        <v>113</v>
      </c>
      <c r="I21" s="992" t="s">
        <v>196</v>
      </c>
      <c r="J21" s="992" t="s">
        <v>197</v>
      </c>
      <c r="K21" s="992" t="s">
        <v>198</v>
      </c>
      <c r="L21" s="992" t="s">
        <v>199</v>
      </c>
      <c r="M21" s="992" t="s">
        <v>200</v>
      </c>
      <c r="N21" s="992" t="s">
        <v>201</v>
      </c>
      <c r="O21" s="992" t="s">
        <v>202</v>
      </c>
      <c r="P21" s="992" t="s">
        <v>203</v>
      </c>
      <c r="Q21" s="992" t="s">
        <v>109</v>
      </c>
    </row>
    <row r="22" spans="1:17">
      <c r="A22" s="446" t="s">
        <v>148</v>
      </c>
      <c r="B22" s="447">
        <f t="shared" ref="B22:B32" ca="1" si="2">B4*$B$17</f>
        <v>3742.4234866904203</v>
      </c>
      <c r="C22" s="447">
        <f t="shared" ref="C22:C32" ca="1" si="3">C4*$C$17</f>
        <v>0</v>
      </c>
      <c r="D22" s="447">
        <f t="shared" ref="D22:D32" si="4">D4*$D$17</f>
        <v>7502.6472691280014</v>
      </c>
      <c r="E22" s="447">
        <f t="shared" ref="E22:E32" si="5">E4*$E$17</f>
        <v>174.09432651428898</v>
      </c>
      <c r="F22" s="447">
        <f t="shared" ref="F22:F32" si="6">F4*$F$17</f>
        <v>6989.7596193262943</v>
      </c>
      <c r="G22" s="447">
        <f t="shared" ref="G22:G32" si="7">G4*$G$17</f>
        <v>0</v>
      </c>
      <c r="H22" s="447">
        <f t="shared" ref="H22:H32" si="8">H4*$H$17</f>
        <v>0</v>
      </c>
      <c r="I22" s="447">
        <f t="shared" ref="I22:I32" si="9">I4*$I$17</f>
        <v>0</v>
      </c>
      <c r="J22" s="447">
        <f t="shared" ref="J22:J32" si="10">J4*$J$17</f>
        <v>208.67659031856033</v>
      </c>
      <c r="K22" s="447">
        <f t="shared" ref="K22:K32" si="11">K4*$K$17</f>
        <v>0</v>
      </c>
      <c r="L22" s="447">
        <f t="shared" ref="L22:L32" si="12">L4*$L$17</f>
        <v>0</v>
      </c>
      <c r="M22" s="447">
        <f t="shared" ref="M22:M32" si="13">M4*$M$17</f>
        <v>0</v>
      </c>
      <c r="N22" s="447">
        <f t="shared" ref="N22:N32" si="14">N4*$N$17</f>
        <v>0</v>
      </c>
      <c r="O22" s="447">
        <f t="shared" ref="O22:O32" si="15">O4*$O$17</f>
        <v>0</v>
      </c>
      <c r="P22" s="993">
        <f t="shared" ref="P22:P32" si="16">P4*$P$17</f>
        <v>0</v>
      </c>
      <c r="Q22" s="449">
        <f ca="1">SUM(B22:P22)</f>
        <v>18617.601291977564</v>
      </c>
    </row>
    <row r="23" spans="1:17">
      <c r="A23" s="446" t="s">
        <v>149</v>
      </c>
      <c r="B23" s="447">
        <f t="shared" ca="1" si="2"/>
        <v>3509.0898862385484</v>
      </c>
      <c r="C23" s="447">
        <f t="shared" ca="1" si="3"/>
        <v>11.457983193277309</v>
      </c>
      <c r="D23" s="447">
        <f t="shared" ca="1" si="4"/>
        <v>2963.4736679594289</v>
      </c>
      <c r="E23" s="447">
        <f t="shared" si="5"/>
        <v>37.123264997023227</v>
      </c>
      <c r="F23" s="447">
        <f t="shared" ca="1" si="6"/>
        <v>666.59472158258177</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1" ca="1" si="17">SUM(B23:P23)</f>
        <v>7187.7395239708594</v>
      </c>
    </row>
    <row r="24" spans="1:17">
      <c r="A24" s="446" t="s">
        <v>187</v>
      </c>
      <c r="B24" s="447">
        <f t="shared" ca="1" si="2"/>
        <v>204.41450678023395</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204.41450678023395</v>
      </c>
    </row>
    <row r="25" spans="1:17">
      <c r="A25" s="446" t="s">
        <v>105</v>
      </c>
      <c r="B25" s="447">
        <f t="shared" ca="1" si="2"/>
        <v>930.17812083286594</v>
      </c>
      <c r="C25" s="447">
        <f t="shared" ca="1" si="3"/>
        <v>0</v>
      </c>
      <c r="D25" s="447">
        <f t="shared" si="4"/>
        <v>607.08587200800014</v>
      </c>
      <c r="E25" s="447">
        <f t="shared" si="5"/>
        <v>11.007457350948769</v>
      </c>
      <c r="F25" s="447">
        <f t="shared" si="6"/>
        <v>5292.4244526623215</v>
      </c>
      <c r="G25" s="447">
        <f t="shared" si="7"/>
        <v>0</v>
      </c>
      <c r="H25" s="447">
        <f t="shared" si="8"/>
        <v>0</v>
      </c>
      <c r="I25" s="447">
        <f t="shared" si="9"/>
        <v>0</v>
      </c>
      <c r="J25" s="447">
        <f t="shared" si="10"/>
        <v>146.39318239709937</v>
      </c>
      <c r="K25" s="447">
        <f t="shared" si="11"/>
        <v>0</v>
      </c>
      <c r="L25" s="447">
        <f t="shared" si="12"/>
        <v>0</v>
      </c>
      <c r="M25" s="447">
        <f t="shared" si="13"/>
        <v>0</v>
      </c>
      <c r="N25" s="447">
        <f t="shared" si="14"/>
        <v>0</v>
      </c>
      <c r="O25" s="447">
        <f t="shared" si="15"/>
        <v>0</v>
      </c>
      <c r="P25" s="448">
        <f t="shared" si="16"/>
        <v>0</v>
      </c>
      <c r="Q25" s="446">
        <f t="shared" ca="1" si="17"/>
        <v>6987.0890852512366</v>
      </c>
    </row>
    <row r="26" spans="1:17">
      <c r="A26" s="446" t="s">
        <v>637</v>
      </c>
      <c r="B26" s="447">
        <f t="shared" ca="1" si="2"/>
        <v>11101.700539590507</v>
      </c>
      <c r="C26" s="447">
        <f t="shared" ca="1" si="3"/>
        <v>0</v>
      </c>
      <c r="D26" s="447">
        <f t="shared" si="4"/>
        <v>5566.2742591280003</v>
      </c>
      <c r="E26" s="447">
        <f t="shared" si="5"/>
        <v>180.75248248657928</v>
      </c>
      <c r="F26" s="447">
        <f t="shared" si="6"/>
        <v>6564.4048208511567</v>
      </c>
      <c r="G26" s="447">
        <f t="shared" si="7"/>
        <v>0</v>
      </c>
      <c r="H26" s="447">
        <f t="shared" si="8"/>
        <v>0</v>
      </c>
      <c r="I26" s="447">
        <f t="shared" si="9"/>
        <v>0</v>
      </c>
      <c r="J26" s="447">
        <f t="shared" si="10"/>
        <v>162.99412033587129</v>
      </c>
      <c r="K26" s="447">
        <f t="shared" si="11"/>
        <v>0</v>
      </c>
      <c r="L26" s="447">
        <f t="shared" si="12"/>
        <v>0</v>
      </c>
      <c r="M26" s="447">
        <f t="shared" si="13"/>
        <v>0</v>
      </c>
      <c r="N26" s="447">
        <f t="shared" si="14"/>
        <v>0</v>
      </c>
      <c r="O26" s="447">
        <f t="shared" si="15"/>
        <v>0</v>
      </c>
      <c r="P26" s="448">
        <f t="shared" si="16"/>
        <v>0</v>
      </c>
      <c r="Q26" s="446">
        <f t="shared" ca="1" si="17"/>
        <v>23576.126222392115</v>
      </c>
    </row>
    <row r="27" spans="1:17" s="452" customFormat="1">
      <c r="A27" s="450" t="s">
        <v>556</v>
      </c>
      <c r="B27" s="758">
        <f t="shared" ca="1" si="2"/>
        <v>0.15691831288012867</v>
      </c>
      <c r="C27" s="451">
        <f t="shared" ca="1" si="3"/>
        <v>0</v>
      </c>
      <c r="D27" s="451">
        <f t="shared" si="4"/>
        <v>0.56218133102167256</v>
      </c>
      <c r="E27" s="451">
        <f t="shared" si="5"/>
        <v>64.266347068763878</v>
      </c>
      <c r="F27" s="451">
        <f t="shared" si="6"/>
        <v>0</v>
      </c>
      <c r="G27" s="451">
        <f t="shared" si="7"/>
        <v>17379.358545016119</v>
      </c>
      <c r="H27" s="451">
        <f t="shared" si="8"/>
        <v>2254.6235249438673</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19698.967516672652</v>
      </c>
    </row>
    <row r="28" spans="1:17">
      <c r="A28" s="446" t="s">
        <v>546</v>
      </c>
      <c r="B28" s="447">
        <f t="shared" ca="1" si="2"/>
        <v>0.54606915499821718</v>
      </c>
      <c r="C28" s="447">
        <f t="shared" ca="1" si="3"/>
        <v>0</v>
      </c>
      <c r="D28" s="447">
        <f t="shared" si="4"/>
        <v>0</v>
      </c>
      <c r="E28" s="447">
        <f t="shared" si="5"/>
        <v>0</v>
      </c>
      <c r="F28" s="447">
        <f t="shared" si="6"/>
        <v>0</v>
      </c>
      <c r="G28" s="447">
        <f t="shared" si="7"/>
        <v>157.45443058958904</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158.00049974458724</v>
      </c>
    </row>
    <row r="29" spans="1:17">
      <c r="A29" s="446" t="s">
        <v>547</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548</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549</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893</v>
      </c>
      <c r="B32" s="447">
        <f t="shared" ca="1" si="2"/>
        <v>207.94643487447539</v>
      </c>
      <c r="C32" s="447">
        <f t="shared" ca="1" si="3"/>
        <v>0</v>
      </c>
      <c r="D32" s="447">
        <f t="shared" si="4"/>
        <v>98.918188000000015</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306.8646228744754</v>
      </c>
    </row>
    <row r="33" spans="1:17" s="459" customFormat="1">
      <c r="A33" s="456" t="s">
        <v>550</v>
      </c>
      <c r="B33" s="457">
        <f ca="1">SUM(B22:B32)</f>
        <v>19696.455962474931</v>
      </c>
      <c r="C33" s="457">
        <f t="shared" ref="C33:Q33" ca="1" si="19">SUM(C22:C32)</f>
        <v>11.457983193277309</v>
      </c>
      <c r="D33" s="457">
        <f t="shared" ca="1" si="19"/>
        <v>16738.961437554452</v>
      </c>
      <c r="E33" s="457">
        <f t="shared" si="19"/>
        <v>467.24387841760409</v>
      </c>
      <c r="F33" s="457">
        <f t="shared" ca="1" si="19"/>
        <v>19513.183614422353</v>
      </c>
      <c r="G33" s="457">
        <f t="shared" si="19"/>
        <v>17536.81297560571</v>
      </c>
      <c r="H33" s="457">
        <f t="shared" si="19"/>
        <v>2254.6235249438673</v>
      </c>
      <c r="I33" s="457">
        <f t="shared" si="19"/>
        <v>0</v>
      </c>
      <c r="J33" s="457">
        <f t="shared" si="19"/>
        <v>518.06389305153107</v>
      </c>
      <c r="K33" s="457">
        <f t="shared" si="19"/>
        <v>0</v>
      </c>
      <c r="L33" s="457">
        <f t="shared" ca="1" si="19"/>
        <v>0</v>
      </c>
      <c r="M33" s="457">
        <f t="shared" si="19"/>
        <v>0</v>
      </c>
      <c r="N33" s="457">
        <f t="shared" ca="1" si="19"/>
        <v>0</v>
      </c>
      <c r="O33" s="457">
        <f t="shared" si="19"/>
        <v>0</v>
      </c>
      <c r="P33" s="457">
        <f t="shared" si="19"/>
        <v>0</v>
      </c>
      <c r="Q33" s="457">
        <f t="shared" ca="1" si="19"/>
        <v>76736.803269663724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tabColor theme="6"/>
  </sheetPr>
  <dimension ref="A1:Q20"/>
  <sheetViews>
    <sheetView zoomScale="55" zoomScaleNormal="55"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97" customFormat="1" ht="21">
      <c r="A1" s="1152" t="s">
        <v>545</v>
      </c>
      <c r="B1" s="1153" t="s">
        <v>847</v>
      </c>
      <c r="C1" s="1153"/>
      <c r="D1" s="1153"/>
      <c r="E1" s="1153"/>
      <c r="F1" s="1153"/>
      <c r="G1" s="1153"/>
      <c r="H1" s="1153"/>
      <c r="I1" s="1153"/>
      <c r="J1" s="1153"/>
      <c r="K1" s="1153"/>
      <c r="L1" s="1153"/>
      <c r="M1" s="1153"/>
      <c r="N1" s="1153"/>
      <c r="O1" s="1153"/>
      <c r="P1" s="1154"/>
      <c r="Q1" s="927"/>
    </row>
    <row r="2" spans="1:17" s="897" customFormat="1" ht="21">
      <c r="A2" s="1152"/>
      <c r="B2" s="1155" t="s">
        <v>20</v>
      </c>
      <c r="C2" s="1157" t="s">
        <v>189</v>
      </c>
      <c r="D2" s="1159" t="s">
        <v>190</v>
      </c>
      <c r="E2" s="1160"/>
      <c r="F2" s="1160"/>
      <c r="G2" s="1160"/>
      <c r="H2" s="1160"/>
      <c r="I2" s="1160"/>
      <c r="J2" s="1160"/>
      <c r="K2" s="1156"/>
      <c r="L2" s="1159" t="s">
        <v>191</v>
      </c>
      <c r="M2" s="1160"/>
      <c r="N2" s="1160"/>
      <c r="O2" s="1160"/>
      <c r="P2" s="1156"/>
      <c r="Q2" s="927"/>
    </row>
    <row r="3" spans="1:17" s="897" customFormat="1" ht="42">
      <c r="A3" s="1152"/>
      <c r="B3" s="1156"/>
      <c r="C3" s="1158"/>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27" t="s">
        <v>109</v>
      </c>
    </row>
    <row r="4" spans="1:17" ht="124.35" customHeight="1">
      <c r="A4" s="914" t="s">
        <v>148</v>
      </c>
      <c r="B4" s="933" t="s">
        <v>848</v>
      </c>
      <c r="C4" s="934" t="s">
        <v>849</v>
      </c>
      <c r="D4" s="935" t="s">
        <v>850</v>
      </c>
      <c r="E4" s="936" t="s">
        <v>851</v>
      </c>
      <c r="F4" s="936" t="s">
        <v>852</v>
      </c>
      <c r="G4" s="937" t="s">
        <v>855</v>
      </c>
      <c r="H4" s="937" t="s">
        <v>855</v>
      </c>
      <c r="I4" s="937" t="s">
        <v>855</v>
      </c>
      <c r="J4" s="936" t="s">
        <v>854</v>
      </c>
      <c r="K4" s="937" t="s">
        <v>855</v>
      </c>
      <c r="L4" s="937" t="s">
        <v>855</v>
      </c>
      <c r="M4" s="937" t="s">
        <v>855</v>
      </c>
      <c r="N4" s="936" t="s">
        <v>856</v>
      </c>
      <c r="O4" s="938" t="s">
        <v>857</v>
      </c>
      <c r="P4" s="939" t="s">
        <v>858</v>
      </c>
      <c r="Q4" s="940"/>
    </row>
    <row r="5" spans="1:17" ht="124.35" customHeight="1">
      <c r="A5" s="915" t="s">
        <v>149</v>
      </c>
      <c r="B5" s="916" t="s">
        <v>859</v>
      </c>
      <c r="C5" s="917" t="s">
        <v>860</v>
      </c>
      <c r="D5" s="917" t="s">
        <v>861</v>
      </c>
      <c r="E5" s="918" t="s">
        <v>862</v>
      </c>
      <c r="F5" s="918" t="s">
        <v>863</v>
      </c>
      <c r="G5" s="919" t="s">
        <v>855</v>
      </c>
      <c r="H5" s="919" t="s">
        <v>855</v>
      </c>
      <c r="I5" s="919" t="s">
        <v>855</v>
      </c>
      <c r="J5" s="918" t="s">
        <v>864</v>
      </c>
      <c r="K5" s="916" t="s">
        <v>865</v>
      </c>
      <c r="L5" s="919" t="s">
        <v>855</v>
      </c>
      <c r="M5" s="919" t="s">
        <v>855</v>
      </c>
      <c r="N5" s="918" t="s">
        <v>866</v>
      </c>
      <c r="O5" s="920" t="s">
        <v>857</v>
      </c>
      <c r="P5" s="928" t="s">
        <v>858</v>
      </c>
      <c r="Q5" s="911"/>
    </row>
    <row r="6" spans="1:17" ht="124.35" customHeight="1">
      <c r="A6" s="915" t="s">
        <v>187</v>
      </c>
      <c r="B6" s="921" t="s">
        <v>867</v>
      </c>
      <c r="C6" s="922" t="s">
        <v>853</v>
      </c>
      <c r="D6" s="919" t="s">
        <v>853</v>
      </c>
      <c r="E6" s="919" t="s">
        <v>853</v>
      </c>
      <c r="F6" s="919" t="s">
        <v>853</v>
      </c>
      <c r="G6" s="919" t="s">
        <v>853</v>
      </c>
      <c r="H6" s="919" t="s">
        <v>853</v>
      </c>
      <c r="I6" s="919" t="s">
        <v>853</v>
      </c>
      <c r="J6" s="919" t="s">
        <v>853</v>
      </c>
      <c r="K6" s="919" t="s">
        <v>853</v>
      </c>
      <c r="L6" s="919" t="s">
        <v>853</v>
      </c>
      <c r="M6" s="919" t="s">
        <v>853</v>
      </c>
      <c r="N6" s="919" t="s">
        <v>853</v>
      </c>
      <c r="O6" s="923" t="s">
        <v>853</v>
      </c>
      <c r="P6" s="929" t="s">
        <v>853</v>
      </c>
      <c r="Q6" s="912"/>
    </row>
    <row r="7" spans="1:17" ht="124.35" customHeight="1">
      <c r="A7" s="915" t="s">
        <v>105</v>
      </c>
      <c r="B7" s="921" t="s">
        <v>867</v>
      </c>
      <c r="C7" s="917" t="s">
        <v>860</v>
      </c>
      <c r="D7" s="917" t="s">
        <v>861</v>
      </c>
      <c r="E7" s="918" t="s">
        <v>862</v>
      </c>
      <c r="F7" s="918" t="s">
        <v>863</v>
      </c>
      <c r="G7" s="919" t="s">
        <v>855</v>
      </c>
      <c r="H7" s="919" t="s">
        <v>855</v>
      </c>
      <c r="I7" s="919" t="s">
        <v>855</v>
      </c>
      <c r="J7" s="918" t="s">
        <v>864</v>
      </c>
      <c r="K7" s="919" t="s">
        <v>855</v>
      </c>
      <c r="L7" s="919" t="s">
        <v>855</v>
      </c>
      <c r="M7" s="919" t="s">
        <v>855</v>
      </c>
      <c r="N7" s="924" t="s">
        <v>855</v>
      </c>
      <c r="O7" s="922" t="s">
        <v>855</v>
      </c>
      <c r="P7" s="930" t="s">
        <v>855</v>
      </c>
      <c r="Q7" s="911"/>
    </row>
    <row r="8" spans="1:17" ht="124.35" customHeight="1">
      <c r="A8" s="915" t="s">
        <v>637</v>
      </c>
      <c r="B8" s="916" t="s">
        <v>868</v>
      </c>
      <c r="C8" s="917" t="s">
        <v>860</v>
      </c>
      <c r="D8" s="917" t="s">
        <v>861</v>
      </c>
      <c r="E8" s="918" t="s">
        <v>862</v>
      </c>
      <c r="F8" s="918" t="s">
        <v>863</v>
      </c>
      <c r="G8" s="919" t="s">
        <v>855</v>
      </c>
      <c r="H8" s="919" t="s">
        <v>855</v>
      </c>
      <c r="I8" s="919" t="s">
        <v>855</v>
      </c>
      <c r="J8" s="918" t="s">
        <v>864</v>
      </c>
      <c r="K8" s="916" t="s">
        <v>865</v>
      </c>
      <c r="L8" s="919" t="s">
        <v>855</v>
      </c>
      <c r="M8" s="919" t="s">
        <v>855</v>
      </c>
      <c r="N8" s="918" t="s">
        <v>866</v>
      </c>
      <c r="O8" s="920" t="s">
        <v>857</v>
      </c>
      <c r="P8" s="928" t="s">
        <v>858</v>
      </c>
      <c r="Q8" s="911"/>
    </row>
    <row r="9" spans="1:17" s="452" customFormat="1" ht="124.35" customHeight="1">
      <c r="A9" s="925" t="s">
        <v>556</v>
      </c>
      <c r="B9" s="918" t="s">
        <v>869</v>
      </c>
      <c r="C9" s="923" t="s">
        <v>853</v>
      </c>
      <c r="D9" s="918" t="s">
        <v>870</v>
      </c>
      <c r="E9" s="918" t="s">
        <v>871</v>
      </c>
      <c r="F9" s="919" t="s">
        <v>853</v>
      </c>
      <c r="G9" s="918" t="s">
        <v>872</v>
      </c>
      <c r="H9" s="918" t="s">
        <v>873</v>
      </c>
      <c r="I9" s="919" t="s">
        <v>853</v>
      </c>
      <c r="J9" s="919" t="s">
        <v>853</v>
      </c>
      <c r="K9" s="919" t="s">
        <v>853</v>
      </c>
      <c r="L9" s="919" t="s">
        <v>853</v>
      </c>
      <c r="M9" s="918" t="s">
        <v>869</v>
      </c>
      <c r="N9" s="919" t="s">
        <v>853</v>
      </c>
      <c r="O9" s="919" t="s">
        <v>853</v>
      </c>
      <c r="P9" s="931" t="s">
        <v>853</v>
      </c>
      <c r="Q9" s="913"/>
    </row>
    <row r="10" spans="1:17" ht="124.35" customHeight="1">
      <c r="A10" s="915" t="s">
        <v>546</v>
      </c>
      <c r="B10" s="916" t="s">
        <v>883</v>
      </c>
      <c r="C10" s="923" t="s">
        <v>853</v>
      </c>
      <c r="D10" s="923" t="s">
        <v>853</v>
      </c>
      <c r="E10" s="923" t="s">
        <v>853</v>
      </c>
      <c r="F10" s="919" t="s">
        <v>853</v>
      </c>
      <c r="G10" s="916" t="s">
        <v>874</v>
      </c>
      <c r="H10" s="919" t="s">
        <v>853</v>
      </c>
      <c r="I10" s="919" t="s">
        <v>853</v>
      </c>
      <c r="J10" s="919" t="s">
        <v>853</v>
      </c>
      <c r="K10" s="919" t="s">
        <v>853</v>
      </c>
      <c r="L10" s="919" t="s">
        <v>853</v>
      </c>
      <c r="M10" s="916" t="s">
        <v>875</v>
      </c>
      <c r="N10" s="919" t="s">
        <v>853</v>
      </c>
      <c r="O10" s="919" t="s">
        <v>853</v>
      </c>
      <c r="P10" s="931" t="s">
        <v>853</v>
      </c>
      <c r="Q10" s="911"/>
    </row>
    <row r="11" spans="1:17" ht="21">
      <c r="A11" s="915" t="s">
        <v>547</v>
      </c>
      <c r="B11" s="926" t="s">
        <v>876</v>
      </c>
      <c r="C11" s="926" t="s">
        <v>876</v>
      </c>
      <c r="D11" s="926" t="s">
        <v>876</v>
      </c>
      <c r="E11" s="926" t="s">
        <v>876</v>
      </c>
      <c r="F11" s="926" t="s">
        <v>876</v>
      </c>
      <c r="G11" s="926" t="s">
        <v>876</v>
      </c>
      <c r="H11" s="926" t="s">
        <v>876</v>
      </c>
      <c r="I11" s="926" t="s">
        <v>876</v>
      </c>
      <c r="J11" s="926" t="s">
        <v>876</v>
      </c>
      <c r="K11" s="926" t="s">
        <v>876</v>
      </c>
      <c r="L11" s="926" t="s">
        <v>876</v>
      </c>
      <c r="M11" s="926" t="s">
        <v>876</v>
      </c>
      <c r="N11" s="926" t="s">
        <v>876</v>
      </c>
      <c r="O11" s="926" t="s">
        <v>876</v>
      </c>
      <c r="P11" s="941" t="s">
        <v>876</v>
      </c>
      <c r="Q11" s="942"/>
    </row>
    <row r="12" spans="1:17" ht="21">
      <c r="A12" s="915" t="s">
        <v>548</v>
      </c>
      <c r="B12" s="926" t="s">
        <v>876</v>
      </c>
      <c r="C12" s="926" t="s">
        <v>853</v>
      </c>
      <c r="D12" s="926" t="s">
        <v>853</v>
      </c>
      <c r="E12" s="926" t="s">
        <v>853</v>
      </c>
      <c r="F12" s="926" t="s">
        <v>853</v>
      </c>
      <c r="G12" s="926" t="s">
        <v>853</v>
      </c>
      <c r="H12" s="926" t="s">
        <v>853</v>
      </c>
      <c r="I12" s="926" t="s">
        <v>853</v>
      </c>
      <c r="J12" s="926" t="s">
        <v>853</v>
      </c>
      <c r="K12" s="926" t="s">
        <v>853</v>
      </c>
      <c r="L12" s="926" t="s">
        <v>853</v>
      </c>
      <c r="M12" s="926" t="s">
        <v>853</v>
      </c>
      <c r="N12" s="926" t="s">
        <v>853</v>
      </c>
      <c r="O12" s="926" t="s">
        <v>853</v>
      </c>
      <c r="P12" s="932" t="s">
        <v>853</v>
      </c>
      <c r="Q12" s="448"/>
    </row>
    <row r="13" spans="1:17" ht="21">
      <c r="A13" s="915" t="s">
        <v>549</v>
      </c>
      <c r="B13" s="926" t="s">
        <v>876</v>
      </c>
      <c r="C13" s="926" t="s">
        <v>853</v>
      </c>
      <c r="D13" s="926" t="s">
        <v>876</v>
      </c>
      <c r="E13" s="926" t="s">
        <v>876</v>
      </c>
      <c r="F13" s="926" t="s">
        <v>853</v>
      </c>
      <c r="G13" s="926" t="s">
        <v>876</v>
      </c>
      <c r="H13" s="926" t="s">
        <v>876</v>
      </c>
      <c r="I13" s="926" t="s">
        <v>853</v>
      </c>
      <c r="J13" s="926" t="s">
        <v>853</v>
      </c>
      <c r="K13" s="926" t="s">
        <v>853</v>
      </c>
      <c r="L13" s="926" t="s">
        <v>853</v>
      </c>
      <c r="M13" s="926" t="s">
        <v>876</v>
      </c>
      <c r="N13" s="926" t="s">
        <v>853</v>
      </c>
      <c r="O13" s="926" t="s">
        <v>853</v>
      </c>
      <c r="P13" s="941" t="s">
        <v>853</v>
      </c>
      <c r="Q13" s="942"/>
    </row>
    <row r="14" spans="1:17" ht="30">
      <c r="A14" s="898" t="s">
        <v>893</v>
      </c>
      <c r="B14" s="921" t="s">
        <v>892</v>
      </c>
      <c r="C14" s="926" t="s">
        <v>853</v>
      </c>
      <c r="D14" s="921" t="s">
        <v>892</v>
      </c>
      <c r="E14" s="926" t="s">
        <v>853</v>
      </c>
      <c r="F14" s="926" t="s">
        <v>853</v>
      </c>
      <c r="G14" s="926" t="s">
        <v>853</v>
      </c>
      <c r="H14" s="926" t="s">
        <v>853</v>
      </c>
      <c r="I14" s="926" t="s">
        <v>853</v>
      </c>
      <c r="J14" s="926" t="s">
        <v>853</v>
      </c>
      <c r="K14" s="926" t="s">
        <v>853</v>
      </c>
      <c r="L14" s="926" t="s">
        <v>853</v>
      </c>
      <c r="M14" s="926" t="s">
        <v>853</v>
      </c>
      <c r="N14" s="926" t="s">
        <v>853</v>
      </c>
      <c r="O14" s="926" t="s">
        <v>853</v>
      </c>
      <c r="P14" s="941" t="s">
        <v>853</v>
      </c>
      <c r="Q14" s="1003"/>
    </row>
    <row r="15" spans="1:17" s="459" customFormat="1" ht="21">
      <c r="A15" s="899" t="s">
        <v>550</v>
      </c>
      <c r="B15" s="457"/>
      <c r="C15" s="457"/>
      <c r="D15" s="457"/>
      <c r="E15" s="457"/>
      <c r="F15" s="457"/>
      <c r="G15" s="457"/>
      <c r="H15" s="457"/>
      <c r="I15" s="457"/>
      <c r="J15" s="457"/>
      <c r="K15" s="457"/>
      <c r="L15" s="457"/>
      <c r="M15" s="900"/>
      <c r="N15" s="457"/>
      <c r="O15" s="457"/>
      <c r="P15" s="458"/>
      <c r="Q15" s="901"/>
    </row>
    <row r="16" spans="1:17">
      <c r="M16" s="902"/>
    </row>
    <row r="17" spans="1:4">
      <c r="B17" s="903">
        <v>1</v>
      </c>
      <c r="C17" s="904">
        <v>2</v>
      </c>
      <c r="D17" s="905">
        <v>3</v>
      </c>
    </row>
    <row r="18" spans="1:4" ht="252">
      <c r="A18" s="906" t="s">
        <v>877</v>
      </c>
      <c r="B18" s="907" t="s">
        <v>878</v>
      </c>
      <c r="C18" s="908" t="s">
        <v>879</v>
      </c>
      <c r="D18" s="909" t="s">
        <v>880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60">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c r="A4" s="1005" t="s">
        <v>238</v>
      </c>
      <c r="B4" s="1006">
        <f>'SEAP template'!B72</f>
        <v>0</v>
      </c>
      <c r="C4" s="1006"/>
      <c r="D4" s="1006"/>
      <c r="E4" s="1006"/>
      <c r="F4" s="1006"/>
      <c r="G4" s="1006"/>
      <c r="H4" s="1006"/>
      <c r="I4" s="1006"/>
      <c r="J4" s="1006"/>
      <c r="K4" s="1006"/>
      <c r="L4" s="1006"/>
      <c r="M4" s="1006"/>
      <c r="N4" s="1006"/>
      <c r="O4" s="1006"/>
      <c r="P4" s="1007">
        <f>'SEAP template'!Q72</f>
        <v>0</v>
      </c>
    </row>
    <row r="5" spans="1:16">
      <c r="A5" s="1008" t="s">
        <v>239</v>
      </c>
      <c r="B5" s="1006">
        <f>'SEAP template'!B73</f>
        <v>0</v>
      </c>
      <c r="C5" s="1006"/>
      <c r="D5" s="1006"/>
      <c r="E5" s="1006"/>
      <c r="F5" s="1006"/>
      <c r="G5" s="1006"/>
      <c r="H5" s="1006"/>
      <c r="I5" s="1006"/>
      <c r="J5" s="1006"/>
      <c r="K5" s="1006"/>
      <c r="L5" s="1006"/>
      <c r="M5" s="1006"/>
      <c r="N5" s="1006"/>
      <c r="O5" s="1006"/>
      <c r="P5" s="1007">
        <f>'SEAP template'!Q73</f>
        <v>0</v>
      </c>
    </row>
    <row r="6" spans="1:16">
      <c r="A6" s="1008" t="s">
        <v>240</v>
      </c>
      <c r="B6" s="1006">
        <f>'SEAP template'!B74</f>
        <v>4139.6103695947686</v>
      </c>
      <c r="C6" s="1006"/>
      <c r="D6" s="1006"/>
      <c r="E6" s="1006"/>
      <c r="F6" s="1006"/>
      <c r="G6" s="1006"/>
      <c r="H6" s="1006"/>
      <c r="I6" s="1006"/>
      <c r="J6" s="1006"/>
      <c r="K6" s="1006"/>
      <c r="L6" s="1006"/>
      <c r="M6" s="1006"/>
      <c r="N6" s="1006"/>
      <c r="O6" s="1006"/>
      <c r="P6" s="1007">
        <f>'SEAP template'!Q74</f>
        <v>0</v>
      </c>
    </row>
    <row r="7" spans="1:16">
      <c r="A7" s="1008" t="s">
        <v>884</v>
      </c>
      <c r="B7" s="1006">
        <f>'SEAP template'!B75</f>
        <v>0</v>
      </c>
      <c r="C7" s="1006"/>
      <c r="D7" s="1006"/>
      <c r="E7" s="1006"/>
      <c r="F7" s="1006"/>
      <c r="G7" s="1006"/>
      <c r="H7" s="1006"/>
      <c r="I7" s="1006"/>
      <c r="J7" s="1006"/>
      <c r="K7" s="1006"/>
      <c r="L7" s="1006"/>
      <c r="M7" s="1006"/>
      <c r="N7" s="1006"/>
      <c r="O7" s="1006"/>
      <c r="P7" s="1007">
        <f>'SEAP template'!Q75</f>
        <v>0</v>
      </c>
    </row>
    <row r="8" spans="1:16">
      <c r="A8" s="1005" t="s">
        <v>241</v>
      </c>
      <c r="B8" s="1006">
        <f>'SEAP template'!B76</f>
        <v>4788</v>
      </c>
      <c r="C8" s="1006">
        <f>'SEAP template'!C76</f>
        <v>33.75</v>
      </c>
      <c r="D8" s="1006">
        <f>'SEAP template'!D76</f>
        <v>39.705882352941174</v>
      </c>
      <c r="E8" s="1006">
        <f>'SEAP template'!E76</f>
        <v>0</v>
      </c>
      <c r="F8" s="1006">
        <f>'SEAP template'!F76</f>
        <v>0</v>
      </c>
      <c r="G8" s="1006">
        <f>'SEAP template'!G76</f>
        <v>0</v>
      </c>
      <c r="H8" s="1006">
        <f>'SEAP template'!H76</f>
        <v>0</v>
      </c>
      <c r="I8" s="1006">
        <f>'SEAP template'!I76</f>
        <v>0</v>
      </c>
      <c r="J8" s="1006">
        <f>'SEAP template'!J76</f>
        <v>5632.9411764705883</v>
      </c>
      <c r="K8" s="1006">
        <f>'SEAP template'!K76</f>
        <v>0</v>
      </c>
      <c r="L8" s="1006">
        <f>'SEAP template'!L76</f>
        <v>0</v>
      </c>
      <c r="M8" s="1006">
        <f>'SEAP template'!M76</f>
        <v>0</v>
      </c>
      <c r="N8" s="1006">
        <f>'SEAP template'!N76</f>
        <v>0</v>
      </c>
      <c r="O8" s="1006">
        <f>'SEAP template'!O76</f>
        <v>0</v>
      </c>
      <c r="P8" s="1007">
        <f>'SEAP template'!Q76</f>
        <v>8.0205882352941185</v>
      </c>
    </row>
    <row r="9" spans="1:16">
      <c r="A9" s="1009" t="s">
        <v>902</v>
      </c>
      <c r="B9" s="1006">
        <f>'SEAP template'!B77</f>
        <v>0</v>
      </c>
      <c r="C9" s="1006">
        <f>'SEAP template'!C77</f>
        <v>0</v>
      </c>
      <c r="D9" s="1006">
        <f>'SEAP template'!D77</f>
        <v>0</v>
      </c>
      <c r="E9" s="1006">
        <f>'SEAP template'!E77</f>
        <v>0</v>
      </c>
      <c r="F9" s="1006">
        <f>'SEAP template'!F77</f>
        <v>0</v>
      </c>
      <c r="G9" s="1006">
        <f>'SEAP template'!G77</f>
        <v>0</v>
      </c>
      <c r="H9" s="1006">
        <f>'SEAP template'!H77</f>
        <v>0</v>
      </c>
      <c r="I9" s="1006">
        <f>'SEAP template'!I77</f>
        <v>0</v>
      </c>
      <c r="J9" s="1006">
        <f>'SEAP template'!J77</f>
        <v>0</v>
      </c>
      <c r="K9" s="1006">
        <f>'SEAP template'!K77</f>
        <v>0</v>
      </c>
      <c r="L9" s="1006">
        <f>'SEAP template'!L77</f>
        <v>0</v>
      </c>
      <c r="M9" s="1006">
        <f>'SEAP template'!M77</f>
        <v>0</v>
      </c>
      <c r="N9" s="1006">
        <f>'SEAP template'!N77</f>
        <v>0</v>
      </c>
      <c r="O9" s="1006">
        <f>'SEAP template'!O77</f>
        <v>0</v>
      </c>
      <c r="P9" s="1007">
        <f>'SEAP template'!Q77</f>
        <v>0</v>
      </c>
    </row>
    <row r="10" spans="1:16">
      <c r="A10" s="1008" t="s">
        <v>109</v>
      </c>
      <c r="B10" s="1010">
        <f>SUM(B4:B9)</f>
        <v>8927.6103695947677</v>
      </c>
      <c r="C10" s="1010">
        <f>SUM(C4:C9)</f>
        <v>33.75</v>
      </c>
      <c r="D10" s="1010">
        <f t="shared" ref="D10:H10" si="0">SUM(D8:D9)</f>
        <v>39.705882352941174</v>
      </c>
      <c r="E10" s="1010">
        <f t="shared" si="0"/>
        <v>0</v>
      </c>
      <c r="F10" s="1010">
        <f t="shared" si="0"/>
        <v>0</v>
      </c>
      <c r="G10" s="1010">
        <f t="shared" si="0"/>
        <v>0</v>
      </c>
      <c r="H10" s="1010">
        <f t="shared" si="0"/>
        <v>0</v>
      </c>
      <c r="I10" s="1010">
        <f>SUM(I8:I9)</f>
        <v>0</v>
      </c>
      <c r="J10" s="1010">
        <f>SUM(J8:J9)</f>
        <v>5632.9411764705883</v>
      </c>
      <c r="K10" s="1010">
        <f t="shared" ref="K10:L10" si="1">SUM(K8:K9)</f>
        <v>0</v>
      </c>
      <c r="L10" s="1010">
        <f t="shared" si="1"/>
        <v>0</v>
      </c>
      <c r="M10" s="1010">
        <f>SUM(M8:M9)</f>
        <v>0</v>
      </c>
      <c r="N10" s="1010">
        <f>SUM(N8:N9)</f>
        <v>0</v>
      </c>
      <c r="O10" s="1010">
        <f>SUM(O8:O9)</f>
        <v>0</v>
      </c>
      <c r="P10" s="1010">
        <f>SUM(P8:P9)</f>
        <v>8.0205882352941185</v>
      </c>
    </row>
    <row r="11" spans="1:16">
      <c r="A11" s="1011"/>
      <c r="B11" s="1011"/>
      <c r="C11" s="1011"/>
      <c r="D11" s="1011"/>
      <c r="E11" s="1011"/>
      <c r="F11" s="1011"/>
      <c r="G11" s="1011"/>
      <c r="H11" s="1011"/>
      <c r="I11" s="1011"/>
      <c r="J11" s="1011"/>
      <c r="K11" s="1011"/>
      <c r="L11" s="1011"/>
      <c r="M11" s="1011"/>
      <c r="N11" s="1011"/>
      <c r="O11" s="1011"/>
      <c r="P11" s="1011"/>
    </row>
    <row r="12" spans="1:16">
      <c r="A12" s="460" t="s">
        <v>903</v>
      </c>
      <c r="B12" s="764" t="s">
        <v>904</v>
      </c>
      <c r="C12" s="764">
        <f ca="1">'EF ele_warmte'!B12</f>
        <v>0.20088318133553656</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c r="A17" s="1012" t="s">
        <v>241</v>
      </c>
      <c r="B17" s="1013">
        <f>'SEAP template'!B87</f>
        <v>6840</v>
      </c>
      <c r="C17" s="1013">
        <f>'SEAP template'!C87</f>
        <v>48.214285714285708</v>
      </c>
      <c r="D17" s="1007">
        <f>'SEAP template'!D87</f>
        <v>56.722689075630242</v>
      </c>
      <c r="E17" s="1007">
        <f>'SEAP template'!E87</f>
        <v>0</v>
      </c>
      <c r="F17" s="1007">
        <f>'SEAP template'!F87</f>
        <v>0</v>
      </c>
      <c r="G17" s="1007">
        <f>'SEAP template'!G87</f>
        <v>0</v>
      </c>
      <c r="H17" s="1007">
        <f>'SEAP template'!H87</f>
        <v>0</v>
      </c>
      <c r="I17" s="1007">
        <f>'SEAP template'!I87</f>
        <v>0</v>
      </c>
      <c r="J17" s="1007">
        <f>'SEAP template'!J87</f>
        <v>8047.0588235294108</v>
      </c>
      <c r="K17" s="1007">
        <f>'SEAP template'!K87</f>
        <v>0</v>
      </c>
      <c r="L17" s="1007">
        <f>'SEAP template'!L87</f>
        <v>0</v>
      </c>
      <c r="M17" s="1007">
        <f>'SEAP template'!M87</f>
        <v>0</v>
      </c>
      <c r="N17" s="1007">
        <f>'SEAP template'!N87</f>
        <v>0</v>
      </c>
      <c r="O17" s="1007">
        <f>'SEAP template'!O87</f>
        <v>0</v>
      </c>
      <c r="P17" s="1007">
        <f>'SEAP template'!Q87</f>
        <v>11.457983193277309</v>
      </c>
    </row>
    <row r="18" spans="1:16">
      <c r="A18" s="1014" t="s">
        <v>247</v>
      </c>
      <c r="B18" s="1013">
        <f>'SEAP template'!B88</f>
        <v>0</v>
      </c>
      <c r="C18" s="1013">
        <f>'SEAP template'!C88</f>
        <v>0</v>
      </c>
      <c r="D18" s="1007">
        <f>'SEAP template'!D88</f>
        <v>0</v>
      </c>
      <c r="E18" s="1007">
        <f>'SEAP template'!E88</f>
        <v>0</v>
      </c>
      <c r="F18" s="1007">
        <f>'SEAP template'!F88</f>
        <v>0</v>
      </c>
      <c r="G18" s="1007">
        <f>'SEAP template'!G88</f>
        <v>0</v>
      </c>
      <c r="H18" s="1007">
        <f>'SEAP template'!H88</f>
        <v>0</v>
      </c>
      <c r="I18" s="1007">
        <f>'SEAP template'!I88</f>
        <v>0</v>
      </c>
      <c r="J18" s="1007">
        <f>'SEAP template'!J88</f>
        <v>0</v>
      </c>
      <c r="K18" s="1007">
        <f>'SEAP template'!K88</f>
        <v>0</v>
      </c>
      <c r="L18" s="1007">
        <f>'SEAP template'!L88</f>
        <v>0</v>
      </c>
      <c r="M18" s="1007">
        <f>'SEAP template'!M88</f>
        <v>0</v>
      </c>
      <c r="N18" s="1007">
        <f>'SEAP template'!N88</f>
        <v>0</v>
      </c>
      <c r="O18" s="1007">
        <f>'SEAP template'!O88</f>
        <v>0</v>
      </c>
      <c r="P18" s="1007">
        <f>'SEAP template'!Q88</f>
        <v>0</v>
      </c>
    </row>
    <row r="19" spans="1:16">
      <c r="A19" s="1009" t="s">
        <v>909</v>
      </c>
      <c r="B19" s="1013">
        <f>'SEAP template'!B89</f>
        <v>0</v>
      </c>
      <c r="C19" s="1013">
        <f>'SEAP template'!C89</f>
        <v>0</v>
      </c>
      <c r="D19" s="1007">
        <f>'SEAP template'!D89</f>
        <v>0</v>
      </c>
      <c r="E19" s="1007">
        <f>'SEAP template'!E89</f>
        <v>0</v>
      </c>
      <c r="F19" s="1007">
        <f>'SEAP template'!F89</f>
        <v>0</v>
      </c>
      <c r="G19" s="1007">
        <f>'SEAP template'!G89</f>
        <v>0</v>
      </c>
      <c r="H19" s="1007">
        <f>'SEAP template'!H89</f>
        <v>0</v>
      </c>
      <c r="I19" s="1007">
        <f>'SEAP template'!I89</f>
        <v>0</v>
      </c>
      <c r="J19" s="1007">
        <f>'SEAP template'!J89</f>
        <v>0</v>
      </c>
      <c r="K19" s="1007">
        <f>'SEAP template'!K89</f>
        <v>0</v>
      </c>
      <c r="L19" s="1007">
        <f>'SEAP template'!L89</f>
        <v>0</v>
      </c>
      <c r="M19" s="1007">
        <f>'SEAP template'!M89</f>
        <v>0</v>
      </c>
      <c r="N19" s="1007">
        <f>'SEAP template'!N89</f>
        <v>0</v>
      </c>
      <c r="O19" s="1007">
        <f>'SEAP template'!O89</f>
        <v>0</v>
      </c>
      <c r="P19" s="1007">
        <f>'SEAP template'!Q89</f>
        <v>0</v>
      </c>
    </row>
    <row r="20" spans="1:16">
      <c r="A20" s="1015" t="s">
        <v>109</v>
      </c>
      <c r="B20" s="1010">
        <f>SUM(B17:B19)</f>
        <v>6840</v>
      </c>
      <c r="C20" s="1010">
        <f>SUM(C17:C19)</f>
        <v>48.214285714285708</v>
      </c>
      <c r="D20" s="1010">
        <f t="shared" ref="D20:H20" si="2">SUM(D17:D19)</f>
        <v>56.722689075630242</v>
      </c>
      <c r="E20" s="1010">
        <f t="shared" si="2"/>
        <v>0</v>
      </c>
      <c r="F20" s="1010">
        <f t="shared" si="2"/>
        <v>0</v>
      </c>
      <c r="G20" s="1010">
        <f t="shared" si="2"/>
        <v>0</v>
      </c>
      <c r="H20" s="1010">
        <f t="shared" si="2"/>
        <v>0</v>
      </c>
      <c r="I20" s="1010">
        <f>SUM(I17:I19)</f>
        <v>0</v>
      </c>
      <c r="J20" s="1010">
        <f>SUM(J17:J19)</f>
        <v>8047.0588235294108</v>
      </c>
      <c r="K20" s="1010">
        <f t="shared" ref="K20:L20" si="3">SUM(K17:K19)</f>
        <v>0</v>
      </c>
      <c r="L20" s="1010">
        <f t="shared" si="3"/>
        <v>0</v>
      </c>
      <c r="M20" s="1010">
        <f>SUM(M17:M19)</f>
        <v>0</v>
      </c>
      <c r="N20" s="1010">
        <f>SUM(N17:N19)</f>
        <v>0</v>
      </c>
      <c r="O20" s="1010">
        <f>SUM(O17:O19)</f>
        <v>0</v>
      </c>
      <c r="P20" s="1010">
        <f>SUM(P17:P19)</f>
        <v>11.457983193277309</v>
      </c>
    </row>
    <row r="22" spans="1:16">
      <c r="A22" s="460" t="s">
        <v>910</v>
      </c>
      <c r="B22" s="764" t="s">
        <v>904</v>
      </c>
      <c r="C22" s="764">
        <f ca="1">'EF ele_warmte'!B22</f>
        <v>1.6634185171968926E-3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15.75">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ht="135">
      <c r="A4" s="1016" t="s">
        <v>238</v>
      </c>
      <c r="B4" s="1017" t="s">
        <v>911</v>
      </c>
      <c r="C4" s="1018" t="s">
        <v>853</v>
      </c>
      <c r="D4" s="1018" t="s">
        <v>853</v>
      </c>
      <c r="E4" s="1018" t="s">
        <v>853</v>
      </c>
      <c r="F4" s="1018" t="s">
        <v>853</v>
      </c>
      <c r="G4" s="1018" t="s">
        <v>853</v>
      </c>
      <c r="H4" s="1018" t="s">
        <v>853</v>
      </c>
      <c r="I4" s="1018" t="s">
        <v>853</v>
      </c>
      <c r="J4" s="1018" t="s">
        <v>853</v>
      </c>
      <c r="K4" s="1018" t="s">
        <v>853</v>
      </c>
      <c r="L4" s="1018" t="s">
        <v>853</v>
      </c>
      <c r="M4" s="1018" t="s">
        <v>853</v>
      </c>
      <c r="N4" s="1018" t="s">
        <v>853</v>
      </c>
      <c r="O4" s="1018" t="s">
        <v>853</v>
      </c>
      <c r="P4" s="1019" t="s">
        <v>912</v>
      </c>
    </row>
    <row r="5" spans="1:16" ht="135">
      <c r="A5" s="1020" t="s">
        <v>239</v>
      </c>
      <c r="B5" s="1017" t="s">
        <v>911</v>
      </c>
      <c r="C5" s="1018" t="s">
        <v>853</v>
      </c>
      <c r="D5" s="1018" t="s">
        <v>853</v>
      </c>
      <c r="E5" s="1018" t="s">
        <v>853</v>
      </c>
      <c r="F5" s="1018" t="s">
        <v>853</v>
      </c>
      <c r="G5" s="1018" t="s">
        <v>853</v>
      </c>
      <c r="H5" s="1018" t="s">
        <v>853</v>
      </c>
      <c r="I5" s="1018" t="s">
        <v>853</v>
      </c>
      <c r="J5" s="1018" t="s">
        <v>853</v>
      </c>
      <c r="K5" s="1018" t="s">
        <v>853</v>
      </c>
      <c r="L5" s="1018" t="s">
        <v>853</v>
      </c>
      <c r="M5" s="1018" t="s">
        <v>853</v>
      </c>
      <c r="N5" s="1018" t="s">
        <v>853</v>
      </c>
      <c r="O5" s="1018" t="s">
        <v>853</v>
      </c>
      <c r="P5" s="1019" t="s">
        <v>912</v>
      </c>
    </row>
    <row r="6" spans="1:16" ht="135">
      <c r="A6" s="1020" t="s">
        <v>240</v>
      </c>
      <c r="B6" s="1017" t="s">
        <v>911</v>
      </c>
      <c r="C6" s="1018" t="s">
        <v>853</v>
      </c>
      <c r="D6" s="1018" t="s">
        <v>853</v>
      </c>
      <c r="E6" s="1018" t="s">
        <v>853</v>
      </c>
      <c r="F6" s="1018" t="s">
        <v>853</v>
      </c>
      <c r="G6" s="1018" t="s">
        <v>853</v>
      </c>
      <c r="H6" s="1018" t="s">
        <v>853</v>
      </c>
      <c r="I6" s="1018" t="s">
        <v>853</v>
      </c>
      <c r="J6" s="1018" t="s">
        <v>853</v>
      </c>
      <c r="K6" s="1018" t="s">
        <v>853</v>
      </c>
      <c r="L6" s="1018" t="s">
        <v>853</v>
      </c>
      <c r="M6" s="1018" t="s">
        <v>853</v>
      </c>
      <c r="N6" s="1018" t="s">
        <v>853</v>
      </c>
      <c r="O6" s="1018" t="s">
        <v>853</v>
      </c>
      <c r="P6" s="1019" t="s">
        <v>912</v>
      </c>
    </row>
    <row r="7" spans="1:16" ht="135">
      <c r="A7" s="1020" t="s">
        <v>884</v>
      </c>
      <c r="B7" s="1018" t="s">
        <v>853</v>
      </c>
      <c r="C7" s="1018" t="s">
        <v>853</v>
      </c>
      <c r="D7" s="1018" t="s">
        <v>853</v>
      </c>
      <c r="E7" s="1018" t="s">
        <v>853</v>
      </c>
      <c r="F7" s="1018" t="s">
        <v>853</v>
      </c>
      <c r="G7" s="1018" t="s">
        <v>853</v>
      </c>
      <c r="H7" s="1018" t="s">
        <v>853</v>
      </c>
      <c r="I7" s="1018" t="s">
        <v>853</v>
      </c>
      <c r="J7" s="1018" t="s">
        <v>853</v>
      </c>
      <c r="K7" s="1018" t="s">
        <v>853</v>
      </c>
      <c r="L7" s="1018" t="s">
        <v>853</v>
      </c>
      <c r="M7" s="1018" t="s">
        <v>853</v>
      </c>
      <c r="N7" s="1018" t="s">
        <v>853</v>
      </c>
      <c r="O7" s="1018" t="s">
        <v>853</v>
      </c>
      <c r="P7" s="1019" t="s">
        <v>912</v>
      </c>
    </row>
    <row r="8" spans="1:16" ht="210">
      <c r="A8" s="1016" t="s">
        <v>241</v>
      </c>
      <c r="B8" s="1017" t="s">
        <v>913</v>
      </c>
      <c r="C8" s="1017" t="s">
        <v>913</v>
      </c>
      <c r="D8" s="1017" t="s">
        <v>913</v>
      </c>
      <c r="E8" s="1017" t="s">
        <v>913</v>
      </c>
      <c r="F8" s="1017" t="s">
        <v>913</v>
      </c>
      <c r="G8" s="1017" t="s">
        <v>913</v>
      </c>
      <c r="H8" s="1017" t="s">
        <v>913</v>
      </c>
      <c r="I8" s="1017" t="s">
        <v>913</v>
      </c>
      <c r="J8" s="1017" t="s">
        <v>913</v>
      </c>
      <c r="K8" s="1018" t="s">
        <v>853</v>
      </c>
      <c r="L8" s="1018" t="s">
        <v>853</v>
      </c>
      <c r="M8" s="1018" t="s">
        <v>853</v>
      </c>
      <c r="N8" s="1017" t="s">
        <v>914</v>
      </c>
      <c r="O8" s="1017" t="s">
        <v>914</v>
      </c>
      <c r="P8" s="1021"/>
    </row>
    <row r="9" spans="1:16" ht="210">
      <c r="A9" s="1022" t="s">
        <v>902</v>
      </c>
      <c r="B9" s="1017" t="s">
        <v>914</v>
      </c>
      <c r="C9" s="1017" t="s">
        <v>914</v>
      </c>
      <c r="D9" s="1017" t="s">
        <v>914</v>
      </c>
      <c r="E9" s="1017" t="s">
        <v>914</v>
      </c>
      <c r="F9" s="1017" t="s">
        <v>914</v>
      </c>
      <c r="G9" s="1017" t="s">
        <v>914</v>
      </c>
      <c r="H9" s="1017" t="s">
        <v>914</v>
      </c>
      <c r="I9" s="1017" t="s">
        <v>914</v>
      </c>
      <c r="J9" s="1017" t="s">
        <v>914</v>
      </c>
      <c r="K9" s="1018" t="s">
        <v>853</v>
      </c>
      <c r="L9" s="1017" t="s">
        <v>914</v>
      </c>
      <c r="M9" s="1017" t="s">
        <v>914</v>
      </c>
      <c r="N9" s="1017" t="s">
        <v>914</v>
      </c>
      <c r="O9" s="1017" t="s">
        <v>914</v>
      </c>
      <c r="P9" s="1021"/>
    </row>
    <row r="10" spans="1:16">
      <c r="A10" s="1020" t="s">
        <v>109</v>
      </c>
      <c r="B10" s="1023"/>
      <c r="C10" s="1023"/>
      <c r="D10" s="1023"/>
      <c r="E10" s="1023"/>
      <c r="F10" s="1023"/>
      <c r="G10" s="1023"/>
      <c r="H10" s="1023"/>
      <c r="I10" s="1023"/>
      <c r="J10" s="1023"/>
      <c r="K10" s="1023"/>
      <c r="L10" s="1023"/>
      <c r="M10" s="1023"/>
      <c r="N10" s="1023"/>
      <c r="O10" s="1023"/>
      <c r="P10" s="1023"/>
    </row>
    <row r="11" spans="1:16">
      <c r="A11" s="1011"/>
      <c r="B11" s="1011"/>
      <c r="C11" s="1011"/>
      <c r="D11" s="1011"/>
      <c r="E11" s="1011"/>
      <c r="F11" s="1011"/>
      <c r="G11" s="1011"/>
      <c r="H11" s="1011"/>
      <c r="I11" s="1011"/>
      <c r="J11" s="1011"/>
      <c r="K11" s="1011"/>
      <c r="L11" s="1011"/>
      <c r="M11" s="1011"/>
      <c r="N11" s="1011"/>
      <c r="O11" s="1011"/>
      <c r="P11" s="1011"/>
    </row>
    <row r="12" spans="1:16" ht="150">
      <c r="A12" s="460" t="s">
        <v>903</v>
      </c>
      <c r="B12" s="764" t="s">
        <v>904</v>
      </c>
      <c r="C12" s="1024" t="s">
        <v>915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ht="210">
      <c r="A17" s="1012" t="s">
        <v>241</v>
      </c>
      <c r="B17" s="1017" t="s">
        <v>914</v>
      </c>
      <c r="C17" s="1017" t="s">
        <v>914</v>
      </c>
      <c r="D17" s="1017" t="s">
        <v>914</v>
      </c>
      <c r="E17" s="1017" t="s">
        <v>914</v>
      </c>
      <c r="F17" s="1017" t="s">
        <v>914</v>
      </c>
      <c r="G17" s="1017" t="s">
        <v>914</v>
      </c>
      <c r="H17" s="1017" t="s">
        <v>914</v>
      </c>
      <c r="I17" s="1017" t="s">
        <v>914</v>
      </c>
      <c r="J17" s="1017" t="s">
        <v>914</v>
      </c>
      <c r="K17" s="1018" t="s">
        <v>853</v>
      </c>
      <c r="L17" s="1018" t="s">
        <v>853</v>
      </c>
      <c r="M17" s="1018" t="s">
        <v>853</v>
      </c>
      <c r="N17" s="1017" t="s">
        <v>914</v>
      </c>
      <c r="O17" s="1017" t="s">
        <v>914</v>
      </c>
      <c r="P17" s="1025"/>
    </row>
    <row r="18" spans="1:16" ht="45">
      <c r="A18" s="1014" t="s">
        <v>247</v>
      </c>
      <c r="B18" s="1019" t="s">
        <v>876</v>
      </c>
      <c r="C18" s="1019" t="s">
        <v>876</v>
      </c>
      <c r="D18" s="1019" t="s">
        <v>876</v>
      </c>
      <c r="E18" s="1019" t="s">
        <v>876</v>
      </c>
      <c r="F18" s="1019" t="s">
        <v>876</v>
      </c>
      <c r="G18" s="1019" t="s">
        <v>876</v>
      </c>
      <c r="H18" s="1019" t="s">
        <v>876</v>
      </c>
      <c r="I18" s="1019" t="s">
        <v>876</v>
      </c>
      <c r="J18" s="1019" t="s">
        <v>876</v>
      </c>
      <c r="K18" s="1019" t="s">
        <v>876</v>
      </c>
      <c r="L18" s="1019" t="s">
        <v>876</v>
      </c>
      <c r="M18" s="1019" t="s">
        <v>876</v>
      </c>
      <c r="N18" s="1019" t="s">
        <v>876</v>
      </c>
      <c r="O18" s="1019" t="s">
        <v>876</v>
      </c>
      <c r="P18" s="1019" t="s">
        <v>876</v>
      </c>
    </row>
    <row r="19" spans="1:16" ht="45">
      <c r="A19" s="1009" t="s">
        <v>909</v>
      </c>
      <c r="B19" s="1019" t="s">
        <v>876</v>
      </c>
      <c r="C19" s="1019" t="s">
        <v>876</v>
      </c>
      <c r="D19" s="1019" t="s">
        <v>876</v>
      </c>
      <c r="E19" s="1019" t="s">
        <v>876</v>
      </c>
      <c r="F19" s="1019" t="s">
        <v>876</v>
      </c>
      <c r="G19" s="1019" t="s">
        <v>876</v>
      </c>
      <c r="H19" s="1019" t="s">
        <v>876</v>
      </c>
      <c r="I19" s="1019" t="s">
        <v>876</v>
      </c>
      <c r="J19" s="1019" t="s">
        <v>876</v>
      </c>
      <c r="K19" s="1019" t="s">
        <v>876</v>
      </c>
      <c r="L19" s="1019" t="s">
        <v>876</v>
      </c>
      <c r="M19" s="1019" t="s">
        <v>876</v>
      </c>
      <c r="N19" s="1019" t="s">
        <v>876</v>
      </c>
      <c r="O19" s="1019" t="s">
        <v>876</v>
      </c>
      <c r="P19" s="1019" t="s">
        <v>876</v>
      </c>
    </row>
    <row r="20" spans="1:16">
      <c r="A20" s="1015" t="s">
        <v>109</v>
      </c>
      <c r="B20" s="1010"/>
      <c r="C20" s="1010"/>
      <c r="D20" s="1010"/>
      <c r="E20" s="1010"/>
      <c r="F20" s="1010"/>
      <c r="G20" s="1010"/>
      <c r="H20" s="1010"/>
      <c r="I20" s="1010"/>
      <c r="J20" s="1010"/>
      <c r="K20" s="1010"/>
      <c r="L20" s="1010"/>
      <c r="M20" s="1010"/>
      <c r="N20" s="1010"/>
      <c r="O20" s="1010"/>
      <c r="P20" s="1010"/>
    </row>
    <row r="22" spans="1:16" ht="90">
      <c r="A22" s="460" t="s">
        <v>910</v>
      </c>
      <c r="B22" s="764" t="s">
        <v>904</v>
      </c>
      <c r="C22" s="1024" t="s">
        <v>916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0" t="s">
        <v>731</v>
      </c>
    </row>
    <row r="7" spans="1:3">
      <c r="A7" s="125"/>
      <c r="B7" s="129"/>
      <c r="C7" s="122"/>
    </row>
    <row r="8" spans="1:3">
      <c r="A8" s="113" t="s">
        <v>575</v>
      </c>
      <c r="B8" s="75" t="s">
        <v>574</v>
      </c>
      <c r="C8" s="430" t="s">
        <v>376</v>
      </c>
    </row>
    <row r="9" spans="1:3">
      <c r="A9" s="125"/>
      <c r="B9" s="129"/>
      <c r="C9" s="122"/>
    </row>
    <row r="10" spans="1:3">
      <c r="A10" s="113" t="s">
        <v>316</v>
      </c>
      <c r="B10" s="75" t="s">
        <v>374</v>
      </c>
      <c r="C10" s="114" t="s">
        <v>376</v>
      </c>
    </row>
    <row r="11" spans="1:3">
      <c r="A11" s="125"/>
      <c r="B11" s="129"/>
      <c r="C11" s="122"/>
    </row>
    <row r="12" spans="1:3" ht="30">
      <c r="A12" s="113" t="s">
        <v>402</v>
      </c>
      <c r="B12" s="75" t="s">
        <v>516</v>
      </c>
      <c r="C12" s="308" t="s">
        <v>609</v>
      </c>
    </row>
    <row r="13" spans="1:3">
      <c r="A13" s="141"/>
      <c r="B13" s="124"/>
      <c r="C13" s="296"/>
    </row>
    <row r="14" spans="1:3" s="11" customFormat="1">
      <c r="A14" s="113" t="s">
        <v>592</v>
      </c>
      <c r="B14" s="130" t="s">
        <v>593</v>
      </c>
      <c r="C14" s="131" t="s">
        <v>594</v>
      </c>
    </row>
    <row r="15" spans="1:3" s="11" customFormat="1">
      <c r="A15" s="141"/>
      <c r="B15" s="159"/>
      <c r="C15" s="160"/>
    </row>
    <row r="16" spans="1:3" ht="21">
      <c r="A16" s="126" t="s">
        <v>465</v>
      </c>
      <c r="B16" s="125"/>
      <c r="C16"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604</v>
      </c>
      <c r="B4" s="462"/>
      <c r="C4" s="462"/>
      <c r="D4" s="462"/>
      <c r="E4" s="462"/>
      <c r="F4" s="462"/>
      <c r="G4" s="494"/>
      <c r="H4" s="494"/>
      <c r="I4" s="462"/>
      <c r="J4" s="462"/>
      <c r="K4" s="462"/>
      <c r="L4" s="462"/>
      <c r="M4" s="462"/>
      <c r="N4" s="462"/>
      <c r="O4" s="462"/>
      <c r="P4" s="462"/>
    </row>
    <row r="5" spans="1:16" outlineLevel="1">
      <c r="A5" s="669" t="s">
        <v>605</v>
      </c>
      <c r="B5" s="462"/>
      <c r="C5" s="462"/>
      <c r="D5" s="462"/>
      <c r="E5" s="462"/>
      <c r="F5" s="462"/>
      <c r="G5" s="494"/>
      <c r="H5" s="494"/>
      <c r="I5" s="462"/>
      <c r="J5" s="462"/>
      <c r="K5" s="462"/>
      <c r="L5" s="462"/>
      <c r="M5" s="462"/>
      <c r="N5" s="462"/>
      <c r="O5" s="462"/>
      <c r="P5" s="462"/>
    </row>
    <row r="6" spans="1:16" outlineLevel="1">
      <c r="A6" s="669" t="s">
        <v>606</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607</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608</v>
      </c>
      <c r="B10" s="462"/>
      <c r="C10" s="462"/>
      <c r="D10" s="462"/>
      <c r="E10" s="462"/>
      <c r="F10" s="462"/>
      <c r="G10" s="494"/>
      <c r="H10" s="494"/>
      <c r="I10" s="462"/>
      <c r="J10" s="462"/>
      <c r="K10" s="462"/>
      <c r="L10" s="462"/>
      <c r="M10" s="462"/>
      <c r="N10" s="462"/>
      <c r="O10" s="873" t="s">
        <v>627</v>
      </c>
      <c r="P10" s="873" t="s">
        <v>626</v>
      </c>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570</v>
      </c>
      <c r="B13" s="447"/>
      <c r="C13" s="466"/>
      <c r="D13" s="466"/>
      <c r="E13" s="466"/>
      <c r="F13" s="466"/>
      <c r="G13" s="466"/>
      <c r="H13" s="466"/>
      <c r="I13" s="466"/>
      <c r="J13" s="466"/>
      <c r="K13" s="466"/>
      <c r="L13" s="466"/>
      <c r="M13" s="466"/>
      <c r="N13" s="466"/>
      <c r="O13" s="765"/>
      <c r="P13" s="765"/>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 t="shared" si="0"/>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0.20088318133553656</v>
      </c>
      <c r="C17" s="496">
        <f ca="1">'EF ele_warmte'!B22</f>
        <v>1.6634185171968926E-3</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O15*O17</f>
        <v>0</v>
      </c>
      <c r="P19" s="473">
        <f t="shared" si="1"/>
        <v>0</v>
      </c>
    </row>
    <row r="22" spans="1:16" s="447" customFormat="1" ht="15" customHeight="1" outlineLevel="1">
      <c r="A22" s="474" t="s">
        <v>478</v>
      </c>
      <c r="B22" s="475"/>
      <c r="C22" s="476"/>
      <c r="D22" s="477"/>
      <c r="E22" s="478"/>
    </row>
    <row r="23" spans="1:16" s="48" customFormat="1" ht="15" customHeight="1" outlineLevel="1">
      <c r="A23" s="479"/>
      <c r="B23" s="480"/>
      <c r="C23" s="481" t="s">
        <v>366</v>
      </c>
      <c r="D23" s="481" t="s">
        <v>175</v>
      </c>
      <c r="E23" s="482"/>
    </row>
    <row r="24" spans="1:16" s="447" customFormat="1" ht="15" customHeight="1" outlineLevel="1">
      <c r="A24" s="483" t="s">
        <v>255</v>
      </c>
      <c r="B24" s="47">
        <f>EigenZB</f>
        <v>0</v>
      </c>
      <c r="C24" s="484"/>
      <c r="D24" s="872" t="s">
        <v>398</v>
      </c>
      <c r="E24" s="448"/>
    </row>
    <row r="25" spans="1:16" s="447" customFormat="1" outlineLevel="1">
      <c r="A25" s="483" t="s">
        <v>445</v>
      </c>
      <c r="B25" s="48">
        <v>4.2</v>
      </c>
      <c r="C25" s="484"/>
      <c r="D25" s="485" t="s">
        <v>502</v>
      </c>
      <c r="E25" s="461"/>
    </row>
    <row r="26" spans="1:16" s="447" customFormat="1" outlineLevel="1">
      <c r="A26" s="770" t="s">
        <v>446</v>
      </c>
      <c r="B26" s="771">
        <f>1.34/3.6</f>
        <v>0.37222222222222223</v>
      </c>
      <c r="C26" s="484" t="s">
        <v>208</v>
      </c>
      <c r="D26" s="485" t="s">
        <v>502</v>
      </c>
      <c r="E26" s="461"/>
    </row>
    <row r="27" spans="1:16" s="447" customFormat="1" outlineLevel="1">
      <c r="A27" s="486" t="s">
        <v>616</v>
      </c>
      <c r="B27" s="773">
        <f>B24*B25*B26</f>
        <v>0</v>
      </c>
      <c r="C27" s="487" t="s">
        <v>617</v>
      </c>
      <c r="D27" s="488"/>
      <c r="E27" s="489"/>
    </row>
    <row r="28" spans="1:16" s="447" customFormat="1" outlineLevel="1">
      <c r="A28" s="48"/>
      <c r="B28" s="48"/>
      <c r="C28" s="490"/>
      <c r="D28" s="484"/>
    </row>
    <row r="29" spans="1:16" s="447" customFormat="1" outlineLevel="1">
      <c r="A29" s="491" t="s">
        <v>479</v>
      </c>
      <c r="B29" s="475"/>
      <c r="C29" s="476"/>
      <c r="D29" s="477"/>
      <c r="E29" s="478"/>
    </row>
    <row r="30" spans="1:16" s="48" customFormat="1" outlineLevel="1">
      <c r="A30" s="492"/>
      <c r="B30" s="480"/>
      <c r="C30" s="481" t="s">
        <v>366</v>
      </c>
      <c r="D30" s="481" t="s">
        <v>175</v>
      </c>
      <c r="E30" s="482"/>
    </row>
    <row r="31" spans="1:16" s="447" customFormat="1" outlineLevel="1">
      <c r="A31" s="483" t="s">
        <v>444</v>
      </c>
      <c r="B31" s="47">
        <f>EigenWP</f>
        <v>0</v>
      </c>
      <c r="C31" s="484"/>
      <c r="D31" s="872" t="s">
        <v>398</v>
      </c>
      <c r="E31" s="448"/>
    </row>
    <row r="32" spans="1:16" s="447" customFormat="1" outlineLevel="1">
      <c r="A32" s="483" t="s">
        <v>442</v>
      </c>
      <c r="B32" s="48">
        <v>13</v>
      </c>
      <c r="C32" s="490" t="s">
        <v>252</v>
      </c>
      <c r="D32" s="485" t="s">
        <v>502</v>
      </c>
      <c r="E32" s="448"/>
    </row>
    <row r="33" spans="1:5" s="447" customFormat="1" outlineLevel="1">
      <c r="A33" s="483" t="s">
        <v>443</v>
      </c>
      <c r="B33" s="48">
        <v>2000</v>
      </c>
      <c r="C33" s="490" t="s">
        <v>254</v>
      </c>
      <c r="D33" s="485" t="s">
        <v>502</v>
      </c>
      <c r="E33" s="448"/>
    </row>
    <row r="34" spans="1:5" s="447" customFormat="1" outlineLevel="1">
      <c r="A34" s="770" t="s">
        <v>371</v>
      </c>
      <c r="B34" s="48">
        <v>3.75</v>
      </c>
      <c r="C34" s="490"/>
      <c r="D34" s="485" t="s">
        <v>502</v>
      </c>
      <c r="E34" s="448"/>
    </row>
    <row r="35" spans="1:5" s="447" customFormat="1" outlineLevel="1">
      <c r="A35" s="486" t="s">
        <v>616</v>
      </c>
      <c r="B35" s="772">
        <f>B31*B32*B33/1000-B31*B32*B33/1000/B34</f>
        <v>0</v>
      </c>
      <c r="C35" s="493" t="s">
        <v>617</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570</v>
      </c>
      <c r="B13" s="447"/>
      <c r="C13" s="466"/>
      <c r="D13" s="466"/>
      <c r="E13" s="466"/>
      <c r="F13" s="466"/>
      <c r="G13" s="466"/>
      <c r="H13" s="466"/>
      <c r="I13" s="466"/>
      <c r="J13" s="466"/>
      <c r="K13" s="466"/>
      <c r="L13" s="466"/>
      <c r="M13" s="466"/>
      <c r="N13" s="466"/>
      <c r="O13" s="1173"/>
      <c r="P13" s="1173"/>
    </row>
    <row r="14" spans="1:16" outlineLevel="1">
      <c r="A14" s="464"/>
      <c r="B14" s="52"/>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0.20088318133553656</v>
      </c>
      <c r="C17" s="496">
        <f ca="1">'EF ele_warmte'!B22</f>
        <v>1.6634185171968926E-3</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6" t="s">
        <v>316</v>
      </c>
      <c r="B1" s="1167" t="s">
        <v>188</v>
      </c>
      <c r="C1" s="1168"/>
      <c r="D1" s="1168"/>
      <c r="E1" s="1168"/>
      <c r="F1" s="1168"/>
      <c r="G1" s="1168"/>
      <c r="H1" s="1168"/>
      <c r="I1" s="1168"/>
      <c r="J1" s="1168"/>
      <c r="K1" s="1168"/>
      <c r="L1" s="1168"/>
      <c r="M1" s="1168"/>
      <c r="N1" s="1168"/>
      <c r="O1" s="1168"/>
      <c r="P1" s="1168"/>
    </row>
    <row r="2" spans="1:16" ht="15" customHeight="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9"/>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570</v>
      </c>
    </row>
    <row r="26" spans="1:16" s="459" customFormat="1">
      <c r="A26" s="467" t="s">
        <v>520</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588</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597</v>
      </c>
      <c r="B29" s="497">
        <f ca="1">'EF ele_warmte'!B12</f>
        <v>0.20088318133553656</v>
      </c>
      <c r="C29" s="497">
        <f ca="1">'EF ele_warmte'!B22</f>
        <v>1.6634185171968926E-3</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2" t="s">
        <v>517</v>
      </c>
      <c r="B2" s="498"/>
      <c r="C2" s="183"/>
      <c r="D2" s="184"/>
    </row>
    <row r="3" spans="1:11">
      <c r="A3" s="101"/>
      <c r="B3" s="499"/>
      <c r="C3" s="142" t="s">
        <v>175</v>
      </c>
      <c r="D3" s="145" t="s">
        <v>380</v>
      </c>
    </row>
    <row r="4" spans="1:11">
      <c r="A4" s="44" t="s">
        <v>436</v>
      </c>
      <c r="B4" s="47"/>
      <c r="C4" s="32"/>
      <c r="D4" s="144" t="s">
        <v>382</v>
      </c>
    </row>
    <row r="5" spans="1:11">
      <c r="A5" s="44"/>
      <c r="B5" s="48"/>
      <c r="C5" s="32"/>
      <c r="D5" s="144"/>
    </row>
    <row r="6" spans="1:11" s="10" customFormat="1" ht="21.75" thickBot="1">
      <c r="A6" s="187" t="s">
        <v>469</v>
      </c>
      <c r="B6" s="500"/>
      <c r="C6" s="188"/>
      <c r="D6" s="189"/>
    </row>
    <row r="7" spans="1:11" s="43" customFormat="1" ht="15.75" thickBot="1">
      <c r="B7" s="447"/>
    </row>
    <row r="8" spans="1:11" s="43" customFormat="1">
      <c r="A8" s="182" t="s">
        <v>530</v>
      </c>
      <c r="B8" s="498"/>
      <c r="C8" s="183"/>
      <c r="D8" s="184"/>
    </row>
    <row r="9" spans="1:11" s="32" customFormat="1">
      <c r="A9" s="46"/>
      <c r="B9" s="501"/>
      <c r="C9" s="42"/>
      <c r="D9" s="297"/>
    </row>
    <row r="10" spans="1:11">
      <c r="A10" s="298" t="s">
        <v>558</v>
      </c>
      <c r="B10" s="499"/>
      <c r="C10" s="142" t="s">
        <v>175</v>
      </c>
      <c r="D10" s="145" t="s">
        <v>380</v>
      </c>
      <c r="I10" s="1174"/>
      <c r="K10" s="58"/>
    </row>
    <row r="11" spans="1:11" s="43" customFormat="1">
      <c r="A11" s="44" t="s">
        <v>559</v>
      </c>
      <c r="B11" s="47"/>
      <c r="D11" s="143" t="s">
        <v>381</v>
      </c>
      <c r="I11" s="1174"/>
      <c r="K11" s="58"/>
    </row>
    <row r="12" spans="1:11" s="43" customFormat="1">
      <c r="A12" s="44" t="s">
        <v>560</v>
      </c>
      <c r="B12" s="47"/>
      <c r="D12" s="143" t="s">
        <v>381</v>
      </c>
      <c r="I12" s="1174"/>
      <c r="K12" s="58"/>
    </row>
    <row r="13" spans="1:11" s="43" customFormat="1">
      <c r="A13" s="44"/>
      <c r="B13" s="447"/>
      <c r="D13" s="96"/>
      <c r="I13" s="1174"/>
    </row>
    <row r="14" spans="1:11" s="43" customFormat="1">
      <c r="A14" s="298" t="s">
        <v>557</v>
      </c>
      <c r="B14" s="499"/>
      <c r="C14" s="142" t="s">
        <v>175</v>
      </c>
      <c r="D14" s="145" t="s">
        <v>380</v>
      </c>
      <c r="I14" s="1174"/>
    </row>
    <row r="15" spans="1:11" s="43" customFormat="1">
      <c r="A15" s="44" t="s">
        <v>70</v>
      </c>
      <c r="B15" s="47"/>
      <c r="D15" s="143" t="s">
        <v>381</v>
      </c>
      <c r="I15" s="1174"/>
      <c r="J15" s="1174"/>
    </row>
    <row r="16" spans="1:11" s="43" customFormat="1">
      <c r="A16" s="44" t="s">
        <v>522</v>
      </c>
      <c r="B16" s="47"/>
      <c r="D16" s="143" t="s">
        <v>381</v>
      </c>
      <c r="I16" s="1174"/>
      <c r="J16" s="1174"/>
    </row>
    <row r="17" spans="1:11" s="43" customFormat="1">
      <c r="A17" s="44" t="s">
        <v>77</v>
      </c>
      <c r="B17" s="47"/>
      <c r="D17" s="143" t="s">
        <v>381</v>
      </c>
      <c r="I17" s="1174"/>
      <c r="J17" s="1174"/>
    </row>
    <row r="18" spans="1:11" s="43" customFormat="1">
      <c r="A18" s="44" t="s">
        <v>523</v>
      </c>
      <c r="B18" s="47"/>
      <c r="D18" s="143" t="s">
        <v>381</v>
      </c>
      <c r="I18" s="1174"/>
      <c r="J18" s="1174"/>
      <c r="K18" s="58"/>
    </row>
    <row r="19" spans="1:11" s="43" customFormat="1">
      <c r="A19" s="44" t="s">
        <v>76</v>
      </c>
      <c r="B19" s="47"/>
      <c r="D19" s="143" t="s">
        <v>381</v>
      </c>
      <c r="I19" s="1174"/>
      <c r="J19" s="1175"/>
      <c r="K19" s="58"/>
    </row>
    <row r="20" spans="1:11" s="43" customFormat="1">
      <c r="A20" s="32" t="s">
        <v>524</v>
      </c>
      <c r="B20" s="47"/>
      <c r="D20" s="143" t="s">
        <v>381</v>
      </c>
      <c r="I20" s="299"/>
      <c r="J20" s="300"/>
      <c r="K20" s="58"/>
    </row>
    <row r="21" spans="1:11" s="43" customFormat="1">
      <c r="A21" s="32" t="s">
        <v>525</v>
      </c>
      <c r="B21" s="47"/>
      <c r="D21" s="143" t="s">
        <v>381</v>
      </c>
      <c r="I21" s="299"/>
      <c r="J21" s="300"/>
      <c r="K21" s="58"/>
    </row>
    <row r="22" spans="1:11" s="43" customFormat="1">
      <c r="A22" s="32" t="s">
        <v>526</v>
      </c>
      <c r="B22" s="47"/>
      <c r="D22" s="143" t="s">
        <v>381</v>
      </c>
      <c r="I22" s="299"/>
      <c r="J22" s="300"/>
      <c r="K22" s="58"/>
    </row>
    <row r="23" spans="1:11">
      <c r="A23" s="32" t="s">
        <v>527</v>
      </c>
      <c r="B23" s="47"/>
      <c r="C23" s="43"/>
      <c r="D23" s="143" t="s">
        <v>381</v>
      </c>
      <c r="I23" s="58"/>
      <c r="J23" s="58"/>
      <c r="K23" s="58"/>
    </row>
    <row r="24" spans="1:11">
      <c r="A24" s="32" t="s">
        <v>528</v>
      </c>
      <c r="B24" s="47"/>
      <c r="C24" s="43"/>
      <c r="D24" s="143" t="s">
        <v>381</v>
      </c>
      <c r="I24" s="58"/>
      <c r="J24" s="58"/>
      <c r="K24" s="58"/>
    </row>
    <row r="25" spans="1:11">
      <c r="A25" s="58"/>
      <c r="B25" s="48"/>
      <c r="C25" s="43"/>
      <c r="D25" s="143"/>
      <c r="I25" s="58"/>
      <c r="J25" s="58"/>
      <c r="K25" s="58"/>
    </row>
    <row r="26" spans="1:11" ht="21.75" thickBot="1">
      <c r="A26" s="187" t="s">
        <v>568</v>
      </c>
      <c r="B26" s="502"/>
      <c r="C26" s="108"/>
      <c r="D26" s="109"/>
      <c r="I26" s="58"/>
      <c r="J26" s="58"/>
      <c r="K26" s="58"/>
    </row>
    <row r="28" spans="1:11" ht="15.75" thickBot="1"/>
    <row r="29" spans="1:11" s="43" customFormat="1">
      <c r="A29" s="182" t="s">
        <v>518</v>
      </c>
      <c r="B29" s="498"/>
      <c r="C29" s="183"/>
      <c r="D29" s="184"/>
    </row>
    <row r="30" spans="1:11" s="32" customFormat="1">
      <c r="A30" s="46"/>
      <c r="B30" s="501"/>
      <c r="C30" s="42"/>
      <c r="D30" s="297"/>
    </row>
    <row r="31" spans="1:11">
      <c r="A31" s="298" t="s">
        <v>558</v>
      </c>
      <c r="B31" s="499"/>
      <c r="C31" s="142" t="s">
        <v>175</v>
      </c>
      <c r="D31" s="145" t="s">
        <v>380</v>
      </c>
    </row>
    <row r="32" spans="1:11">
      <c r="A32" s="437" t="s">
        <v>559</v>
      </c>
      <c r="B32" s="47"/>
      <c r="C32" s="48"/>
      <c r="D32" s="143" t="s">
        <v>381</v>
      </c>
    </row>
    <row r="33" spans="1:11">
      <c r="A33" s="44"/>
      <c r="B33" s="48"/>
      <c r="C33" s="48"/>
      <c r="D33" s="143"/>
    </row>
    <row r="34" spans="1:11" s="43" customFormat="1">
      <c r="A34" s="298" t="s">
        <v>557</v>
      </c>
      <c r="B34" s="499"/>
      <c r="C34" s="142" t="s">
        <v>175</v>
      </c>
      <c r="D34" s="145" t="s">
        <v>380</v>
      </c>
      <c r="I34"/>
    </row>
    <row r="35" spans="1:11" s="43" customFormat="1">
      <c r="A35" s="436" t="s">
        <v>70</v>
      </c>
      <c r="B35" s="47"/>
      <c r="D35" s="143" t="s">
        <v>381</v>
      </c>
      <c r="I35" s="1174"/>
      <c r="J35" s="1174"/>
    </row>
    <row r="36" spans="1:11" s="43" customFormat="1">
      <c r="A36" s="436" t="s">
        <v>522</v>
      </c>
      <c r="B36" s="47"/>
      <c r="D36" s="143" t="s">
        <v>381</v>
      </c>
      <c r="I36" s="1174"/>
      <c r="J36" s="1174"/>
    </row>
    <row r="37" spans="1:11" s="43" customFormat="1">
      <c r="A37" s="436" t="s">
        <v>77</v>
      </c>
      <c r="B37" s="47"/>
      <c r="D37" s="143" t="s">
        <v>381</v>
      </c>
      <c r="I37" s="1174"/>
      <c r="J37" s="1174"/>
    </row>
    <row r="38" spans="1:11" s="43" customFormat="1">
      <c r="A38" s="436" t="s">
        <v>523</v>
      </c>
      <c r="B38" s="47"/>
      <c r="D38" s="143" t="s">
        <v>381</v>
      </c>
      <c r="I38" s="1174"/>
      <c r="J38" s="1174"/>
      <c r="K38" s="58"/>
    </row>
    <row r="39" spans="1:11" s="43" customFormat="1">
      <c r="A39" s="436" t="s">
        <v>76</v>
      </c>
      <c r="B39" s="47"/>
      <c r="D39" s="143" t="s">
        <v>381</v>
      </c>
      <c r="I39" s="1174"/>
      <c r="J39" s="1175"/>
      <c r="K39" s="58"/>
    </row>
    <row r="40" spans="1:11" s="43" customFormat="1">
      <c r="A40" s="179" t="s">
        <v>524</v>
      </c>
      <c r="B40" s="48"/>
      <c r="D40" s="143" t="s">
        <v>381</v>
      </c>
      <c r="I40" s="299"/>
      <c r="J40" s="300"/>
      <c r="K40" s="58"/>
    </row>
    <row r="41" spans="1:11" s="43" customFormat="1">
      <c r="A41" s="179" t="s">
        <v>525</v>
      </c>
      <c r="B41" s="47"/>
      <c r="D41" s="143" t="s">
        <v>381</v>
      </c>
      <c r="I41" s="299"/>
      <c r="J41" s="300"/>
      <c r="K41" s="58"/>
    </row>
    <row r="42" spans="1:11" s="43" customFormat="1">
      <c r="A42" s="179" t="s">
        <v>526</v>
      </c>
      <c r="B42" s="47"/>
      <c r="D42" s="143" t="s">
        <v>381</v>
      </c>
      <c r="I42" s="299"/>
      <c r="J42" s="300"/>
      <c r="K42" s="58"/>
    </row>
    <row r="43" spans="1:11">
      <c r="A43" s="179" t="s">
        <v>527</v>
      </c>
      <c r="B43" s="47"/>
      <c r="C43" s="43"/>
      <c r="D43" s="143" t="s">
        <v>381</v>
      </c>
      <c r="I43" s="58"/>
      <c r="J43" s="58"/>
      <c r="K43" s="58"/>
    </row>
    <row r="44" spans="1:11">
      <c r="A44" s="179" t="s">
        <v>528</v>
      </c>
      <c r="B44" s="47"/>
      <c r="C44" s="43"/>
      <c r="D44" s="143" t="s">
        <v>381</v>
      </c>
      <c r="I44" s="58"/>
      <c r="J44" s="58"/>
      <c r="K44" s="58"/>
    </row>
    <row r="45" spans="1:11" s="15" customFormat="1" ht="21.75" thickBot="1">
      <c r="A45" s="893"/>
      <c r="B45" s="185"/>
      <c r="C45" s="155"/>
      <c r="D45" s="301"/>
      <c r="I45" s="58"/>
      <c r="J45" s="58"/>
      <c r="K45" s="58"/>
    </row>
    <row r="46" spans="1:11" s="15" customFormat="1">
      <c r="A46" s="58"/>
      <c r="B46" s="48"/>
      <c r="C46" s="32"/>
      <c r="D46" s="32"/>
      <c r="I46" s="58"/>
      <c r="J46" s="58"/>
      <c r="K46" s="58"/>
    </row>
    <row r="47" spans="1:11" ht="15.75" thickBot="1"/>
    <row r="48" spans="1:11" s="43" customFormat="1">
      <c r="A48" s="182" t="s">
        <v>379</v>
      </c>
      <c r="B48" s="498"/>
      <c r="C48" s="183"/>
      <c r="D48" s="184"/>
    </row>
    <row r="49" spans="1:4">
      <c r="A49" s="101"/>
      <c r="B49" s="499"/>
      <c r="C49" s="142" t="s">
        <v>175</v>
      </c>
      <c r="D49" s="145" t="s">
        <v>380</v>
      </c>
    </row>
    <row r="50" spans="1:4">
      <c r="A50" s="44" t="s">
        <v>561</v>
      </c>
      <c r="B50" s="47"/>
      <c r="C50" s="32"/>
      <c r="D50" s="144" t="s">
        <v>382</v>
      </c>
    </row>
    <row r="51" spans="1:4">
      <c r="A51" s="44" t="s">
        <v>562</v>
      </c>
      <c r="B51" s="47"/>
      <c r="C51" s="32"/>
      <c r="D51" s="144" t="s">
        <v>382</v>
      </c>
    </row>
    <row r="52" spans="1:4" ht="15.75" thickBot="1">
      <c r="A52" s="45"/>
      <c r="B52" s="185"/>
      <c r="C52" s="155"/>
      <c r="D52" s="190"/>
    </row>
    <row r="54" spans="1:4" ht="15.75" thickBot="1"/>
    <row r="55" spans="1:4" s="43" customFormat="1">
      <c r="A55" s="182" t="s">
        <v>519</v>
      </c>
      <c r="B55" s="498"/>
      <c r="C55" s="183"/>
      <c r="D55" s="184"/>
    </row>
    <row r="56" spans="1:4">
      <c r="A56" s="101"/>
      <c r="B56" s="499"/>
      <c r="C56" s="142" t="s">
        <v>175</v>
      </c>
      <c r="D56" s="145" t="s">
        <v>380</v>
      </c>
    </row>
    <row r="57" spans="1:4">
      <c r="A57" s="44" t="s">
        <v>563</v>
      </c>
      <c r="B57" s="47"/>
      <c r="C57" s="32"/>
      <c r="D57" s="143" t="s">
        <v>148</v>
      </c>
    </row>
    <row r="58" spans="1:4">
      <c r="A58" s="44" t="s">
        <v>564</v>
      </c>
      <c r="B58" s="47"/>
      <c r="C58" s="32"/>
      <c r="D58" s="143" t="s">
        <v>149</v>
      </c>
    </row>
    <row r="59" spans="1:4">
      <c r="A59" s="44" t="s">
        <v>565</v>
      </c>
      <c r="B59" s="47"/>
      <c r="C59" s="48"/>
      <c r="D59" s="143" t="s">
        <v>378</v>
      </c>
    </row>
    <row r="60" spans="1:4">
      <c r="A60" s="44" t="s">
        <v>566</v>
      </c>
      <c r="B60" s="47"/>
      <c r="C60" s="48"/>
      <c r="D60" s="143" t="s">
        <v>105</v>
      </c>
    </row>
    <row r="61" spans="1:4">
      <c r="A61" s="44"/>
      <c r="B61" s="48"/>
      <c r="C61" s="48"/>
      <c r="D61" s="143"/>
    </row>
    <row r="62" spans="1:4" ht="21.75" thickBot="1">
      <c r="A62" s="187" t="s">
        <v>521</v>
      </c>
      <c r="B62" s="185"/>
      <c r="C62" s="185"/>
      <c r="D62" s="186"/>
    </row>
    <row r="63" spans="1:4" s="43"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3" t="s">
        <v>583</v>
      </c>
      <c r="B1" s="634"/>
      <c r="C1" s="634"/>
      <c r="D1" s="634"/>
      <c r="E1" s="635"/>
    </row>
    <row r="2" spans="1:5">
      <c r="A2" s="646" t="s">
        <v>383</v>
      </c>
      <c r="B2" s="651" t="s">
        <v>509</v>
      </c>
      <c r="C2" s="647"/>
      <c r="D2" s="647"/>
      <c r="E2" s="648"/>
    </row>
    <row r="3" spans="1:5">
      <c r="A3" s="649"/>
      <c r="B3" s="650"/>
      <c r="C3" s="638"/>
      <c r="D3" s="638"/>
      <c r="E3" s="639"/>
    </row>
    <row r="4" spans="1:5" s="326" customFormat="1" ht="45">
      <c r="A4" s="637" t="s">
        <v>587</v>
      </c>
      <c r="B4" s="645" t="s">
        <v>576</v>
      </c>
      <c r="C4" s="666" t="s">
        <v>598</v>
      </c>
      <c r="D4" s="667" t="s">
        <v>599</v>
      </c>
      <c r="E4" s="668" t="s">
        <v>600</v>
      </c>
    </row>
    <row r="5" spans="1:5">
      <c r="A5" s="640" t="s">
        <v>577</v>
      </c>
      <c r="B5" s="632" t="s">
        <v>578</v>
      </c>
      <c r="C5" s="663">
        <v>3.678273E-2</v>
      </c>
      <c r="D5" s="664">
        <v>0.27778000000000003</v>
      </c>
      <c r="E5" s="656">
        <f>C5*D5</f>
        <v>1.0217506739400001E-2</v>
      </c>
    </row>
    <row r="6" spans="1:5">
      <c r="A6" s="640" t="s">
        <v>577</v>
      </c>
      <c r="B6" s="632" t="s">
        <v>579</v>
      </c>
      <c r="C6" s="663">
        <v>4.2278999999999997E-2</v>
      </c>
      <c r="D6" s="664">
        <v>0.27778000000000003</v>
      </c>
      <c r="E6" s="656">
        <f t="shared" ref="E6:E21" si="0">C6*D6</f>
        <v>1.174426062E-2</v>
      </c>
    </row>
    <row r="7" spans="1:5">
      <c r="A7" s="640" t="s">
        <v>577</v>
      </c>
      <c r="B7" s="632" t="s">
        <v>580</v>
      </c>
      <c r="C7" s="663">
        <v>42.279000000000003</v>
      </c>
      <c r="D7" s="664">
        <v>0.27778000000000003</v>
      </c>
      <c r="E7" s="656">
        <f t="shared" si="0"/>
        <v>11.744260620000002</v>
      </c>
    </row>
    <row r="8" spans="1:5">
      <c r="A8" s="640" t="s">
        <v>581</v>
      </c>
      <c r="B8" s="632" t="s">
        <v>578</v>
      </c>
      <c r="C8" s="663">
        <v>3.8573799999999998E-2</v>
      </c>
      <c r="D8" s="664">
        <v>0.27778000000000003</v>
      </c>
      <c r="E8" s="656">
        <f t="shared" si="0"/>
        <v>1.0715030164E-2</v>
      </c>
    </row>
    <row r="9" spans="1:5">
      <c r="A9" s="640" t="s">
        <v>581</v>
      </c>
      <c r="B9" s="632" t="s">
        <v>579</v>
      </c>
      <c r="C9" s="663">
        <v>4.0604000000000001E-2</v>
      </c>
      <c r="D9" s="664">
        <v>0.27778000000000003</v>
      </c>
      <c r="E9" s="656">
        <f t="shared" si="0"/>
        <v>1.1278979120000001E-2</v>
      </c>
    </row>
    <row r="10" spans="1:5">
      <c r="A10" s="640" t="s">
        <v>581</v>
      </c>
      <c r="B10" s="632" t="s">
        <v>580</v>
      </c>
      <c r="C10" s="663">
        <v>40.603999999999999</v>
      </c>
      <c r="D10" s="664">
        <v>0.27778000000000003</v>
      </c>
      <c r="E10" s="656">
        <f t="shared" si="0"/>
        <v>11.278979120000001</v>
      </c>
    </row>
    <row r="11" spans="1:5">
      <c r="A11" s="640" t="s">
        <v>601</v>
      </c>
      <c r="B11" s="632" t="s">
        <v>578</v>
      </c>
      <c r="C11" s="663">
        <v>2.3511000000000001E-2</v>
      </c>
      <c r="D11" s="664">
        <v>0.27778000000000003</v>
      </c>
      <c r="E11" s="656">
        <f t="shared" si="0"/>
        <v>6.5308855800000004E-3</v>
      </c>
    </row>
    <row r="12" spans="1:5">
      <c r="A12" s="640" t="s">
        <v>601</v>
      </c>
      <c r="B12" s="632" t="s">
        <v>579</v>
      </c>
      <c r="C12" s="663">
        <v>4.6100000000000002E-2</v>
      </c>
      <c r="D12" s="664">
        <v>0.27778000000000003</v>
      </c>
      <c r="E12" s="656">
        <f t="shared" si="0"/>
        <v>1.2805658000000001E-2</v>
      </c>
    </row>
    <row r="13" spans="1:5">
      <c r="A13" s="640" t="s">
        <v>601</v>
      </c>
      <c r="B13" s="632" t="s">
        <v>580</v>
      </c>
      <c r="C13" s="663">
        <v>46.1</v>
      </c>
      <c r="D13" s="664">
        <v>0.27778000000000003</v>
      </c>
      <c r="E13" s="656">
        <f t="shared" si="0"/>
        <v>12.805658000000001</v>
      </c>
    </row>
    <row r="14" spans="1:5">
      <c r="A14" s="640" t="s">
        <v>602</v>
      </c>
      <c r="B14" s="632" t="s">
        <v>578</v>
      </c>
      <c r="C14" s="663">
        <v>2.6525139999999999E-2</v>
      </c>
      <c r="D14" s="664">
        <v>0.27778000000000003</v>
      </c>
      <c r="E14" s="656">
        <f t="shared" si="0"/>
        <v>7.3681533892000009E-3</v>
      </c>
    </row>
    <row r="15" spans="1:5">
      <c r="A15" s="640" t="s">
        <v>602</v>
      </c>
      <c r="B15" s="632" t="s">
        <v>579</v>
      </c>
      <c r="C15" s="663">
        <v>4.5733000000000003E-2</v>
      </c>
      <c r="D15" s="664">
        <v>0.27778000000000003</v>
      </c>
      <c r="E15" s="656">
        <f t="shared" si="0"/>
        <v>1.2703712740000001E-2</v>
      </c>
    </row>
    <row r="16" spans="1:5">
      <c r="A16" s="640" t="s">
        <v>602</v>
      </c>
      <c r="B16" s="632" t="s">
        <v>580</v>
      </c>
      <c r="C16" s="663">
        <v>45.732999999999997</v>
      </c>
      <c r="D16" s="664">
        <v>0.27778000000000003</v>
      </c>
      <c r="E16" s="656">
        <f t="shared" si="0"/>
        <v>12.70371274</v>
      </c>
    </row>
    <row r="17" spans="1:10">
      <c r="A17" s="640" t="s">
        <v>585</v>
      </c>
      <c r="B17" s="632" t="s">
        <v>582</v>
      </c>
      <c r="C17" s="663">
        <v>3.2923000000000001E-2</v>
      </c>
      <c r="D17" s="664">
        <f>0.27778</f>
        <v>0.27778000000000003</v>
      </c>
      <c r="E17" s="656">
        <f t="shared" si="0"/>
        <v>9.1453509400000015E-3</v>
      </c>
    </row>
    <row r="18" spans="1:10">
      <c r="A18" s="640" t="s">
        <v>586</v>
      </c>
      <c r="B18" s="632" t="s">
        <v>582</v>
      </c>
      <c r="C18" s="663">
        <v>3.8852400000000002E-2</v>
      </c>
      <c r="D18" s="664">
        <f>0.27778</f>
        <v>0.27778000000000003</v>
      </c>
      <c r="E18" s="656">
        <f t="shared" si="0"/>
        <v>1.0792419672000002E-2</v>
      </c>
    </row>
    <row r="19" spans="1:10">
      <c r="A19" s="640" t="s">
        <v>589</v>
      </c>
      <c r="B19" s="632" t="s">
        <v>578</v>
      </c>
      <c r="C19" s="663">
        <v>2.4812460000000001E-2</v>
      </c>
      <c r="D19" s="664">
        <v>0.27778000000000003</v>
      </c>
      <c r="E19" s="656">
        <f t="shared" si="0"/>
        <v>6.8924051388000009E-3</v>
      </c>
    </row>
    <row r="20" spans="1:10">
      <c r="A20" s="640" t="s">
        <v>589</v>
      </c>
      <c r="B20" s="632" t="s">
        <v>579</v>
      </c>
      <c r="C20" s="663">
        <v>4.5948999999999997E-2</v>
      </c>
      <c r="D20" s="664">
        <v>0.27778000000000003</v>
      </c>
      <c r="E20" s="656">
        <f t="shared" si="0"/>
        <v>1.276371322E-2</v>
      </c>
    </row>
    <row r="21" spans="1:10">
      <c r="A21" s="640" t="s">
        <v>589</v>
      </c>
      <c r="B21" s="632" t="s">
        <v>580</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584</v>
      </c>
      <c r="B24" s="634"/>
      <c r="C24" s="634"/>
      <c r="D24" s="634"/>
      <c r="E24" s="635"/>
    </row>
    <row r="25" spans="1:10">
      <c r="A25" s="660" t="s">
        <v>383</v>
      </c>
      <c r="B25" s="1027" t="s">
        <v>922</v>
      </c>
      <c r="C25" s="638"/>
      <c r="D25" s="638"/>
      <c r="E25" s="639"/>
    </row>
    <row r="26" spans="1:10">
      <c r="A26" s="44"/>
      <c r="B26" s="43"/>
      <c r="C26" s="43"/>
      <c r="D26" s="43"/>
      <c r="E26" s="96"/>
    </row>
    <row r="27" spans="1:10" s="326" customFormat="1">
      <c r="A27" s="637" t="s">
        <v>587</v>
      </c>
      <c r="B27" s="645" t="s">
        <v>576</v>
      </c>
      <c r="C27" s="653"/>
      <c r="D27" s="652"/>
      <c r="E27" s="668" t="s">
        <v>591</v>
      </c>
    </row>
    <row r="28" spans="1:10">
      <c r="A28" s="640" t="s">
        <v>195</v>
      </c>
      <c r="B28" s="632" t="s">
        <v>578</v>
      </c>
      <c r="C28" s="654"/>
      <c r="D28" s="655"/>
      <c r="E28" s="662">
        <f>E29*0.84</f>
        <v>9.962166666666666E-3</v>
      </c>
      <c r="G28" s="776"/>
      <c r="H28" s="871"/>
      <c r="I28" s="776"/>
      <c r="J28" s="776"/>
    </row>
    <row r="29" spans="1:10">
      <c r="A29" s="640" t="s">
        <v>195</v>
      </c>
      <c r="B29" s="632" t="s">
        <v>579</v>
      </c>
      <c r="C29" s="654"/>
      <c r="D29" s="655"/>
      <c r="E29" s="662">
        <f>0.042695/3.6</f>
        <v>1.1859722222222221E-2</v>
      </c>
      <c r="G29" s="869"/>
      <c r="H29" s="871"/>
      <c r="I29" s="776"/>
      <c r="J29" s="776"/>
    </row>
    <row r="30" spans="1:10">
      <c r="A30" s="640" t="s">
        <v>113</v>
      </c>
      <c r="B30" s="632" t="s">
        <v>578</v>
      </c>
      <c r="C30" s="654"/>
      <c r="D30" s="655"/>
      <c r="E30" s="662">
        <f>E31*0.75</f>
        <v>9.1195833333333337E-3</v>
      </c>
      <c r="G30" s="776"/>
      <c r="H30" s="871"/>
      <c r="I30" s="776"/>
      <c r="J30" s="776"/>
    </row>
    <row r="31" spans="1:10">
      <c r="A31" s="640" t="s">
        <v>113</v>
      </c>
      <c r="B31" s="632" t="s">
        <v>579</v>
      </c>
      <c r="C31" s="654"/>
      <c r="D31" s="655"/>
      <c r="E31" s="662">
        <f>0.043774/3.6</f>
        <v>1.2159444444444445E-2</v>
      </c>
      <c r="G31" s="776"/>
      <c r="H31" s="776"/>
      <c r="I31" s="776"/>
      <c r="J31" s="776"/>
    </row>
    <row r="32" spans="1:10">
      <c r="A32" s="640" t="s">
        <v>589</v>
      </c>
      <c r="B32" s="632" t="s">
        <v>578</v>
      </c>
      <c r="C32" s="654"/>
      <c r="D32" s="655"/>
      <c r="E32" s="662">
        <f>E33*0.52</f>
        <v>6.7259111111111118E-3</v>
      </c>
      <c r="G32" s="776"/>
      <c r="H32" s="871"/>
    </row>
    <row r="33" spans="1:8">
      <c r="A33" s="640" t="s">
        <v>589</v>
      </c>
      <c r="B33" s="632" t="s">
        <v>579</v>
      </c>
      <c r="C33" s="654"/>
      <c r="D33" s="655"/>
      <c r="E33" s="662">
        <f>0.046564/3.6</f>
        <v>1.2934444444444445E-2</v>
      </c>
      <c r="G33" s="776"/>
      <c r="H33" s="871"/>
    </row>
    <row r="34" spans="1:8">
      <c r="A34" s="640" t="s">
        <v>590</v>
      </c>
      <c r="B34" s="632" t="s">
        <v>578</v>
      </c>
      <c r="C34" s="654"/>
      <c r="D34" s="655"/>
      <c r="E34" s="662">
        <f>E35*0.175</f>
        <v>2.3333333333333331E-3</v>
      </c>
      <c r="G34" s="776"/>
      <c r="H34" s="870"/>
    </row>
    <row r="35" spans="1:8">
      <c r="A35" s="640" t="s">
        <v>590</v>
      </c>
      <c r="B35" s="632" t="s">
        <v>579</v>
      </c>
      <c r="C35" s="654"/>
      <c r="D35" s="655"/>
      <c r="E35" s="662">
        <f>0.048/3.6</f>
        <v>1.3333333333333332E-2</v>
      </c>
      <c r="G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59"/>
      <c r="C7" s="160" t="s">
        <v>603</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7" t="s">
        <v>503</v>
      </c>
    </row>
    <row r="12" spans="1:3" s="11" customFormat="1">
      <c r="A12" s="132"/>
      <c r="B12" s="133"/>
      <c r="C12" s="134"/>
    </row>
    <row r="13" spans="1:3" s="11" customFormat="1" ht="18">
      <c r="A13" s="113" t="s">
        <v>454</v>
      </c>
      <c r="B13" s="130" t="s">
        <v>455</v>
      </c>
      <c r="C13" s="158"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382</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692</v>
      </c>
      <c r="C21" s="131" t="s">
        <v>571</v>
      </c>
    </row>
    <row r="22" spans="1:3" s="11" customFormat="1">
      <c r="A22" s="141"/>
      <c r="B22" s="159"/>
      <c r="C22" s="160"/>
    </row>
    <row r="23" spans="1:3" ht="21">
      <c r="A23" s="126" t="s">
        <v>464</v>
      </c>
      <c r="B23" s="125"/>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970</v>
      </c>
      <c r="B1" s="1267">
        <v>2011</v>
      </c>
      <c r="C1" s="1268"/>
      <c r="D1" s="1268"/>
      <c r="E1" s="1268"/>
      <c r="F1" s="1269"/>
    </row>
    <row r="2" spans="1:6">
      <c r="A2" s="326"/>
      <c r="B2" s="326"/>
      <c r="C2" s="326"/>
      <c r="D2" s="326"/>
      <c r="E2" s="326"/>
      <c r="F2" s="326"/>
    </row>
    <row r="3" spans="1:6" ht="19.5">
      <c r="A3" s="1270" t="s">
        <v>0</v>
      </c>
      <c r="B3" s="326"/>
      <c r="C3" s="326"/>
      <c r="D3" s="326"/>
      <c r="E3" s="326"/>
      <c r="F3" s="326"/>
    </row>
    <row r="4" spans="1:6" ht="22.5">
      <c r="A4" s="1271" t="s">
        <v>970</v>
      </c>
      <c r="B4" s="326"/>
      <c r="C4" s="326"/>
      <c r="D4" s="326"/>
      <c r="E4" s="326"/>
      <c r="F4" s="326"/>
    </row>
    <row r="5" spans="1:6" ht="22.5">
      <c r="A5" s="1271" t="s">
        <v>971</v>
      </c>
      <c r="B5" s="326"/>
      <c r="C5" s="326"/>
      <c r="D5" s="326"/>
      <c r="E5" s="326"/>
      <c r="F5" s="326"/>
    </row>
    <row r="6" spans="1:6" ht="15.75" thickBot="1">
      <c r="A6" s="326"/>
      <c r="B6" s="326"/>
      <c r="C6" s="326"/>
      <c r="D6" s="326"/>
      <c r="E6" s="326"/>
      <c r="F6" s="326"/>
    </row>
    <row r="7" spans="1:6" ht="20.25" thickBot="1">
      <c r="A7" s="1272" t="s">
        <v>1</v>
      </c>
      <c r="B7" s="327" t="s">
        <v>383</v>
      </c>
      <c r="C7" s="327" t="s">
        <v>384</v>
      </c>
      <c r="D7" s="327"/>
      <c r="E7" s="327"/>
      <c r="F7" s="328"/>
    </row>
    <row r="8" spans="1:6" ht="16.5" thickTop="1" thickBot="1">
      <c r="A8" s="1273" t="s">
        <v>4</v>
      </c>
      <c r="B8" s="1274"/>
      <c r="C8" s="1274"/>
      <c r="D8" s="1268"/>
      <c r="E8" s="1268"/>
      <c r="F8" s="1269"/>
    </row>
    <row r="9" spans="1:6">
      <c r="A9" s="1275" t="s">
        <v>2</v>
      </c>
      <c r="B9" s="1276">
        <v>3821</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2" t="s">
        <v>3</v>
      </c>
      <c r="B12" s="327" t="s">
        <v>383</v>
      </c>
      <c r="C12" s="327" t="s">
        <v>622</v>
      </c>
      <c r="D12" s="327"/>
      <c r="E12" s="327"/>
      <c r="F12" s="331"/>
    </row>
    <row r="13" spans="1:6" ht="16.5" thickTop="1" thickBot="1">
      <c r="A13" s="1277" t="s">
        <v>4</v>
      </c>
      <c r="B13" s="1278" t="s">
        <v>5</v>
      </c>
      <c r="C13" s="1278"/>
      <c r="D13" s="1278"/>
      <c r="E13" s="1278"/>
      <c r="F13" s="1279"/>
    </row>
    <row r="14" spans="1:6">
      <c r="A14" s="1280" t="s">
        <v>770</v>
      </c>
      <c r="B14" s="1281">
        <v>2665</v>
      </c>
      <c r="C14" s="326"/>
      <c r="D14" s="326"/>
      <c r="E14" s="326"/>
      <c r="F14" s="326"/>
    </row>
    <row r="15" spans="1:6">
      <c r="A15" s="1280" t="s">
        <v>177</v>
      </c>
      <c r="B15" s="1281">
        <v>24</v>
      </c>
      <c r="C15" s="326"/>
      <c r="D15" s="326"/>
      <c r="E15" s="326"/>
      <c r="F15" s="326"/>
    </row>
    <row r="16" spans="1:6">
      <c r="A16" s="1280" t="s">
        <v>6</v>
      </c>
      <c r="B16" s="1281">
        <v>710</v>
      </c>
      <c r="C16" s="326"/>
      <c r="D16" s="326"/>
      <c r="E16" s="326"/>
      <c r="F16" s="326"/>
    </row>
    <row r="17" spans="1:6">
      <c r="A17" s="1280" t="s">
        <v>7</v>
      </c>
      <c r="B17" s="1281">
        <v>686</v>
      </c>
      <c r="C17" s="326"/>
      <c r="D17" s="326"/>
      <c r="E17" s="326"/>
      <c r="F17" s="326"/>
    </row>
    <row r="18" spans="1:6">
      <c r="A18" s="1280" t="s">
        <v>8</v>
      </c>
      <c r="B18" s="1281">
        <v>824</v>
      </c>
      <c r="C18" s="326"/>
      <c r="D18" s="326"/>
      <c r="E18" s="326"/>
      <c r="F18" s="326"/>
    </row>
    <row r="19" spans="1:6">
      <c r="A19" s="1280" t="s">
        <v>9</v>
      </c>
      <c r="B19" s="1281">
        <v>832</v>
      </c>
      <c r="C19" s="326"/>
      <c r="D19" s="326"/>
      <c r="E19" s="326"/>
      <c r="F19" s="326"/>
    </row>
    <row r="20" spans="1:6">
      <c r="A20" s="1280" t="s">
        <v>10</v>
      </c>
      <c r="B20" s="1281">
        <v>697</v>
      </c>
      <c r="C20" s="326"/>
      <c r="D20" s="326"/>
      <c r="E20" s="326"/>
      <c r="F20" s="326"/>
    </row>
    <row r="21" spans="1:6">
      <c r="A21" s="1280" t="s">
        <v>11</v>
      </c>
      <c r="B21" s="1281">
        <v>20564</v>
      </c>
      <c r="C21" s="326"/>
      <c r="D21" s="326"/>
      <c r="E21" s="326"/>
      <c r="F21" s="326"/>
    </row>
    <row r="22" spans="1:6">
      <c r="A22" s="1280" t="s">
        <v>12</v>
      </c>
      <c r="B22" s="1281">
        <v>61162</v>
      </c>
      <c r="C22" s="326"/>
      <c r="D22" s="326"/>
      <c r="E22" s="326"/>
      <c r="F22" s="326"/>
    </row>
    <row r="23" spans="1:6">
      <c r="A23" s="1280" t="s">
        <v>13</v>
      </c>
      <c r="B23" s="1281">
        <v>999</v>
      </c>
      <c r="C23" s="326"/>
      <c r="D23" s="326"/>
      <c r="E23" s="326"/>
      <c r="F23" s="326"/>
    </row>
    <row r="24" spans="1:6">
      <c r="A24" s="1280" t="s">
        <v>14</v>
      </c>
      <c r="B24" s="1281">
        <v>55</v>
      </c>
      <c r="C24" s="326"/>
      <c r="D24" s="326"/>
      <c r="E24" s="326"/>
      <c r="F24" s="326"/>
    </row>
    <row r="25" spans="1:6">
      <c r="A25" s="1280" t="s">
        <v>15</v>
      </c>
      <c r="B25" s="1281">
        <v>6534</v>
      </c>
      <c r="C25" s="326"/>
      <c r="D25" s="326"/>
      <c r="E25" s="326"/>
      <c r="F25" s="326"/>
    </row>
    <row r="26" spans="1:6">
      <c r="A26" s="1280" t="s">
        <v>16</v>
      </c>
      <c r="B26" s="1281">
        <v>382</v>
      </c>
      <c r="C26" s="326"/>
      <c r="D26" s="326"/>
      <c r="E26" s="326"/>
      <c r="F26" s="326"/>
    </row>
    <row r="27" spans="1:6">
      <c r="A27" s="1280" t="s">
        <v>17</v>
      </c>
      <c r="B27" s="1281">
        <v>2</v>
      </c>
      <c r="C27" s="326"/>
      <c r="D27" s="326"/>
      <c r="E27" s="326"/>
      <c r="F27" s="326"/>
    </row>
    <row r="28" spans="1:6">
      <c r="A28" s="1280" t="s">
        <v>18</v>
      </c>
      <c r="B28" s="1282">
        <v>51283</v>
      </c>
      <c r="C28" s="326"/>
      <c r="D28" s="326"/>
      <c r="E28" s="326"/>
      <c r="F28" s="326"/>
    </row>
    <row r="29" spans="1:6">
      <c r="A29" s="1280" t="s">
        <v>972</v>
      </c>
      <c r="B29" s="1282">
        <v>168</v>
      </c>
      <c r="C29" s="326"/>
      <c r="D29" s="326"/>
      <c r="E29" s="326"/>
      <c r="F29" s="326"/>
    </row>
    <row r="30" spans="1:6">
      <c r="A30" s="1275" t="s">
        <v>973</v>
      </c>
      <c r="B30" s="1283">
        <v>25</v>
      </c>
      <c r="C30" s="329"/>
      <c r="D30" s="329"/>
      <c r="E30" s="329"/>
      <c r="F30" s="329"/>
    </row>
    <row r="31" spans="1:6" ht="15.75" thickBot="1">
      <c r="A31" s="330"/>
      <c r="B31" s="326"/>
      <c r="C31" s="326"/>
      <c r="D31" s="326"/>
      <c r="E31" s="326"/>
      <c r="F31" s="326"/>
    </row>
    <row r="32" spans="1:6" ht="20.25" thickBot="1">
      <c r="A32" s="1272" t="s">
        <v>19</v>
      </c>
      <c r="B32" s="327" t="s">
        <v>383</v>
      </c>
      <c r="C32" s="327" t="s">
        <v>974</v>
      </c>
      <c r="D32" s="327"/>
      <c r="E32" s="327"/>
      <c r="F32" s="331"/>
    </row>
    <row r="33" spans="1:6" ht="16.5" thickTop="1" thickBot="1">
      <c r="A33" s="1284"/>
      <c r="B33" s="1285"/>
      <c r="C33" s="1285"/>
      <c r="D33" s="1285"/>
      <c r="E33" s="1285" t="s">
        <v>20</v>
      </c>
      <c r="F33" s="1286"/>
    </row>
    <row r="34" spans="1:6" ht="16.5" thickTop="1" thickBot="1">
      <c r="A34" s="1287" t="s">
        <v>21</v>
      </c>
      <c r="B34" s="1288" t="s">
        <v>22</v>
      </c>
      <c r="C34" s="1288" t="s">
        <v>5</v>
      </c>
      <c r="D34" s="1288" t="s">
        <v>23</v>
      </c>
      <c r="E34" s="1288" t="s">
        <v>5</v>
      </c>
      <c r="F34" s="1289" t="s">
        <v>23</v>
      </c>
    </row>
    <row r="35" spans="1:6">
      <c r="A35" s="1280" t="s">
        <v>24</v>
      </c>
      <c r="B35" s="1280" t="s">
        <v>25</v>
      </c>
      <c r="C35" s="1281">
        <v>0</v>
      </c>
      <c r="D35" s="1281">
        <v>0</v>
      </c>
      <c r="E35" s="1281">
        <v>0</v>
      </c>
      <c r="F35" s="1281">
        <v>0</v>
      </c>
    </row>
    <row r="36" spans="1:6">
      <c r="A36" s="1280" t="s">
        <v>24</v>
      </c>
      <c r="B36" s="1280" t="s">
        <v>26</v>
      </c>
      <c r="C36" s="1281">
        <v>0</v>
      </c>
      <c r="D36" s="1281">
        <v>0</v>
      </c>
      <c r="E36" s="1281">
        <v>0</v>
      </c>
      <c r="F36" s="1281">
        <v>0</v>
      </c>
    </row>
    <row r="37" spans="1:6">
      <c r="A37" s="1280" t="s">
        <v>24</v>
      </c>
      <c r="B37" s="1280" t="s">
        <v>27</v>
      </c>
      <c r="C37" s="1281">
        <v>0</v>
      </c>
      <c r="D37" s="1281">
        <v>0</v>
      </c>
      <c r="E37" s="1281">
        <v>0</v>
      </c>
      <c r="F37" s="1281">
        <v>0</v>
      </c>
    </row>
    <row r="38" spans="1:6">
      <c r="A38" s="1280" t="s">
        <v>24</v>
      </c>
      <c r="B38" s="1280" t="s">
        <v>28</v>
      </c>
      <c r="C38" s="1281">
        <v>0</v>
      </c>
      <c r="D38" s="1281">
        <v>0</v>
      </c>
      <c r="E38" s="1281">
        <v>2</v>
      </c>
      <c r="F38" s="1281">
        <v>154718</v>
      </c>
    </row>
    <row r="39" spans="1:6">
      <c r="A39" s="1280" t="s">
        <v>29</v>
      </c>
      <c r="B39" s="1280" t="s">
        <v>30</v>
      </c>
      <c r="C39" s="1281">
        <v>2338</v>
      </c>
      <c r="D39" s="1281">
        <v>41177182</v>
      </c>
      <c r="E39" s="1281">
        <v>3665</v>
      </c>
      <c r="F39" s="1281">
        <v>17028694</v>
      </c>
    </row>
    <row r="40" spans="1:6">
      <c r="A40" s="1280" t="s">
        <v>29</v>
      </c>
      <c r="B40" s="1280" t="s">
        <v>28</v>
      </c>
      <c r="C40" s="1281">
        <v>0</v>
      </c>
      <c r="D40" s="1281">
        <v>0</v>
      </c>
      <c r="E40" s="1281">
        <v>0</v>
      </c>
      <c r="F40" s="1281">
        <v>0</v>
      </c>
    </row>
    <row r="41" spans="1:6">
      <c r="A41" s="1280" t="s">
        <v>31</v>
      </c>
      <c r="B41" s="1280" t="s">
        <v>32</v>
      </c>
      <c r="C41" s="1281">
        <v>33</v>
      </c>
      <c r="D41" s="1281">
        <v>1030073</v>
      </c>
      <c r="E41" s="1281">
        <v>91</v>
      </c>
      <c r="F41" s="1281">
        <v>26575305</v>
      </c>
    </row>
    <row r="42" spans="1:6">
      <c r="A42" s="1280" t="s">
        <v>31</v>
      </c>
      <c r="B42" s="1280" t="s">
        <v>33</v>
      </c>
      <c r="C42" s="1281">
        <v>0</v>
      </c>
      <c r="D42" s="1281">
        <v>0</v>
      </c>
      <c r="E42" s="1281">
        <v>0</v>
      </c>
      <c r="F42" s="1281">
        <v>0</v>
      </c>
    </row>
    <row r="43" spans="1:6">
      <c r="A43" s="1280" t="s">
        <v>31</v>
      </c>
      <c r="B43" s="1280" t="s">
        <v>34</v>
      </c>
      <c r="C43" s="1281">
        <v>0</v>
      </c>
      <c r="D43" s="1281">
        <v>0</v>
      </c>
      <c r="E43" s="1281">
        <v>0</v>
      </c>
      <c r="F43" s="1281">
        <v>0</v>
      </c>
    </row>
    <row r="44" spans="1:6">
      <c r="A44" s="1280" t="s">
        <v>31</v>
      </c>
      <c r="B44" s="1280" t="s">
        <v>35</v>
      </c>
      <c r="C44" s="1281">
        <v>4</v>
      </c>
      <c r="D44" s="1281">
        <v>12647328</v>
      </c>
      <c r="E44" s="1281">
        <v>23</v>
      </c>
      <c r="F44" s="1281">
        <v>22112193</v>
      </c>
    </row>
    <row r="45" spans="1:6">
      <c r="A45" s="1280" t="s">
        <v>31</v>
      </c>
      <c r="B45" s="1280" t="s">
        <v>36</v>
      </c>
      <c r="C45" s="1281">
        <v>0</v>
      </c>
      <c r="D45" s="1281">
        <v>0</v>
      </c>
      <c r="E45" s="1281">
        <v>0</v>
      </c>
      <c r="F45" s="1281">
        <v>0</v>
      </c>
    </row>
    <row r="46" spans="1:6">
      <c r="A46" s="1280" t="s">
        <v>31</v>
      </c>
      <c r="B46" s="1280" t="s">
        <v>37</v>
      </c>
      <c r="C46" s="1281">
        <v>0</v>
      </c>
      <c r="D46" s="1281">
        <v>0</v>
      </c>
      <c r="E46" s="1281">
        <v>0</v>
      </c>
      <c r="F46" s="1281">
        <v>0</v>
      </c>
    </row>
    <row r="47" spans="1:6">
      <c r="A47" s="1280" t="s">
        <v>31</v>
      </c>
      <c r="B47" s="1280" t="s">
        <v>38</v>
      </c>
      <c r="C47" s="1281">
        <v>3</v>
      </c>
      <c r="D47" s="1281">
        <v>12214088</v>
      </c>
      <c r="E47" s="1281">
        <v>3</v>
      </c>
      <c r="F47" s="1281">
        <v>6215685</v>
      </c>
    </row>
    <row r="48" spans="1:6">
      <c r="A48" s="1280" t="s">
        <v>31</v>
      </c>
      <c r="B48" s="1280" t="s">
        <v>28</v>
      </c>
      <c r="C48" s="1281">
        <v>1</v>
      </c>
      <c r="D48" s="1281">
        <v>4297437</v>
      </c>
      <c r="E48" s="1281">
        <v>3</v>
      </c>
      <c r="F48" s="1281">
        <v>125572</v>
      </c>
    </row>
    <row r="49" spans="1:6">
      <c r="A49" s="1280" t="s">
        <v>31</v>
      </c>
      <c r="B49" s="1280" t="s">
        <v>39</v>
      </c>
      <c r="C49" s="1281">
        <v>0</v>
      </c>
      <c r="D49" s="1281">
        <v>0</v>
      </c>
      <c r="E49" s="1281">
        <v>0</v>
      </c>
      <c r="F49" s="1281">
        <v>0</v>
      </c>
    </row>
    <row r="50" spans="1:6">
      <c r="A50" s="1280" t="s">
        <v>31</v>
      </c>
      <c r="B50" s="1280" t="s">
        <v>40</v>
      </c>
      <c r="C50" s="1281">
        <v>8</v>
      </c>
      <c r="D50" s="1281">
        <v>360756</v>
      </c>
      <c r="E50" s="1281">
        <v>10</v>
      </c>
      <c r="F50" s="1281">
        <v>235705</v>
      </c>
    </row>
    <row r="51" spans="1:6">
      <c r="A51" s="1280" t="s">
        <v>41</v>
      </c>
      <c r="B51" s="1280" t="s">
        <v>42</v>
      </c>
      <c r="C51" s="1281">
        <v>25</v>
      </c>
      <c r="D51" s="1281">
        <v>3331902</v>
      </c>
      <c r="E51" s="1281">
        <v>175</v>
      </c>
      <c r="F51" s="1281">
        <v>4630443</v>
      </c>
    </row>
    <row r="52" spans="1:6">
      <c r="A52" s="1280" t="s">
        <v>41</v>
      </c>
      <c r="B52" s="1280" t="s">
        <v>28</v>
      </c>
      <c r="C52" s="1281">
        <v>0</v>
      </c>
      <c r="D52" s="1281">
        <v>0</v>
      </c>
      <c r="E52" s="1281">
        <v>0</v>
      </c>
      <c r="F52" s="1281">
        <v>0</v>
      </c>
    </row>
    <row r="53" spans="1:6">
      <c r="A53" s="1280" t="s">
        <v>43</v>
      </c>
      <c r="B53" s="1280" t="s">
        <v>44</v>
      </c>
      <c r="C53" s="1281">
        <v>0</v>
      </c>
      <c r="D53" s="1281">
        <v>0</v>
      </c>
      <c r="E53" s="1281">
        <v>0</v>
      </c>
      <c r="F53" s="1281">
        <v>0</v>
      </c>
    </row>
    <row r="54" spans="1:6">
      <c r="A54" s="1280" t="s">
        <v>45</v>
      </c>
      <c r="B54" s="1280" t="s">
        <v>46</v>
      </c>
      <c r="C54" s="1281">
        <v>0</v>
      </c>
      <c r="D54" s="1281">
        <v>0</v>
      </c>
      <c r="E54" s="1281">
        <v>44</v>
      </c>
      <c r="F54" s="1281">
        <v>1017579</v>
      </c>
    </row>
    <row r="55" spans="1:6">
      <c r="A55" s="1280" t="s">
        <v>45</v>
      </c>
      <c r="B55" s="1280" t="s">
        <v>28</v>
      </c>
      <c r="C55" s="1281">
        <v>0</v>
      </c>
      <c r="D55" s="1281">
        <v>0</v>
      </c>
      <c r="E55" s="1281">
        <v>0</v>
      </c>
      <c r="F55" s="1281">
        <v>0</v>
      </c>
    </row>
    <row r="56" spans="1:6">
      <c r="A56" s="1280" t="s">
        <v>47</v>
      </c>
      <c r="B56" s="1280" t="s">
        <v>28</v>
      </c>
      <c r="C56" s="1281">
        <v>20</v>
      </c>
      <c r="D56" s="1281">
        <v>489694</v>
      </c>
      <c r="E56" s="1281">
        <v>69</v>
      </c>
      <c r="F56" s="1281">
        <v>1035161</v>
      </c>
    </row>
    <row r="57" spans="1:6">
      <c r="A57" s="1280" t="s">
        <v>48</v>
      </c>
      <c r="B57" s="1280" t="s">
        <v>49</v>
      </c>
      <c r="C57" s="1281">
        <v>44</v>
      </c>
      <c r="D57" s="1281">
        <v>1920400</v>
      </c>
      <c r="E57" s="1281">
        <v>76</v>
      </c>
      <c r="F57" s="1281">
        <v>2103126</v>
      </c>
    </row>
    <row r="58" spans="1:6">
      <c r="A58" s="1280" t="s">
        <v>48</v>
      </c>
      <c r="B58" s="1280" t="s">
        <v>50</v>
      </c>
      <c r="C58" s="1281">
        <v>16</v>
      </c>
      <c r="D58" s="1281">
        <v>6716980</v>
      </c>
      <c r="E58" s="1281">
        <v>23</v>
      </c>
      <c r="F58" s="1281">
        <v>2917759</v>
      </c>
    </row>
    <row r="59" spans="1:6">
      <c r="A59" s="1280" t="s">
        <v>48</v>
      </c>
      <c r="B59" s="1280" t="s">
        <v>51</v>
      </c>
      <c r="C59" s="1281">
        <v>60</v>
      </c>
      <c r="D59" s="1281">
        <v>3214497</v>
      </c>
      <c r="E59" s="1281">
        <v>140</v>
      </c>
      <c r="F59" s="1281">
        <v>4606383</v>
      </c>
    </row>
    <row r="60" spans="1:6">
      <c r="A60" s="1280" t="s">
        <v>48</v>
      </c>
      <c r="B60" s="1280" t="s">
        <v>52</v>
      </c>
      <c r="C60" s="1281">
        <v>12</v>
      </c>
      <c r="D60" s="1281">
        <v>894136</v>
      </c>
      <c r="E60" s="1281">
        <v>20</v>
      </c>
      <c r="F60" s="1281">
        <v>1024125</v>
      </c>
    </row>
    <row r="61" spans="1:6">
      <c r="A61" s="1280" t="s">
        <v>48</v>
      </c>
      <c r="B61" s="1280" t="s">
        <v>53</v>
      </c>
      <c r="C61" s="1281">
        <v>52</v>
      </c>
      <c r="D61" s="1281">
        <v>3014573</v>
      </c>
      <c r="E61" s="1281">
        <v>125</v>
      </c>
      <c r="F61" s="1281">
        <v>1943968</v>
      </c>
    </row>
    <row r="62" spans="1:6">
      <c r="A62" s="1280" t="s">
        <v>48</v>
      </c>
      <c r="B62" s="1280" t="s">
        <v>54</v>
      </c>
      <c r="C62" s="1281">
        <v>5</v>
      </c>
      <c r="D62" s="1281">
        <v>610911</v>
      </c>
      <c r="E62" s="1281">
        <v>8</v>
      </c>
      <c r="F62" s="1281">
        <v>51200</v>
      </c>
    </row>
    <row r="63" spans="1:6">
      <c r="A63" s="1280" t="s">
        <v>48</v>
      </c>
      <c r="B63" s="1280" t="s">
        <v>28</v>
      </c>
      <c r="C63" s="1281">
        <v>0</v>
      </c>
      <c r="D63" s="1281">
        <v>0</v>
      </c>
      <c r="E63" s="1281">
        <v>0</v>
      </c>
      <c r="F63" s="1281">
        <v>0</v>
      </c>
    </row>
    <row r="64" spans="1:6">
      <c r="A64" s="1280" t="s">
        <v>55</v>
      </c>
      <c r="B64" s="1280" t="s">
        <v>56</v>
      </c>
      <c r="C64" s="1281">
        <v>0</v>
      </c>
      <c r="D64" s="1281">
        <v>0</v>
      </c>
      <c r="E64" s="1281">
        <v>0</v>
      </c>
      <c r="F64" s="1281">
        <v>0</v>
      </c>
    </row>
    <row r="65" spans="1:6">
      <c r="A65" s="1280" t="s">
        <v>55</v>
      </c>
      <c r="B65" s="1280" t="s">
        <v>28</v>
      </c>
      <c r="C65" s="1281">
        <v>1</v>
      </c>
      <c r="D65" s="1281">
        <v>65578</v>
      </c>
      <c r="E65" s="1281">
        <v>0</v>
      </c>
      <c r="F65" s="1281">
        <v>0</v>
      </c>
    </row>
    <row r="66" spans="1:6">
      <c r="A66" s="1280" t="s">
        <v>55</v>
      </c>
      <c r="B66" s="1280" t="s">
        <v>57</v>
      </c>
      <c r="C66" s="1281">
        <v>0</v>
      </c>
      <c r="D66" s="1281">
        <v>0</v>
      </c>
      <c r="E66" s="1281">
        <v>0</v>
      </c>
      <c r="F66" s="1281">
        <v>0</v>
      </c>
    </row>
    <row r="67" spans="1:6">
      <c r="A67" s="1280" t="s">
        <v>55</v>
      </c>
      <c r="B67" s="1280" t="s">
        <v>58</v>
      </c>
      <c r="C67" s="1281">
        <v>0</v>
      </c>
      <c r="D67" s="1281">
        <v>0</v>
      </c>
      <c r="E67" s="1281">
        <v>0</v>
      </c>
      <c r="F67" s="1281">
        <v>0</v>
      </c>
    </row>
    <row r="68" spans="1:6">
      <c r="A68" s="1275" t="s">
        <v>55</v>
      </c>
      <c r="B68" s="1275" t="s">
        <v>59</v>
      </c>
      <c r="C68" s="1283">
        <v>0</v>
      </c>
      <c r="D68" s="1283">
        <v>0</v>
      </c>
      <c r="E68" s="1283">
        <v>12</v>
      </c>
      <c r="F68" s="1283">
        <v>128473</v>
      </c>
    </row>
    <row r="69" spans="1:6" ht="15.75" thickBot="1">
      <c r="A69" s="330"/>
      <c r="B69" s="326"/>
      <c r="C69" s="326"/>
      <c r="D69" s="326"/>
      <c r="E69" s="326"/>
      <c r="F69" s="326"/>
    </row>
    <row r="70" spans="1:6" ht="19.5">
      <c r="A70" s="1272" t="s">
        <v>60</v>
      </c>
      <c r="B70" s="327" t="s">
        <v>975</v>
      </c>
      <c r="C70" s="327" t="s">
        <v>774</v>
      </c>
      <c r="D70" s="327"/>
      <c r="E70" s="327"/>
      <c r="F70" s="331"/>
    </row>
    <row r="71" spans="1:6" ht="20.25" thickBot="1">
      <c r="A71" s="1290"/>
      <c r="B71" s="1300"/>
      <c r="C71" s="1300"/>
      <c r="D71" s="1301" t="s">
        <v>437</v>
      </c>
      <c r="E71" s="1300"/>
      <c r="F71" s="333"/>
    </row>
    <row r="72" spans="1:6" ht="16.5" thickTop="1" thickBot="1">
      <c r="A72" s="1277" t="s">
        <v>61</v>
      </c>
      <c r="B72" s="1278" t="s">
        <v>62</v>
      </c>
      <c r="C72" s="1291" t="s">
        <v>751</v>
      </c>
      <c r="D72" s="1292"/>
      <c r="E72" s="1292"/>
      <c r="F72" s="1279"/>
    </row>
    <row r="73" spans="1:6">
      <c r="A73" s="1280" t="s">
        <v>63</v>
      </c>
      <c r="B73" s="1280" t="s">
        <v>752</v>
      </c>
      <c r="C73" s="1293" t="s">
        <v>753</v>
      </c>
      <c r="D73" s="1281">
        <v>48023737</v>
      </c>
      <c r="E73" s="445"/>
      <c r="F73" s="326"/>
    </row>
    <row r="74" spans="1:6">
      <c r="A74" s="1280" t="s">
        <v>63</v>
      </c>
      <c r="B74" s="1280" t="s">
        <v>754</v>
      </c>
      <c r="C74" s="1293" t="s">
        <v>755</v>
      </c>
      <c r="D74" s="1281">
        <v>6299623.7215505848</v>
      </c>
      <c r="E74" s="445"/>
      <c r="F74" s="326"/>
    </row>
    <row r="75" spans="1:6">
      <c r="A75" s="1280" t="s">
        <v>64</v>
      </c>
      <c r="B75" s="1280" t="s">
        <v>752</v>
      </c>
      <c r="C75" s="1293" t="s">
        <v>756</v>
      </c>
      <c r="D75" s="1281">
        <v>20739015</v>
      </c>
      <c r="E75" s="445"/>
      <c r="F75" s="326"/>
    </row>
    <row r="76" spans="1:6">
      <c r="A76" s="1280" t="s">
        <v>64</v>
      </c>
      <c r="B76" s="1280" t="s">
        <v>754</v>
      </c>
      <c r="C76" s="1293" t="s">
        <v>757</v>
      </c>
      <c r="D76" s="1281">
        <v>3270876.7215505843</v>
      </c>
      <c r="E76" s="445"/>
      <c r="F76" s="326"/>
    </row>
    <row r="77" spans="1:6">
      <c r="A77" s="1280" t="s">
        <v>65</v>
      </c>
      <c r="B77" s="1280" t="s">
        <v>752</v>
      </c>
      <c r="C77" s="1293" t="s">
        <v>758</v>
      </c>
      <c r="D77" s="1281">
        <v>0</v>
      </c>
      <c r="E77" s="445"/>
      <c r="F77" s="326"/>
    </row>
    <row r="78" spans="1:6">
      <c r="A78" s="1275" t="s">
        <v>65</v>
      </c>
      <c r="B78" s="1275" t="s">
        <v>754</v>
      </c>
      <c r="C78" s="1275" t="s">
        <v>759</v>
      </c>
      <c r="D78" s="1283">
        <v>0</v>
      </c>
      <c r="E78" s="1294"/>
      <c r="F78" s="329"/>
    </row>
    <row r="79" spans="1:6">
      <c r="A79" s="1295"/>
      <c r="B79" s="1295"/>
      <c r="C79" s="326"/>
      <c r="D79" s="326"/>
      <c r="E79" s="326"/>
      <c r="F79" s="326"/>
    </row>
    <row r="80" spans="1:6" ht="15.75" thickBot="1">
      <c r="A80" s="1295"/>
      <c r="B80" s="1295"/>
      <c r="C80" s="326"/>
      <c r="D80" s="326"/>
      <c r="E80" s="326"/>
      <c r="F80" s="326"/>
    </row>
    <row r="81" spans="1:6" ht="20.25" thickBot="1">
      <c r="A81" s="1272" t="s">
        <v>321</v>
      </c>
      <c r="B81" s="1296" t="s">
        <v>383</v>
      </c>
      <c r="C81" s="327" t="s">
        <v>976</v>
      </c>
      <c r="D81" s="327"/>
      <c r="E81" s="327"/>
      <c r="F81" s="331"/>
    </row>
    <row r="82" spans="1:6" ht="16.5" thickTop="1" thickBot="1">
      <c r="A82" s="1277" t="s">
        <v>322</v>
      </c>
      <c r="B82" s="1292"/>
      <c r="C82" s="1292"/>
      <c r="D82" s="1278"/>
      <c r="E82" s="1278"/>
      <c r="F82" s="1279"/>
    </row>
    <row r="83" spans="1:6">
      <c r="A83" s="1280" t="s">
        <v>323</v>
      </c>
      <c r="B83" s="1281">
        <v>161742.55689883122</v>
      </c>
      <c r="C83" s="445"/>
      <c r="D83" s="326"/>
      <c r="E83" s="326"/>
      <c r="F83" s="326"/>
    </row>
    <row r="84" spans="1:6">
      <c r="A84" s="1275" t="s">
        <v>324</v>
      </c>
      <c r="B84" s="1283">
        <v>0</v>
      </c>
      <c r="C84" s="1294"/>
      <c r="D84" s="329"/>
      <c r="E84" s="329"/>
      <c r="F84" s="329"/>
    </row>
    <row r="85" spans="1:6">
      <c r="A85" s="1295"/>
      <c r="B85" s="1297"/>
      <c r="C85" s="326"/>
      <c r="D85" s="326"/>
      <c r="E85" s="326"/>
      <c r="F85" s="326"/>
    </row>
    <row r="86" spans="1:6" ht="15.75" thickBot="1">
      <c r="A86" s="330"/>
      <c r="B86" s="326"/>
      <c r="C86" s="326"/>
      <c r="D86" s="326"/>
      <c r="E86" s="326"/>
      <c r="F86" s="326"/>
    </row>
    <row r="87" spans="1:6" ht="20.25" thickBot="1">
      <c r="A87" s="1272" t="s">
        <v>66</v>
      </c>
      <c r="B87" s="327" t="s">
        <v>383</v>
      </c>
      <c r="C87" s="327" t="s">
        <v>400</v>
      </c>
      <c r="D87" s="327"/>
      <c r="E87" s="327"/>
      <c r="F87" s="331"/>
    </row>
    <row r="88" spans="1:6" ht="16.5" thickTop="1" thickBot="1">
      <c r="A88" s="1277" t="s">
        <v>4</v>
      </c>
      <c r="B88" s="1278" t="s">
        <v>163</v>
      </c>
      <c r="C88" s="1278"/>
      <c r="D88" s="1278"/>
      <c r="E88" s="1278"/>
      <c r="F88" s="1279"/>
    </row>
    <row r="89" spans="1:6">
      <c r="A89" s="1280" t="s">
        <v>543</v>
      </c>
      <c r="B89" s="1281">
        <v>0</v>
      </c>
      <c r="C89" s="326"/>
      <c r="D89" s="326"/>
      <c r="E89" s="326"/>
      <c r="F89" s="326"/>
    </row>
    <row r="90" spans="1:6">
      <c r="A90" s="1280" t="s">
        <v>544</v>
      </c>
      <c r="B90" s="1281">
        <v>0</v>
      </c>
      <c r="C90" s="326"/>
      <c r="D90" s="326"/>
      <c r="E90" s="326"/>
      <c r="F90" s="326"/>
    </row>
    <row r="91" spans="1:6">
      <c r="A91" s="1280" t="s">
        <v>67</v>
      </c>
      <c r="B91" s="1281">
        <v>1601.1557555125057</v>
      </c>
      <c r="C91" s="326"/>
      <c r="D91" s="326"/>
      <c r="E91" s="326"/>
      <c r="F91" s="326"/>
    </row>
    <row r="92" spans="1:6">
      <c r="A92" s="1275" t="s">
        <v>68</v>
      </c>
      <c r="B92" s="1276">
        <v>2538.4546140822627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2" t="s">
        <v>69</v>
      </c>
      <c r="B95" s="327" t="s">
        <v>383</v>
      </c>
      <c r="C95" s="327" t="s">
        <v>401</v>
      </c>
      <c r="D95" s="327"/>
      <c r="E95" s="327"/>
      <c r="F95" s="331"/>
    </row>
    <row r="96" spans="1:6" ht="16.5" thickTop="1" thickBot="1">
      <c r="A96" s="1277" t="s">
        <v>4</v>
      </c>
      <c r="B96" s="1278" t="s">
        <v>5</v>
      </c>
      <c r="C96" s="1278"/>
      <c r="D96" s="1278"/>
      <c r="E96" s="1278"/>
      <c r="F96" s="1279"/>
    </row>
    <row r="97" spans="1:6">
      <c r="A97" s="1280" t="s">
        <v>70</v>
      </c>
      <c r="B97" s="1281">
        <v>1600</v>
      </c>
      <c r="C97" s="326"/>
      <c r="D97" s="326"/>
      <c r="E97" s="326"/>
      <c r="F97" s="326"/>
    </row>
    <row r="98" spans="1:6">
      <c r="A98" s="1280" t="s">
        <v>71</v>
      </c>
      <c r="B98" s="1281">
        <v>0</v>
      </c>
      <c r="C98" s="326"/>
      <c r="D98" s="326"/>
      <c r="E98" s="326"/>
      <c r="F98" s="326"/>
    </row>
    <row r="99" spans="1:6">
      <c r="A99" s="1280" t="s">
        <v>72</v>
      </c>
      <c r="B99" s="1281">
        <v>132</v>
      </c>
      <c r="C99" s="326"/>
      <c r="D99" s="326"/>
      <c r="E99" s="326"/>
      <c r="F99" s="326"/>
    </row>
    <row r="100" spans="1:6">
      <c r="A100" s="1280" t="s">
        <v>73</v>
      </c>
      <c r="B100" s="1281">
        <v>309</v>
      </c>
      <c r="C100" s="326"/>
      <c r="D100" s="326"/>
      <c r="E100" s="326"/>
      <c r="F100" s="326"/>
    </row>
    <row r="101" spans="1:6">
      <c r="A101" s="1280" t="s">
        <v>74</v>
      </c>
      <c r="B101" s="1281">
        <v>104</v>
      </c>
      <c r="C101" s="326"/>
      <c r="D101" s="326"/>
      <c r="E101" s="326"/>
      <c r="F101" s="326"/>
    </row>
    <row r="102" spans="1:6">
      <c r="A102" s="1280" t="s">
        <v>75</v>
      </c>
      <c r="B102" s="1281">
        <v>64</v>
      </c>
      <c r="C102" s="326"/>
      <c r="D102" s="326"/>
      <c r="E102" s="326"/>
      <c r="F102" s="326"/>
    </row>
    <row r="103" spans="1:6">
      <c r="A103" s="1280" t="s">
        <v>76</v>
      </c>
      <c r="B103" s="1281">
        <v>98</v>
      </c>
      <c r="C103" s="326"/>
      <c r="D103" s="326"/>
      <c r="E103" s="326"/>
      <c r="F103" s="326"/>
    </row>
    <row r="104" spans="1:6">
      <c r="A104" s="1280" t="s">
        <v>77</v>
      </c>
      <c r="B104" s="1281">
        <v>1210</v>
      </c>
      <c r="C104" s="326"/>
      <c r="D104" s="326"/>
      <c r="E104" s="326"/>
      <c r="F104" s="326"/>
    </row>
    <row r="105" spans="1:6">
      <c r="A105" s="1275" t="s">
        <v>78</v>
      </c>
      <c r="B105" s="1283">
        <v>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2" t="s">
        <v>650</v>
      </c>
      <c r="B108" s="327" t="s">
        <v>383</v>
      </c>
      <c r="C108" s="327" t="s">
        <v>400</v>
      </c>
      <c r="D108" s="327"/>
      <c r="E108" s="327"/>
      <c r="F108" s="331"/>
    </row>
    <row r="109" spans="1:6" ht="16.5" thickTop="1" thickBot="1">
      <c r="A109" s="1277" t="s">
        <v>4</v>
      </c>
      <c r="B109" s="1278" t="s">
        <v>5</v>
      </c>
      <c r="C109" s="1278"/>
      <c r="D109" s="1278"/>
      <c r="E109" s="1278"/>
      <c r="F109" s="1279"/>
    </row>
    <row r="110" spans="1:6">
      <c r="A110" s="1280" t="s">
        <v>651</v>
      </c>
      <c r="B110" s="1281">
        <v>0</v>
      </c>
      <c r="C110" s="326"/>
      <c r="D110" s="326"/>
      <c r="E110" s="326"/>
      <c r="F110" s="326"/>
    </row>
    <row r="111" spans="1:6">
      <c r="A111" s="1298" t="s">
        <v>652</v>
      </c>
      <c r="B111" s="1299">
        <v>0</v>
      </c>
      <c r="C111" s="1302"/>
      <c r="D111" s="1302"/>
      <c r="E111" s="1302"/>
      <c r="F111" s="1302"/>
    </row>
    <row r="112" spans="1:6">
      <c r="A112" s="1280"/>
      <c r="B112" s="326"/>
      <c r="C112" s="326"/>
      <c r="D112" s="326"/>
      <c r="E112" s="326"/>
      <c r="F112" s="326"/>
    </row>
    <row r="113" spans="1:6" ht="15.75" thickBot="1">
      <c r="A113" s="1275"/>
      <c r="B113" s="329"/>
      <c r="C113" s="329"/>
      <c r="D113" s="329"/>
      <c r="E113" s="329"/>
      <c r="F113" s="329"/>
    </row>
    <row r="114" spans="1:6" ht="20.25" thickBot="1">
      <c r="A114" s="1272" t="s">
        <v>79</v>
      </c>
      <c r="B114" s="327" t="s">
        <v>383</v>
      </c>
      <c r="C114" s="327" t="s">
        <v>400</v>
      </c>
      <c r="D114" s="327"/>
      <c r="E114" s="327"/>
      <c r="F114" s="331"/>
    </row>
    <row r="115" spans="1:6" ht="16.5" thickTop="1" thickBot="1">
      <c r="A115" s="334"/>
      <c r="B115" s="335" t="s">
        <v>80</v>
      </c>
      <c r="C115" s="335" t="s">
        <v>81</v>
      </c>
      <c r="D115" s="335"/>
      <c r="E115" s="335"/>
      <c r="F115" s="336"/>
    </row>
    <row r="116" spans="1:6" ht="16.5" thickTop="1" thickBot="1">
      <c r="A116" s="1277" t="s">
        <v>4</v>
      </c>
      <c r="B116" s="1278" t="s">
        <v>5</v>
      </c>
      <c r="C116" s="1278" t="s">
        <v>5</v>
      </c>
      <c r="D116" s="1278"/>
      <c r="E116" s="1278"/>
      <c r="F116" s="1279"/>
    </row>
    <row r="117" spans="1:6">
      <c r="A117" s="1280" t="s">
        <v>82</v>
      </c>
      <c r="B117" s="1281">
        <v>0</v>
      </c>
      <c r="C117" s="1281">
        <v>0</v>
      </c>
      <c r="D117" s="326"/>
      <c r="E117" s="326"/>
      <c r="F117" s="326"/>
    </row>
    <row r="118" spans="1:6">
      <c r="A118" s="1280" t="s">
        <v>83</v>
      </c>
      <c r="B118" s="1281">
        <v>0</v>
      </c>
      <c r="C118" s="1281">
        <v>0</v>
      </c>
      <c r="D118" s="326"/>
      <c r="E118" s="326"/>
      <c r="F118" s="326"/>
    </row>
    <row r="119" spans="1:6">
      <c r="A119" s="1280" t="s">
        <v>31</v>
      </c>
      <c r="B119" s="1281">
        <v>0</v>
      </c>
      <c r="C119" s="1281">
        <v>0</v>
      </c>
      <c r="D119" s="326"/>
      <c r="E119" s="326"/>
      <c r="F119" s="326"/>
    </row>
    <row r="120" spans="1:6">
      <c r="A120" s="1280" t="s">
        <v>84</v>
      </c>
      <c r="B120" s="1281">
        <v>0</v>
      </c>
      <c r="C120" s="1281">
        <v>0</v>
      </c>
      <c r="D120" s="326"/>
      <c r="E120" s="326"/>
      <c r="F120" s="326"/>
    </row>
    <row r="121" spans="1:6">
      <c r="A121" s="1280" t="s">
        <v>85</v>
      </c>
      <c r="B121" s="1281">
        <v>0</v>
      </c>
      <c r="C121" s="1281">
        <v>0</v>
      </c>
      <c r="D121" s="326"/>
      <c r="E121" s="326"/>
      <c r="F121" s="326"/>
    </row>
    <row r="122" spans="1:6">
      <c r="A122" s="1280" t="s">
        <v>86</v>
      </c>
      <c r="B122" s="1281">
        <v>0</v>
      </c>
      <c r="C122" s="1281">
        <v>0</v>
      </c>
      <c r="D122" s="326"/>
      <c r="E122" s="326"/>
      <c r="F122" s="326"/>
    </row>
    <row r="123" spans="1:6">
      <c r="A123" s="1280" t="s">
        <v>87</v>
      </c>
      <c r="B123" s="1281">
        <v>7</v>
      </c>
      <c r="C123" s="1281">
        <v>2</v>
      </c>
      <c r="D123" s="326"/>
      <c r="E123" s="326"/>
      <c r="F123" s="326"/>
    </row>
    <row r="124" spans="1:6">
      <c r="A124" s="1280" t="s">
        <v>88</v>
      </c>
      <c r="B124" s="1281">
        <v>0</v>
      </c>
      <c r="C124" s="1281">
        <v>0</v>
      </c>
      <c r="D124" s="326"/>
      <c r="E124" s="326"/>
      <c r="F124" s="326"/>
    </row>
    <row r="125" spans="1:6">
      <c r="A125" s="1275" t="s">
        <v>930</v>
      </c>
      <c r="B125" s="1281">
        <v>0</v>
      </c>
      <c r="C125" s="1281">
        <v>0</v>
      </c>
      <c r="D125" s="326"/>
      <c r="E125" s="326"/>
      <c r="F125" s="326"/>
    </row>
    <row r="126" spans="1:6" ht="15.75" thickBot="1">
      <c r="A126" s="1295"/>
      <c r="B126" s="326"/>
      <c r="C126" s="326"/>
      <c r="D126" s="326"/>
      <c r="E126" s="326"/>
      <c r="F126" s="326"/>
    </row>
    <row r="127" spans="1:6" ht="20.25" thickBot="1">
      <c r="A127" s="1272" t="s">
        <v>282</v>
      </c>
      <c r="B127" s="327" t="s">
        <v>383</v>
      </c>
      <c r="C127" s="327" t="s">
        <v>400</v>
      </c>
      <c r="D127" s="327"/>
      <c r="E127" s="327"/>
      <c r="F127" s="331"/>
    </row>
    <row r="128" spans="1:6" ht="16.5" thickTop="1" thickBot="1">
      <c r="A128" s="1277" t="s">
        <v>4</v>
      </c>
      <c r="B128" s="1278" t="s">
        <v>5</v>
      </c>
      <c r="C128" s="1278"/>
      <c r="D128" s="1278"/>
      <c r="E128" s="1278"/>
      <c r="F128" s="1279"/>
    </row>
    <row r="129" spans="1:6">
      <c r="A129" s="1280" t="s">
        <v>283</v>
      </c>
      <c r="B129" s="1281">
        <v>31</v>
      </c>
      <c r="C129" s="326"/>
      <c r="D129" s="326"/>
      <c r="E129" s="326"/>
      <c r="F129" s="326"/>
    </row>
    <row r="130" spans="1:6">
      <c r="A130" s="1280" t="s">
        <v>284</v>
      </c>
      <c r="B130" s="1281">
        <v>0</v>
      </c>
      <c r="C130" s="326"/>
      <c r="D130" s="326"/>
      <c r="E130" s="326"/>
      <c r="F130" s="326"/>
    </row>
    <row r="131" spans="1:6">
      <c r="A131" s="1280" t="s">
        <v>285</v>
      </c>
      <c r="B131" s="1281">
        <v>5</v>
      </c>
      <c r="C131" s="326"/>
      <c r="D131" s="326"/>
      <c r="E131" s="326"/>
      <c r="F131" s="326"/>
    </row>
    <row r="132" spans="1:6">
      <c r="A132" s="1275" t="s">
        <v>286</v>
      </c>
      <c r="B132" s="1276">
        <v>4</v>
      </c>
      <c r="C132" s="329"/>
      <c r="D132" s="329"/>
      <c r="E132" s="329"/>
      <c r="F132" s="329"/>
    </row>
    <row r="133" spans="1:6">
      <c r="A133" s="326"/>
      <c r="B133" s="326"/>
      <c r="C133" s="326"/>
      <c r="D133" s="326"/>
      <c r="E133" s="326"/>
      <c r="F133" s="326"/>
    </row>
    <row r="134" spans="1:6">
      <c r="A134" s="129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7" customWidth="1"/>
  </cols>
  <sheetData>
    <row r="1" spans="1:9" ht="18.75" thickBot="1">
      <c r="A1" s="121" t="s">
        <v>173</v>
      </c>
      <c r="B1" s="503"/>
    </row>
    <row r="2" spans="1:9">
      <c r="A2" s="44" t="s">
        <v>934</v>
      </c>
      <c r="B2" s="504"/>
    </row>
    <row r="3" spans="1:9">
      <c r="A3" s="44"/>
      <c r="B3" s="504"/>
    </row>
    <row r="4" spans="1:9" ht="18">
      <c r="A4" s="137" t="s">
        <v>174</v>
      </c>
      <c r="B4" s="505" t="s">
        <v>377</v>
      </c>
    </row>
    <row r="5" spans="1:9" ht="21">
      <c r="A5" s="116" t="s">
        <v>176</v>
      </c>
      <c r="B5" s="506"/>
      <c r="E5" s="9"/>
      <c r="F5" s="9"/>
      <c r="G5" s="9"/>
    </row>
    <row r="6" spans="1:9">
      <c r="A6" s="117" t="s">
        <v>177</v>
      </c>
      <c r="B6" s="507">
        <v>4.0513950503279288</v>
      </c>
      <c r="E6" s="10"/>
      <c r="F6" s="10"/>
      <c r="G6" s="10"/>
      <c r="H6" s="10"/>
      <c r="I6" s="10"/>
    </row>
    <row r="7" spans="1:9">
      <c r="A7" s="117" t="s">
        <v>6</v>
      </c>
      <c r="B7" s="507">
        <v>123.2550295208157</v>
      </c>
      <c r="H7" s="10"/>
      <c r="I7" s="10"/>
    </row>
    <row r="8" spans="1:9">
      <c r="A8" s="117" t="s">
        <v>7</v>
      </c>
      <c r="B8" s="507">
        <v>68.872016048768984</v>
      </c>
      <c r="H8" s="10"/>
      <c r="I8" s="10"/>
    </row>
    <row r="9" spans="1:9">
      <c r="A9" s="117" t="s">
        <v>8</v>
      </c>
      <c r="B9" s="507">
        <v>31.909886478760502</v>
      </c>
      <c r="E9" s="10"/>
      <c r="F9" s="10"/>
      <c r="G9" s="10"/>
      <c r="H9" s="10"/>
      <c r="I9" s="10"/>
    </row>
    <row r="10" spans="1:9">
      <c r="A10" s="117" t="s">
        <v>9</v>
      </c>
      <c r="B10" s="507">
        <v>47.849994776441498</v>
      </c>
      <c r="E10" s="11"/>
      <c r="F10" s="11"/>
      <c r="G10" s="11"/>
      <c r="H10" s="10"/>
      <c r="I10" s="10"/>
    </row>
    <row r="11" spans="1:9">
      <c r="A11" s="117" t="s">
        <v>10</v>
      </c>
      <c r="B11" s="507">
        <v>41.361552447157969</v>
      </c>
      <c r="E11" s="11"/>
      <c r="F11" s="11"/>
      <c r="G11" s="11"/>
      <c r="H11" s="10"/>
      <c r="I11" s="10"/>
    </row>
    <row r="12" spans="1:9">
      <c r="A12" s="118" t="s">
        <v>16</v>
      </c>
      <c r="B12" s="507">
        <v>8</v>
      </c>
      <c r="E12" s="10"/>
      <c r="F12" s="10"/>
      <c r="G12" s="10"/>
      <c r="H12" s="10"/>
      <c r="I12" s="10"/>
    </row>
    <row r="13" spans="1:9">
      <c r="A13" s="118" t="s">
        <v>17</v>
      </c>
      <c r="B13" s="507">
        <v>5</v>
      </c>
      <c r="E13" s="10"/>
      <c r="F13" s="10"/>
      <c r="G13" s="10"/>
      <c r="H13" s="10"/>
      <c r="I13" s="10"/>
    </row>
    <row r="14" spans="1:9">
      <c r="A14" s="118" t="s">
        <v>178</v>
      </c>
      <c r="B14" s="507">
        <v>1.5</v>
      </c>
      <c r="E14" s="10"/>
      <c r="F14" s="10"/>
      <c r="G14" s="10"/>
      <c r="H14" s="10"/>
      <c r="I14" s="10"/>
    </row>
    <row r="15" spans="1:9">
      <c r="A15" s="118" t="s">
        <v>179</v>
      </c>
      <c r="B15" s="507">
        <v>18</v>
      </c>
      <c r="E15" s="10"/>
      <c r="F15" s="10"/>
      <c r="G15" s="10"/>
      <c r="H15" s="10"/>
      <c r="I15" s="10"/>
    </row>
    <row r="16" spans="1:9">
      <c r="A16" s="118" t="s">
        <v>180</v>
      </c>
      <c r="B16" s="508">
        <v>10</v>
      </c>
      <c r="E16" s="10"/>
      <c r="F16" s="10"/>
      <c r="G16" s="10"/>
      <c r="H16" s="10"/>
      <c r="I16" s="10"/>
    </row>
    <row r="17" spans="1:9" s="43" customFormat="1" ht="15.75" thickBot="1">
      <c r="A17" s="119"/>
      <c r="B17" s="509"/>
      <c r="E17" s="156"/>
      <c r="F17" s="156"/>
      <c r="G17" s="156"/>
      <c r="H17" s="156"/>
      <c r="I17" s="156"/>
    </row>
    <row r="18" spans="1:9" s="43" customFormat="1" ht="15.75" thickBot="1">
      <c r="A18" s="193"/>
      <c r="B18" s="510"/>
      <c r="E18" s="156"/>
      <c r="F18" s="156"/>
      <c r="G18" s="156"/>
      <c r="H18" s="156"/>
      <c r="I18" s="156"/>
    </row>
    <row r="19" spans="1:9" ht="18.75" thickBot="1">
      <c r="A19" s="121" t="s">
        <v>181</v>
      </c>
      <c r="B19" s="503"/>
      <c r="E19" s="10"/>
      <c r="F19" s="10"/>
      <c r="G19" s="10"/>
      <c r="H19" s="10"/>
      <c r="I19" s="10"/>
    </row>
    <row r="20" spans="1:9">
      <c r="A20" s="44" t="s">
        <v>934</v>
      </c>
      <c r="B20" s="504"/>
      <c r="E20" s="10"/>
      <c r="F20" s="10"/>
      <c r="G20" s="10"/>
      <c r="H20" s="10"/>
      <c r="I20" s="10"/>
    </row>
    <row r="21" spans="1:9">
      <c r="A21" s="44"/>
      <c r="B21" s="504"/>
      <c r="E21" s="10"/>
      <c r="F21" s="10"/>
      <c r="G21" s="10"/>
      <c r="H21" s="10"/>
      <c r="I21" s="10"/>
    </row>
    <row r="22" spans="1:9" ht="18">
      <c r="A22" s="138" t="s">
        <v>174</v>
      </c>
      <c r="B22" s="511" t="s">
        <v>377</v>
      </c>
      <c r="E22" s="10"/>
      <c r="F22" s="10"/>
      <c r="G22" s="10"/>
      <c r="H22" s="10"/>
      <c r="I22" s="10"/>
    </row>
    <row r="23" spans="1:9" s="72" customFormat="1">
      <c r="A23" s="118" t="s">
        <v>176</v>
      </c>
      <c r="B23" s="507">
        <v>8.2447569212488219</v>
      </c>
    </row>
    <row r="24" spans="1:9">
      <c r="A24" s="117" t="s">
        <v>177</v>
      </c>
      <c r="B24" s="507">
        <v>4.2231090152811745</v>
      </c>
      <c r="E24" s="10"/>
      <c r="F24" s="10"/>
      <c r="G24" s="10"/>
      <c r="H24" s="10"/>
      <c r="I24" s="10"/>
    </row>
    <row r="25" spans="1:9">
      <c r="A25" s="117" t="s">
        <v>6</v>
      </c>
      <c r="B25" s="507">
        <v>30.648801397177166</v>
      </c>
      <c r="E25" s="10"/>
      <c r="F25" s="10"/>
      <c r="G25" s="10"/>
      <c r="H25" s="10"/>
      <c r="I25" s="10"/>
    </row>
    <row r="26" spans="1:9">
      <c r="A26" s="117" t="s">
        <v>7</v>
      </c>
      <c r="B26" s="507">
        <v>1.9394927414205594</v>
      </c>
      <c r="E26" s="10"/>
      <c r="F26" s="10"/>
      <c r="G26" s="10"/>
      <c r="H26" s="10"/>
      <c r="I26" s="10"/>
    </row>
    <row r="27" spans="1:9">
      <c r="A27" s="117" t="s">
        <v>8</v>
      </c>
      <c r="B27" s="507">
        <v>1.1850645797210961</v>
      </c>
      <c r="E27" s="10"/>
      <c r="F27" s="10"/>
      <c r="G27" s="10"/>
      <c r="H27" s="10"/>
      <c r="I27" s="10"/>
    </row>
    <row r="28" spans="1:9">
      <c r="A28" s="117" t="s">
        <v>9</v>
      </c>
      <c r="B28" s="507">
        <v>4.7542988509326838</v>
      </c>
      <c r="E28" s="10"/>
      <c r="F28" s="10"/>
      <c r="G28" s="10"/>
      <c r="H28" s="10"/>
      <c r="I28" s="10"/>
    </row>
    <row r="29" spans="1:9">
      <c r="A29" s="117" t="s">
        <v>10</v>
      </c>
      <c r="B29" s="507">
        <v>3.3232292777158943</v>
      </c>
      <c r="E29" s="10"/>
      <c r="F29" s="10"/>
      <c r="G29" s="10"/>
      <c r="H29" s="10"/>
      <c r="I29" s="10"/>
    </row>
    <row r="30" spans="1:9">
      <c r="A30" s="118" t="s">
        <v>178</v>
      </c>
      <c r="B30" s="507">
        <v>4.5146961512215507</v>
      </c>
      <c r="E30" s="10"/>
      <c r="F30" s="10"/>
      <c r="G30" s="10"/>
      <c r="H30" s="10"/>
      <c r="I30" s="10"/>
    </row>
    <row r="31" spans="1:9">
      <c r="A31" s="117" t="s">
        <v>11</v>
      </c>
      <c r="B31" s="507">
        <v>1.6075002802320004</v>
      </c>
      <c r="E31" s="10"/>
      <c r="F31" s="10"/>
      <c r="G31" s="10"/>
      <c r="H31" s="10"/>
      <c r="I31" s="10"/>
    </row>
    <row r="32" spans="1:9">
      <c r="A32" s="117" t="s">
        <v>12</v>
      </c>
      <c r="B32" s="507">
        <v>4.8225008406960006</v>
      </c>
      <c r="E32" s="10"/>
      <c r="F32" s="10"/>
      <c r="G32" s="10"/>
      <c r="H32" s="10"/>
      <c r="I32" s="10"/>
    </row>
    <row r="33" spans="1:11">
      <c r="A33" s="117" t="s">
        <v>13</v>
      </c>
      <c r="B33" s="507">
        <v>6.3685027042560023</v>
      </c>
      <c r="E33" s="10"/>
      <c r="F33" s="10"/>
      <c r="G33" s="10"/>
      <c r="H33" s="10"/>
      <c r="I33" s="10"/>
    </row>
    <row r="34" spans="1:11">
      <c r="A34" s="117" t="s">
        <v>14</v>
      </c>
      <c r="B34" s="507">
        <v>4.6362973013280016</v>
      </c>
      <c r="E34" s="10"/>
      <c r="F34" s="10"/>
      <c r="G34" s="10"/>
      <c r="H34" s="10"/>
      <c r="I34" s="10"/>
    </row>
    <row r="35" spans="1:11">
      <c r="A35" s="117" t="s">
        <v>15</v>
      </c>
      <c r="B35" s="507">
        <v>12.338973989496003</v>
      </c>
      <c r="E35" s="10"/>
      <c r="F35" s="10"/>
      <c r="G35" s="10"/>
      <c r="H35" s="10"/>
      <c r="I35" s="10"/>
    </row>
    <row r="36" spans="1:11">
      <c r="A36" s="118" t="s">
        <v>16</v>
      </c>
      <c r="B36" s="507">
        <v>0.19</v>
      </c>
      <c r="E36" s="10"/>
      <c r="F36" s="10"/>
      <c r="G36" s="10"/>
      <c r="H36" s="10"/>
      <c r="I36" s="10"/>
    </row>
    <row r="37" spans="1:11">
      <c r="A37" s="118" t="s">
        <v>17</v>
      </c>
      <c r="B37" s="507">
        <v>0.13</v>
      </c>
    </row>
    <row r="38" spans="1:11">
      <c r="A38" s="118" t="s">
        <v>179</v>
      </c>
      <c r="B38" s="507">
        <v>1.56</v>
      </c>
    </row>
    <row r="39" spans="1:11">
      <c r="A39" s="118" t="s">
        <v>180</v>
      </c>
      <c r="B39" s="507">
        <v>0.76</v>
      </c>
    </row>
    <row r="40" spans="1:11">
      <c r="A40" s="118" t="s">
        <v>18</v>
      </c>
      <c r="B40" s="508">
        <v>2.3645904920866174E-2</v>
      </c>
    </row>
    <row r="41" spans="1:11" ht="15.75" thickBot="1">
      <c r="A41" s="119"/>
      <c r="B41" s="512"/>
    </row>
    <row r="42" spans="1:11" s="43" customFormat="1" ht="15.75" thickBot="1">
      <c r="A42" s="194"/>
      <c r="B42" s="510"/>
      <c r="E42" s="195"/>
      <c r="F42" s="195"/>
      <c r="G42" s="195"/>
      <c r="H42" s="195"/>
      <c r="I42" s="195"/>
      <c r="J42" s="195"/>
      <c r="K42" s="195"/>
    </row>
    <row r="43" spans="1:11" ht="15.75" thickBot="1">
      <c r="A43" s="121" t="s">
        <v>182</v>
      </c>
      <c r="B43" s="513"/>
    </row>
    <row r="44" spans="1:11">
      <c r="A44" s="44" t="s">
        <v>693</v>
      </c>
      <c r="B44" s="504"/>
    </row>
    <row r="45" spans="1:11">
      <c r="A45" s="44"/>
      <c r="B45" s="504"/>
    </row>
    <row r="46" spans="1:11" ht="18">
      <c r="A46" s="137" t="s">
        <v>183</v>
      </c>
      <c r="B46" s="505" t="s">
        <v>569</v>
      </c>
    </row>
    <row r="47" spans="1:11">
      <c r="A47" s="116" t="s">
        <v>184</v>
      </c>
      <c r="B47" s="514">
        <v>0.91078472402969768</v>
      </c>
    </row>
    <row r="48" spans="1:11">
      <c r="A48" s="118" t="s">
        <v>185</v>
      </c>
      <c r="B48" s="507">
        <v>0.91081736334237906</v>
      </c>
    </row>
    <row r="49" spans="1:9">
      <c r="A49" s="118" t="s">
        <v>178</v>
      </c>
      <c r="B49" s="507">
        <v>3.3927234279543167E-2</v>
      </c>
    </row>
    <row r="50" spans="1:9">
      <c r="A50" s="118" t="s">
        <v>18</v>
      </c>
      <c r="B50" s="507">
        <v>9.8456821733816993E-4</v>
      </c>
      <c r="E50" s="10"/>
      <c r="F50" s="10"/>
      <c r="G50" s="10"/>
      <c r="H50" s="10"/>
      <c r="I50" s="10"/>
    </row>
    <row r="51" spans="1:9">
      <c r="A51" s="118" t="s">
        <v>16</v>
      </c>
      <c r="B51" s="507">
        <v>6.354064672145299E-3</v>
      </c>
      <c r="E51" s="10"/>
      <c r="F51" s="10"/>
      <c r="G51" s="10"/>
      <c r="H51" s="10"/>
      <c r="I51" s="10"/>
    </row>
    <row r="52" spans="1:9" ht="15.75" thickBot="1">
      <c r="A52" s="119" t="s">
        <v>120</v>
      </c>
      <c r="B52" s="515">
        <v>0.10414436253376488</v>
      </c>
    </row>
    <row r="53" spans="1:9">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6" customFormat="1" ht="15.75" thickBot="1">
      <c r="A1" s="360" t="s">
        <v>621</v>
      </c>
      <c r="B1" s="518"/>
      <c r="C1" s="519"/>
    </row>
    <row r="2" spans="1:3" s="326" customFormat="1">
      <c r="A2" s="364"/>
      <c r="B2" s="484"/>
      <c r="C2" s="521"/>
    </row>
    <row r="3" spans="1:3" s="326" customFormat="1">
      <c r="A3" s="362"/>
      <c r="B3" s="522">
        <v>2011</v>
      </c>
      <c r="C3" s="365" t="s">
        <v>175</v>
      </c>
    </row>
    <row r="4" spans="1:3">
      <c r="A4" s="120" t="s">
        <v>290</v>
      </c>
      <c r="B4" s="523">
        <v>6050.9562999999998</v>
      </c>
      <c r="C4" s="139" t="s">
        <v>688</v>
      </c>
    </row>
    <row r="5" spans="1:3" ht="15.75" thickBot="1">
      <c r="A5" s="115" t="s">
        <v>620</v>
      </c>
      <c r="B5" s="524">
        <v>672548</v>
      </c>
      <c r="C5" s="140" t="s">
        <v>618</v>
      </c>
    </row>
    <row r="11" spans="1:3">
      <c r="B11" s="77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438</v>
      </c>
      <c r="B1" s="361"/>
    </row>
    <row r="2" spans="1:2" s="326" customFormat="1">
      <c r="A2" s="352"/>
      <c r="B2" s="359"/>
    </row>
    <row r="3" spans="1:2" s="326" customFormat="1" ht="18">
      <c r="A3" s="362"/>
      <c r="B3" s="363" t="s">
        <v>441</v>
      </c>
    </row>
    <row r="4" spans="1:2" ht="18">
      <c r="A4" s="120" t="s">
        <v>439</v>
      </c>
      <c r="B4" s="525">
        <v>310</v>
      </c>
    </row>
    <row r="5" spans="1:2" ht="18.75" thickBot="1">
      <c r="A5" s="115" t="s">
        <v>440</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428</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429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480</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498</v>
      </c>
      <c r="B3" s="49">
        <f ca="1">IF(ISERROR('SEAP template'!C27),0,'SEAP template'!C27)</f>
        <v>98049.303239457382</v>
      </c>
      <c r="C3" s="43" t="s">
        <v>163</v>
      </c>
      <c r="D3" s="43"/>
      <c r="E3" s="156"/>
      <c r="F3" s="43"/>
      <c r="G3" s="43"/>
      <c r="H3" s="43"/>
      <c r="I3" s="43"/>
      <c r="J3" s="43"/>
      <c r="K3" s="96"/>
    </row>
    <row r="4" spans="1:11">
      <c r="A4" s="352" t="s">
        <v>164</v>
      </c>
      <c r="B4" s="49">
        <f>IF(ISERROR('SEAP template'!B78+'SEAP template'!C78),0,'SEAP template'!B78+'SEAP template'!C78)</f>
        <v>8961.3603695947677</v>
      </c>
      <c r="C4" s="43" t="s">
        <v>163</v>
      </c>
      <c r="D4" s="43"/>
      <c r="E4" s="43"/>
      <c r="F4" s="43"/>
      <c r="G4" s="43"/>
      <c r="H4" s="43"/>
      <c r="I4" s="43"/>
      <c r="J4" s="43"/>
      <c r="K4" s="96"/>
    </row>
    <row r="5" spans="1:11">
      <c r="A5" s="352" t="s">
        <v>531</v>
      </c>
      <c r="B5" s="49">
        <f>IF(ISERROR('Eigen informatie GS &amp; warmtenet'!B4),0,'Eigen informatie GS &amp; warmtenet'!B4)</f>
        <v>0</v>
      </c>
      <c r="C5" s="43" t="s">
        <v>163</v>
      </c>
      <c r="D5" s="43"/>
      <c r="E5" s="43"/>
      <c r="F5" s="43"/>
      <c r="G5" s="43"/>
      <c r="H5" s="43"/>
      <c r="I5" s="43"/>
      <c r="J5" s="43"/>
      <c r="K5" s="96"/>
    </row>
    <row r="6" spans="1:11">
      <c r="A6" s="352" t="s">
        <v>165</v>
      </c>
      <c r="B6" s="528">
        <f>E6</f>
        <v>0.221</v>
      </c>
      <c r="C6" s="43" t="s">
        <v>166</v>
      </c>
      <c r="D6" s="43"/>
      <c r="E6" s="989">
        <v>0.221</v>
      </c>
      <c r="F6" s="43" t="s">
        <v>812</v>
      </c>
      <c r="G6" s="43" t="s">
        <v>816</v>
      </c>
      <c r="H6" s="43"/>
      <c r="I6" s="43"/>
      <c r="J6" s="43"/>
      <c r="K6" s="96"/>
    </row>
    <row r="7" spans="1:11">
      <c r="A7" s="352"/>
      <c r="B7" s="447"/>
      <c r="C7" s="43"/>
      <c r="D7" s="43"/>
      <c r="E7" s="43"/>
      <c r="F7" s="48"/>
      <c r="G7" s="43"/>
      <c r="H7" s="43"/>
      <c r="I7" s="43"/>
      <c r="J7" s="43"/>
      <c r="K7" s="96"/>
    </row>
    <row r="8" spans="1:11">
      <c r="A8" s="352"/>
      <c r="B8" s="447"/>
      <c r="C8" s="43"/>
      <c r="D8" s="43"/>
      <c r="E8" s="43"/>
      <c r="F8" s="48"/>
      <c r="G8" s="43"/>
      <c r="H8" s="990"/>
      <c r="I8" s="991"/>
      <c r="J8" s="43"/>
      <c r="K8" s="96"/>
    </row>
    <row r="9" spans="1:11">
      <c r="A9" s="352" t="s">
        <v>168</v>
      </c>
      <c r="B9" s="49">
        <f>IF(ISERROR('SEAP template'!Q78),0,'SEAP template'!Q78)</f>
        <v>8.0205882352941185</v>
      </c>
      <c r="C9" s="43" t="s">
        <v>167</v>
      </c>
      <c r="D9" s="43"/>
      <c r="E9" s="43"/>
      <c r="F9" s="43"/>
      <c r="G9" s="43"/>
      <c r="H9" s="43"/>
      <c r="I9" s="43"/>
      <c r="J9" s="43"/>
      <c r="K9" s="96"/>
    </row>
    <row r="10" spans="1:11">
      <c r="A10" s="352" t="s">
        <v>403</v>
      </c>
      <c r="B10" s="48">
        <v>0</v>
      </c>
      <c r="C10" s="43" t="s">
        <v>167</v>
      </c>
      <c r="D10" s="156"/>
      <c r="E10" s="43"/>
      <c r="F10" s="43"/>
      <c r="G10" s="43"/>
      <c r="H10" s="43"/>
      <c r="I10" s="43"/>
      <c r="J10" s="43"/>
      <c r="K10" s="96"/>
    </row>
    <row r="11" spans="1:11">
      <c r="A11" s="352"/>
      <c r="B11" s="447"/>
      <c r="C11" s="43"/>
      <c r="D11" s="43"/>
      <c r="E11" s="43"/>
      <c r="F11" s="43"/>
      <c r="G11" s="43"/>
      <c r="H11" s="43"/>
      <c r="I11" s="43"/>
      <c r="J11" s="43"/>
      <c r="K11" s="96"/>
    </row>
    <row r="12" spans="1:11">
      <c r="A12" s="353" t="s">
        <v>169</v>
      </c>
      <c r="B12" s="527">
        <f ca="1">IF((B4+B5)&gt;B3,(B9+B10)/(B4+B5),((B3-B4-B5)*B6+B9+B10)/B3)</f>
        <v>0.20088318133553656</v>
      </c>
      <c r="C12" s="43" t="s">
        <v>166</v>
      </c>
      <c r="D12" s="43"/>
      <c r="E12" s="156"/>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481</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11.457983193277309</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499</v>
      </c>
      <c r="B20" s="49">
        <f ca="1">IF(ISERROR('SEAP template'!D27),0,('SEAP template'!D27))</f>
        <v>6888.2142857142853</v>
      </c>
      <c r="C20" s="43" t="s">
        <v>163</v>
      </c>
      <c r="D20" s="43"/>
      <c r="E20" s="156"/>
      <c r="F20" s="156"/>
      <c r="G20" s="43"/>
      <c r="H20" s="43"/>
      <c r="I20" s="43"/>
      <c r="J20" s="43"/>
      <c r="K20" s="96"/>
    </row>
    <row r="21" spans="1:11">
      <c r="A21" s="352"/>
      <c r="B21" s="43"/>
      <c r="C21" s="43"/>
      <c r="D21" s="43"/>
      <c r="E21" s="43"/>
      <c r="F21" s="43"/>
      <c r="G21" s="43"/>
      <c r="H21" s="43"/>
      <c r="I21" s="43"/>
      <c r="J21" s="43"/>
      <c r="K21" s="96"/>
    </row>
    <row r="22" spans="1:11" s="43" customFormat="1">
      <c r="A22" s="353" t="s">
        <v>172</v>
      </c>
      <c r="B22" s="529">
        <f ca="1">IF(B20=0,0,(B17+B18-B19)/B20)</f>
        <v>1.6634185171968926E-3</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751</v>
      </c>
      <c r="B1" s="15" t="s">
        <v>297</v>
      </c>
      <c r="C1" s="15" t="s">
        <v>301</v>
      </c>
      <c r="D1" s="15" t="s">
        <v>302</v>
      </c>
      <c r="E1" s="15" t="s">
        <v>303</v>
      </c>
      <c r="F1" s="15" t="s">
        <v>304</v>
      </c>
      <c r="H1" s="1037" t="s">
        <v>941</v>
      </c>
    </row>
    <row r="2" spans="1:8">
      <c r="A2" s="310" t="str">
        <f>CONCATENATE(TableECFTransport[[#This Row],[Voertuigtype]],"_",TableECFTransport[[#This Row],[Wegtype]],"_",TableECFTransport[[#This Row],[Brandstoftechnologie]],"_",TableECFTransport[[#This Row],[Brandstof]])</f>
        <v>Tram_gemiddeld_Electric_Electric</v>
      </c>
      <c r="B2" s="1036" t="s">
        <v>318</v>
      </c>
      <c r="C2" s="1036" t="s">
        <v>329</v>
      </c>
      <c r="D2" s="1036" t="s">
        <v>299</v>
      </c>
      <c r="E2" s="1036" t="s">
        <v>299</v>
      </c>
      <c r="F2" s="1029">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6" t="s">
        <v>752</v>
      </c>
      <c r="C3" s="1036" t="s">
        <v>64</v>
      </c>
      <c r="D3" s="1036" t="s">
        <v>936</v>
      </c>
      <c r="E3" s="1036" t="s">
        <v>937</v>
      </c>
      <c r="F3" s="102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6" t="s">
        <v>752</v>
      </c>
      <c r="C4" s="1036" t="s">
        <v>63</v>
      </c>
      <c r="D4" s="1036" t="s">
        <v>936</v>
      </c>
      <c r="E4" s="1036" t="s">
        <v>937</v>
      </c>
      <c r="F4" s="102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6" t="s">
        <v>752</v>
      </c>
      <c r="C5" s="1036" t="s">
        <v>65</v>
      </c>
      <c r="D5" s="1036" t="s">
        <v>936</v>
      </c>
      <c r="E5" s="1036" t="s">
        <v>937</v>
      </c>
      <c r="F5" s="1029">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6" t="s">
        <v>752</v>
      </c>
      <c r="C6" s="1036" t="s">
        <v>64</v>
      </c>
      <c r="D6" s="1036" t="s">
        <v>299</v>
      </c>
      <c r="E6" s="1036" t="s">
        <v>299</v>
      </c>
      <c r="F6" s="1029">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6" t="s">
        <v>752</v>
      </c>
      <c r="C7" s="1036" t="s">
        <v>63</v>
      </c>
      <c r="D7" s="1036" t="s">
        <v>299</v>
      </c>
      <c r="E7" s="1036" t="s">
        <v>299</v>
      </c>
      <c r="F7" s="1029">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6" t="s">
        <v>752</v>
      </c>
      <c r="C8" s="1036" t="s">
        <v>65</v>
      </c>
      <c r="D8" s="1036" t="s">
        <v>299</v>
      </c>
      <c r="E8" s="1036" t="s">
        <v>299</v>
      </c>
      <c r="F8" s="1029">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6" t="s">
        <v>754</v>
      </c>
      <c r="C9" s="1036" t="s">
        <v>64</v>
      </c>
      <c r="D9" s="1036" t="s">
        <v>299</v>
      </c>
      <c r="E9" s="1036" t="s">
        <v>299</v>
      </c>
      <c r="F9" s="1029">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6" t="s">
        <v>754</v>
      </c>
      <c r="C10" s="1036" t="s">
        <v>63</v>
      </c>
      <c r="D10" s="1036" t="s">
        <v>299</v>
      </c>
      <c r="E10" s="1036" t="s">
        <v>299</v>
      </c>
      <c r="F10" s="1029">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6" t="s">
        <v>754</v>
      </c>
      <c r="C11" s="1036" t="s">
        <v>65</v>
      </c>
      <c r="D11" s="1036" t="s">
        <v>299</v>
      </c>
      <c r="E11" s="1036" t="s">
        <v>299</v>
      </c>
      <c r="F11" s="1029">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6" t="s">
        <v>760</v>
      </c>
      <c r="C12" s="1036" t="s">
        <v>64</v>
      </c>
      <c r="D12" s="1036" t="s">
        <v>299</v>
      </c>
      <c r="E12" s="1036" t="s">
        <v>299</v>
      </c>
      <c r="F12" s="1029">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6" t="s">
        <v>760</v>
      </c>
      <c r="C13" s="1036" t="s">
        <v>63</v>
      </c>
      <c r="D13" s="1036" t="s">
        <v>299</v>
      </c>
      <c r="E13" s="1036" t="s">
        <v>299</v>
      </c>
      <c r="F13" s="1029">
        <v>4.6800000000000004E-9</v>
      </c>
    </row>
    <row r="14" spans="1:8">
      <c r="A14" s="310" t="str">
        <f>CONCATENATE(TableECFTransport[[#This Row],[Voertuigtype]],"_",TableECFTransport[[#This Row],[Wegtype]],"_",TableECFTransport[[#This Row],[Brandstoftechnologie]],"_",TableECFTransport[[#This Row],[Brandstof]])</f>
        <v>BUS_Snelwegen_Electric_Electric</v>
      </c>
      <c r="B14" s="1036" t="s">
        <v>760</v>
      </c>
      <c r="C14" s="1036" t="s">
        <v>65</v>
      </c>
      <c r="D14" s="1036" t="s">
        <v>299</v>
      </c>
      <c r="E14" s="1036" t="s">
        <v>299</v>
      </c>
      <c r="F14" s="1029">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6" t="s">
        <v>752</v>
      </c>
      <c r="C15" s="1036" t="s">
        <v>64</v>
      </c>
      <c r="D15" s="1036" t="s">
        <v>298</v>
      </c>
      <c r="E15" s="1036" t="s">
        <v>298</v>
      </c>
      <c r="F15" s="1029">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6" t="s">
        <v>752</v>
      </c>
      <c r="C16" s="1036" t="s">
        <v>63</v>
      </c>
      <c r="D16" s="1036" t="s">
        <v>298</v>
      </c>
      <c r="E16" s="1036" t="s">
        <v>298</v>
      </c>
      <c r="F16" s="1029">
        <v>2.5828024725480776E-9</v>
      </c>
    </row>
    <row r="17" spans="1:6">
      <c r="A17" s="310" t="str">
        <f>CONCATENATE(TableECFTransport[[#This Row],[Voertuigtype]],"_",TableECFTransport[[#This Row],[Wegtype]],"_",TableECFTransport[[#This Row],[Brandstoftechnologie]],"_",TableECFTransport[[#This Row],[Brandstof]])</f>
        <v>Lichte voertuigen_Snelwegen_CNG_CNG</v>
      </c>
      <c r="B17" s="1036" t="s">
        <v>752</v>
      </c>
      <c r="C17" s="1036" t="s">
        <v>65</v>
      </c>
      <c r="D17" s="1036" t="s">
        <v>298</v>
      </c>
      <c r="E17" s="1036" t="s">
        <v>298</v>
      </c>
      <c r="F17" s="1029">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6" t="s">
        <v>752</v>
      </c>
      <c r="C18" s="1036" t="s">
        <v>64</v>
      </c>
      <c r="D18" s="1036" t="s">
        <v>195</v>
      </c>
      <c r="E18" s="1036" t="s">
        <v>195</v>
      </c>
      <c r="F18" s="1029">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6" t="s">
        <v>752</v>
      </c>
      <c r="C19" s="1036" t="s">
        <v>63</v>
      </c>
      <c r="D19" s="1036" t="s">
        <v>195</v>
      </c>
      <c r="E19" s="1036" t="s">
        <v>195</v>
      </c>
      <c r="F19" s="1029">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6" t="s">
        <v>752</v>
      </c>
      <c r="C20" s="1036" t="s">
        <v>65</v>
      </c>
      <c r="D20" s="1036" t="s">
        <v>195</v>
      </c>
      <c r="E20" s="1036" t="s">
        <v>195</v>
      </c>
      <c r="F20" s="1029">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6" t="s">
        <v>752</v>
      </c>
      <c r="C21" s="1036" t="s">
        <v>64</v>
      </c>
      <c r="D21" s="1036" t="s">
        <v>938</v>
      </c>
      <c r="E21" s="1036" t="s">
        <v>195</v>
      </c>
      <c r="F21" s="1029">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6" t="s">
        <v>752</v>
      </c>
      <c r="C22" s="1036" t="s">
        <v>64</v>
      </c>
      <c r="D22" s="1036" t="s">
        <v>938</v>
      </c>
      <c r="E22" s="1036" t="s">
        <v>299</v>
      </c>
      <c r="F22" s="1029">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6" t="s">
        <v>752</v>
      </c>
      <c r="C23" s="1036" t="s">
        <v>63</v>
      </c>
      <c r="D23" s="1036" t="s">
        <v>938</v>
      </c>
      <c r="E23" s="1036" t="s">
        <v>195</v>
      </c>
      <c r="F23" s="1029">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6" t="s">
        <v>752</v>
      </c>
      <c r="C24" s="1036" t="s">
        <v>63</v>
      </c>
      <c r="D24" s="1036" t="s">
        <v>938</v>
      </c>
      <c r="E24" s="1036" t="s">
        <v>299</v>
      </c>
      <c r="F24" s="1029">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6" t="s">
        <v>752</v>
      </c>
      <c r="C25" s="1036" t="s">
        <v>65</v>
      </c>
      <c r="D25" s="1036" t="s">
        <v>938</v>
      </c>
      <c r="E25" s="1036" t="s">
        <v>195</v>
      </c>
      <c r="F25" s="1029">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6" t="s">
        <v>752</v>
      </c>
      <c r="C26" s="1036" t="s">
        <v>65</v>
      </c>
      <c r="D26" s="1036" t="s">
        <v>938</v>
      </c>
      <c r="E26" s="1036" t="s">
        <v>299</v>
      </c>
      <c r="F26" s="1029">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6" t="s">
        <v>752</v>
      </c>
      <c r="C27" s="1036" t="s">
        <v>64</v>
      </c>
      <c r="D27" s="1036" t="s">
        <v>112</v>
      </c>
      <c r="E27" s="1036" t="s">
        <v>112</v>
      </c>
      <c r="F27" s="1029">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6" t="s">
        <v>752</v>
      </c>
      <c r="C28" s="1036" t="s">
        <v>63</v>
      </c>
      <c r="D28" s="1036" t="s">
        <v>112</v>
      </c>
      <c r="E28" s="1036" t="s">
        <v>112</v>
      </c>
      <c r="F28" s="1029">
        <v>2.2850938981558649E-9</v>
      </c>
    </row>
    <row r="29" spans="1:6">
      <c r="A29" s="310" t="str">
        <f>CONCATENATE(TableECFTransport[[#This Row],[Voertuigtype]],"_",TableECFTransport[[#This Row],[Wegtype]],"_",TableECFTransport[[#This Row],[Brandstoftechnologie]],"_",TableECFTransport[[#This Row],[Brandstof]])</f>
        <v>Lichte voertuigen_Snelwegen_LPG_LPG</v>
      </c>
      <c r="B29" s="1036" t="s">
        <v>752</v>
      </c>
      <c r="C29" s="1036" t="s">
        <v>65</v>
      </c>
      <c r="D29" s="1036" t="s">
        <v>112</v>
      </c>
      <c r="E29" s="1036" t="s">
        <v>112</v>
      </c>
      <c r="F29" s="1029">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6" t="s">
        <v>752</v>
      </c>
      <c r="C30" s="1036" t="s">
        <v>64</v>
      </c>
      <c r="D30" s="1036" t="s">
        <v>300</v>
      </c>
      <c r="E30" s="1036" t="s">
        <v>300</v>
      </c>
      <c r="F30" s="1029">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6" t="s">
        <v>752</v>
      </c>
      <c r="C31" s="1036" t="s">
        <v>63</v>
      </c>
      <c r="D31" s="1036" t="s">
        <v>300</v>
      </c>
      <c r="E31" s="1036" t="s">
        <v>300</v>
      </c>
      <c r="F31" s="1029">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6" t="s">
        <v>752</v>
      </c>
      <c r="C32" s="1036" t="s">
        <v>65</v>
      </c>
      <c r="D32" s="1036" t="s">
        <v>300</v>
      </c>
      <c r="E32" s="1036" t="s">
        <v>300</v>
      </c>
      <c r="F32" s="1029">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6" t="s">
        <v>752</v>
      </c>
      <c r="C33" s="1036" t="s">
        <v>64</v>
      </c>
      <c r="D33" s="1036" t="s">
        <v>939</v>
      </c>
      <c r="E33" s="1036" t="s">
        <v>300</v>
      </c>
      <c r="F33" s="1029">
        <v>2.7256191082358722E-9</v>
      </c>
    </row>
    <row r="34" spans="1:6">
      <c r="A34" s="1036" t="str">
        <f>CONCATENATE(TableECFTransport[[#This Row],[Voertuigtype]],"_",TableECFTransport[[#This Row],[Wegtype]],"_",TableECFTransport[[#This Row],[Brandstoftechnologie]],"_",TableECFTransport[[#This Row],[Brandstof]])</f>
        <v>Lichte voertuigen_Genummerde wegen_Petrol Hybrid CS_Petrol</v>
      </c>
      <c r="B34" s="1036" t="s">
        <v>752</v>
      </c>
      <c r="C34" s="1036" t="s">
        <v>63</v>
      </c>
      <c r="D34" s="1036" t="s">
        <v>939</v>
      </c>
      <c r="E34" s="1036" t="s">
        <v>300</v>
      </c>
      <c r="F34" s="1029">
        <v>1.5286263671627342E-9</v>
      </c>
    </row>
    <row r="35" spans="1:6">
      <c r="A35" s="1036" t="str">
        <f>CONCATENATE(TableECFTransport[[#This Row],[Voertuigtype]],"_",TableECFTransport[[#This Row],[Wegtype]],"_",TableECFTransport[[#This Row],[Brandstoftechnologie]],"_",TableECFTransport[[#This Row],[Brandstof]])</f>
        <v>Lichte voertuigen_Snelwegen_Petrol Hybrid CS_Petrol</v>
      </c>
      <c r="B35" s="1036" t="s">
        <v>752</v>
      </c>
      <c r="C35" s="1036" t="s">
        <v>65</v>
      </c>
      <c r="D35" s="1036" t="s">
        <v>939</v>
      </c>
      <c r="E35" s="1036" t="s">
        <v>300</v>
      </c>
      <c r="F35" s="1029">
        <v>1.8430305611691195E-9</v>
      </c>
    </row>
    <row r="36" spans="1:6">
      <c r="A36" s="1036" t="str">
        <f>CONCATENATE(TableECFTransport[[#This Row],[Voertuigtype]],"_",TableECFTransport[[#This Row],[Wegtype]],"_",TableECFTransport[[#This Row],[Brandstoftechnologie]],"_",TableECFTransport[[#This Row],[Brandstof]])</f>
        <v>Lichte voertuigen_Niet-genummerde wegen_Petrol Hybrid PHEV_Electric</v>
      </c>
      <c r="B36" s="1036" t="s">
        <v>752</v>
      </c>
      <c r="C36" s="1036" t="s">
        <v>64</v>
      </c>
      <c r="D36" s="1036" t="s">
        <v>940</v>
      </c>
      <c r="E36" s="1036" t="s">
        <v>299</v>
      </c>
      <c r="F36" s="1029">
        <v>6.1932537536773177E-10</v>
      </c>
    </row>
    <row r="37" spans="1:6">
      <c r="A37" s="1036" t="str">
        <f>CONCATENATE(TableECFTransport[[#This Row],[Voertuigtype]],"_",TableECFTransport[[#This Row],[Wegtype]],"_",TableECFTransport[[#This Row],[Brandstoftechnologie]],"_",TableECFTransport[[#This Row],[Brandstof]])</f>
        <v>Lichte voertuigen_Niet-genummerde wegen_Petrol Hybrid PHEV_Petrol</v>
      </c>
      <c r="B37" s="1036" t="s">
        <v>752</v>
      </c>
      <c r="C37" s="1036" t="s">
        <v>64</v>
      </c>
      <c r="D37" s="1036" t="s">
        <v>940</v>
      </c>
      <c r="E37" s="1036" t="s">
        <v>300</v>
      </c>
      <c r="F37" s="1029">
        <v>1.8579761261031953E-9</v>
      </c>
    </row>
    <row r="38" spans="1:6">
      <c r="A38" s="1036" t="str">
        <f>CONCATENATE(TableECFTransport[[#This Row],[Voertuigtype]],"_",TableECFTransport[[#This Row],[Wegtype]],"_",TableECFTransport[[#This Row],[Brandstoftechnologie]],"_",TableECFTransport[[#This Row],[Brandstof]])</f>
        <v>Lichte voertuigen_Genummerde wegen_Petrol Hybrid PHEV_Electric</v>
      </c>
      <c r="B38" s="1036" t="s">
        <v>752</v>
      </c>
      <c r="C38" s="1036" t="s">
        <v>63</v>
      </c>
      <c r="D38" s="1036" t="s">
        <v>940</v>
      </c>
      <c r="E38" s="1036" t="s">
        <v>299</v>
      </c>
      <c r="F38" s="1029">
        <v>3.4777241348437768E-10</v>
      </c>
    </row>
    <row r="39" spans="1:6">
      <c r="A39" s="1036" t="str">
        <f>CONCATENATE(TableECFTransport[[#This Row],[Voertuigtype]],"_",TableECFTransport[[#This Row],[Wegtype]],"_",TableECFTransport[[#This Row],[Brandstoftechnologie]],"_",TableECFTransport[[#This Row],[Brandstof]])</f>
        <v>Lichte voertuigen_Genummerde wegen_Petrol Hybrid PHEV_Petrol</v>
      </c>
      <c r="B39" s="1036" t="s">
        <v>752</v>
      </c>
      <c r="C39" s="1036" t="s">
        <v>63</v>
      </c>
      <c r="D39" s="1036" t="s">
        <v>940</v>
      </c>
      <c r="E39" s="1036" t="s">
        <v>300</v>
      </c>
      <c r="F39" s="1029">
        <v>1.043317240453133E-9</v>
      </c>
    </row>
    <row r="40" spans="1:6">
      <c r="A40" s="1036" t="str">
        <f>CONCATENATE(TableECFTransport[[#This Row],[Voertuigtype]],"_",TableECFTransport[[#This Row],[Wegtype]],"_",TableECFTransport[[#This Row],[Brandstoftechnologie]],"_",TableECFTransport[[#This Row],[Brandstof]])</f>
        <v>Lichte voertuigen_Snelwegen_Petrol Hybrid PHEV_Electric</v>
      </c>
      <c r="B40" s="1036" t="s">
        <v>752</v>
      </c>
      <c r="C40" s="1036" t="s">
        <v>65</v>
      </c>
      <c r="D40" s="1036" t="s">
        <v>940</v>
      </c>
      <c r="E40" s="1036" t="s">
        <v>299</v>
      </c>
      <c r="F40" s="1029">
        <v>5.3360646649785105E-10</v>
      </c>
    </row>
    <row r="41" spans="1:6">
      <c r="A41" s="1036" t="str">
        <f>CONCATENATE(TableECFTransport[[#This Row],[Voertuigtype]],"_",TableECFTransport[[#This Row],[Wegtype]],"_",TableECFTransport[[#This Row],[Brandstoftechnologie]],"_",TableECFTransport[[#This Row],[Brandstof]])</f>
        <v>Lichte voertuigen_Snelwegen_Petrol Hybrid PHEV_Petrol</v>
      </c>
      <c r="B41" s="1036" t="s">
        <v>752</v>
      </c>
      <c r="C41" s="1036" t="s">
        <v>65</v>
      </c>
      <c r="D41" s="1036" t="s">
        <v>940</v>
      </c>
      <c r="E41" s="1036" t="s">
        <v>300</v>
      </c>
      <c r="F41" s="1029">
        <v>1.6008193994935536E-9</v>
      </c>
    </row>
    <row r="42" spans="1:6">
      <c r="A42" s="1036" t="str">
        <f>CONCATENATE(TableECFTransport[[#This Row],[Voertuigtype]],"_",TableECFTransport[[#This Row],[Wegtype]],"_",TableECFTransport[[#This Row],[Brandstoftechnologie]],"_",TableECFTransport[[#This Row],[Brandstof]])</f>
        <v>Zware voertuigen_Niet-genummerde wegen_Diesel_Diesel</v>
      </c>
      <c r="B42" s="1036" t="s">
        <v>754</v>
      </c>
      <c r="C42" s="1036" t="s">
        <v>64</v>
      </c>
      <c r="D42" s="1036" t="s">
        <v>195</v>
      </c>
      <c r="E42" s="1036" t="s">
        <v>195</v>
      </c>
      <c r="F42" s="1029">
        <v>1.354468877820167E-8</v>
      </c>
    </row>
    <row r="43" spans="1:6">
      <c r="A43" s="1036" t="str">
        <f>CONCATENATE(TableECFTransport[[#This Row],[Voertuigtype]],"_",TableECFTransport[[#This Row],[Wegtype]],"_",TableECFTransport[[#This Row],[Brandstoftechnologie]],"_",TableECFTransport[[#This Row],[Brandstof]])</f>
        <v>Zware voertuigen_Genummerde wegen_Diesel_Diesel</v>
      </c>
      <c r="B43" s="1036" t="s">
        <v>754</v>
      </c>
      <c r="C43" s="1036" t="s">
        <v>63</v>
      </c>
      <c r="D43" s="1036" t="s">
        <v>195</v>
      </c>
      <c r="E43" s="1036" t="s">
        <v>195</v>
      </c>
      <c r="F43" s="1029">
        <v>9.7784498833859428E-9</v>
      </c>
    </row>
    <row r="44" spans="1:6">
      <c r="A44" s="1036" t="str">
        <f>CONCATENATE(TableECFTransport[[#This Row],[Voertuigtype]],"_",TableECFTransport[[#This Row],[Wegtype]],"_",TableECFTransport[[#This Row],[Brandstoftechnologie]],"_",TableECFTransport[[#This Row],[Brandstof]])</f>
        <v>Zware voertuigen_Snelwegen_Diesel_Diesel</v>
      </c>
      <c r="B44" s="1036" t="s">
        <v>754</v>
      </c>
      <c r="C44" s="1036" t="s">
        <v>65</v>
      </c>
      <c r="D44" s="1036" t="s">
        <v>195</v>
      </c>
      <c r="E44" s="1036" t="s">
        <v>195</v>
      </c>
      <c r="F44" s="1029">
        <v>9.4353889064506287E-9</v>
      </c>
    </row>
    <row r="45" spans="1:6">
      <c r="A45" s="1036" t="str">
        <f>CONCATENATE(TableECFTransport[[#This Row],[Voertuigtype]],"_",TableECFTransport[[#This Row],[Wegtype]],"_",TableECFTransport[[#This Row],[Brandstoftechnologie]],"_",TableECFTransport[[#This Row],[Brandstof]])</f>
        <v>Zware voertuigen_Niet-genummerde wegen_Petrol_Petrol</v>
      </c>
      <c r="B45" s="1036" t="s">
        <v>754</v>
      </c>
      <c r="C45" s="1036" t="s">
        <v>64</v>
      </c>
      <c r="D45" s="1036" t="s">
        <v>300</v>
      </c>
      <c r="E45" s="1036" t="s">
        <v>300</v>
      </c>
      <c r="F45" s="1029">
        <v>7.6653519389191315E-9</v>
      </c>
    </row>
    <row r="46" spans="1:6">
      <c r="A46" s="1036" t="str">
        <f>CONCATENATE(TableECFTransport[[#This Row],[Voertuigtype]],"_",TableECFTransport[[#This Row],[Wegtype]],"_",TableECFTransport[[#This Row],[Brandstoftechnologie]],"_",TableECFTransport[[#This Row],[Brandstof]])</f>
        <v>Zware voertuigen_Genummerde wegen_Petrol_Petrol</v>
      </c>
      <c r="B46" s="1036" t="s">
        <v>754</v>
      </c>
      <c r="C46" s="1036" t="s">
        <v>63</v>
      </c>
      <c r="D46" s="1036" t="s">
        <v>300</v>
      </c>
      <c r="E46" s="1036" t="s">
        <v>300</v>
      </c>
      <c r="F46" s="1029">
        <v>6.3506130742713411E-9</v>
      </c>
    </row>
    <row r="47" spans="1:6">
      <c r="A47" s="1036" t="str">
        <f>CONCATENATE(TableECFTransport[[#This Row],[Voertuigtype]],"_",TableECFTransport[[#This Row],[Wegtype]],"_",TableECFTransport[[#This Row],[Brandstoftechnologie]],"_",TableECFTransport[[#This Row],[Brandstof]])</f>
        <v>Zware voertuigen_Snelwegen_Petrol_Petrol</v>
      </c>
      <c r="B47" s="1036" t="s">
        <v>754</v>
      </c>
      <c r="C47" s="1036" t="s">
        <v>65</v>
      </c>
      <c r="D47" s="1036" t="s">
        <v>300</v>
      </c>
      <c r="E47" s="1036" t="s">
        <v>300</v>
      </c>
      <c r="F47" s="1029">
        <v>6.5365124469575579E-9</v>
      </c>
    </row>
    <row r="48" spans="1:6">
      <c r="A48" s="1036" t="str">
        <f>CONCATENATE(TableECFTransport[[#This Row],[Voertuigtype]],"_",TableECFTransport[[#This Row],[Wegtype]],"_",TableECFTransport[[#This Row],[Brandstoftechnologie]],"_",TableECFTransport[[#This Row],[Brandstof]])</f>
        <v>BUS_Niet-genummerde wegen_CNG_CNG</v>
      </c>
      <c r="B48" s="1036" t="s">
        <v>760</v>
      </c>
      <c r="C48" s="1036" t="s">
        <v>64</v>
      </c>
      <c r="D48" s="1036" t="s">
        <v>298</v>
      </c>
      <c r="E48" s="1036" t="s">
        <v>298</v>
      </c>
      <c r="F48" s="1029">
        <v>2.3303083752649972E-8</v>
      </c>
    </row>
    <row r="49" spans="1:6">
      <c r="A49" s="1036" t="str">
        <f>CONCATENATE(TableECFTransport[[#This Row],[Voertuigtype]],"_",TableECFTransport[[#This Row],[Wegtype]],"_",TableECFTransport[[#This Row],[Brandstoftechnologie]],"_",TableECFTransport[[#This Row],[Brandstof]])</f>
        <v>BUS_Genummerde wegen_CNG_CNG</v>
      </c>
      <c r="B49" s="1036" t="s">
        <v>760</v>
      </c>
      <c r="C49" s="1036" t="s">
        <v>63</v>
      </c>
      <c r="D49" s="1036" t="s">
        <v>298</v>
      </c>
      <c r="E49" s="1036" t="s">
        <v>298</v>
      </c>
      <c r="F49" s="1029">
        <v>1.2452720009185941E-8</v>
      </c>
    </row>
    <row r="50" spans="1:6">
      <c r="A50" s="1036" t="str">
        <f>CONCATENATE(TableECFTransport[[#This Row],[Voertuigtype]],"_",TableECFTransport[[#This Row],[Wegtype]],"_",TableECFTransport[[#This Row],[Brandstoftechnologie]],"_",TableECFTransport[[#This Row],[Brandstof]])</f>
        <v>BUS_Niet-genummerde wegen_Diesel_Diesel</v>
      </c>
      <c r="B50" s="1036" t="s">
        <v>760</v>
      </c>
      <c r="C50" s="1036" t="s">
        <v>64</v>
      </c>
      <c r="D50" s="1036" t="s">
        <v>195</v>
      </c>
      <c r="E50" s="1036" t="s">
        <v>195</v>
      </c>
      <c r="F50" s="1029">
        <v>1.7778346093046635E-8</v>
      </c>
    </row>
    <row r="51" spans="1:6">
      <c r="A51" s="1036" t="str">
        <f>CONCATENATE(TableECFTransport[[#This Row],[Voertuigtype]],"_",TableECFTransport[[#This Row],[Wegtype]],"_",TableECFTransport[[#This Row],[Brandstoftechnologie]],"_",TableECFTransport[[#This Row],[Brandstof]])</f>
        <v>BUS_Genummerde wegen_Diesel_Diesel</v>
      </c>
      <c r="B51" s="1036" t="s">
        <v>760</v>
      </c>
      <c r="C51" s="1036" t="s">
        <v>63</v>
      </c>
      <c r="D51" s="1036" t="s">
        <v>195</v>
      </c>
      <c r="E51" s="1036" t="s">
        <v>195</v>
      </c>
      <c r="F51" s="1029">
        <v>9.7922915217600791E-9</v>
      </c>
    </row>
    <row r="52" spans="1:6">
      <c r="A52" s="1036" t="str">
        <f>CONCATENATE(TableECFTransport[[#This Row],[Voertuigtype]],"_",TableECFTransport[[#This Row],[Wegtype]],"_",TableECFTransport[[#This Row],[Brandstoftechnologie]],"_",TableECFTransport[[#This Row],[Brandstof]])</f>
        <v>BUS_Niet-genummerde wegen_Diesel Hybrid PHEV_Diesel</v>
      </c>
      <c r="B52" s="1036" t="s">
        <v>760</v>
      </c>
      <c r="C52" s="1036" t="s">
        <v>64</v>
      </c>
      <c r="D52" s="1036" t="s">
        <v>938</v>
      </c>
      <c r="E52" s="1036" t="s">
        <v>195</v>
      </c>
      <c r="F52" s="1029">
        <v>1.2122949179999998E-8</v>
      </c>
    </row>
    <row r="53" spans="1:6">
      <c r="A53" s="1036" t="str">
        <f>CONCATENATE(TableECFTransport[[#This Row],[Voertuigtype]],"_",TableECFTransport[[#This Row],[Wegtype]],"_",TableECFTransport[[#This Row],[Brandstoftechnologie]],"_",TableECFTransport[[#This Row],[Brandstof]])</f>
        <v>BUS_Niet-genummerde wegen_Diesel Hybrid PHEV_Electric</v>
      </c>
      <c r="B53" s="1036" t="s">
        <v>760</v>
      </c>
      <c r="C53" s="1036" t="s">
        <v>64</v>
      </c>
      <c r="D53" s="1036" t="s">
        <v>938</v>
      </c>
      <c r="E53" s="1036" t="s">
        <v>299</v>
      </c>
      <c r="F53" s="1029">
        <v>4.040983059999999E-9</v>
      </c>
    </row>
    <row r="54" spans="1:6">
      <c r="A54" s="1036" t="str">
        <f>CONCATENATE(TableECFTransport[[#This Row],[Voertuigtype]],"_",TableECFTransport[[#This Row],[Wegtype]],"_",TableECFTransport[[#This Row],[Brandstoftechnologie]],"_",TableECFTransport[[#This Row],[Brandstof]])</f>
        <v>BUS_Genummerde wegen_Diesel Hybrid PHEV_Diesel</v>
      </c>
      <c r="B54" s="1036" t="s">
        <v>760</v>
      </c>
      <c r="C54" s="1036" t="s">
        <v>63</v>
      </c>
      <c r="D54" s="1036" t="s">
        <v>938</v>
      </c>
      <c r="E54" s="1036" t="s">
        <v>195</v>
      </c>
      <c r="F54" s="1029">
        <v>6.0281746424999986E-9</v>
      </c>
    </row>
    <row r="55" spans="1:6">
      <c r="A55" s="1036" t="str">
        <f>CONCATENATE(TableECFTransport[[#This Row],[Voertuigtype]],"_",TableECFTransport[[#This Row],[Wegtype]],"_",TableECFTransport[[#This Row],[Brandstoftechnologie]],"_",TableECFTransport[[#This Row],[Brandstof]])</f>
        <v>BUS_Genummerde wegen_Diesel Hybrid PHEV_Electric</v>
      </c>
      <c r="B55" s="1036" t="s">
        <v>760</v>
      </c>
      <c r="C55" s="1036" t="s">
        <v>63</v>
      </c>
      <c r="D55" s="1036" t="s">
        <v>938</v>
      </c>
      <c r="E55" s="1036" t="s">
        <v>299</v>
      </c>
      <c r="F55" s="102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6">
        <v>2011</v>
      </c>
      <c r="B1" s="117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78"/>
      <c r="B2" s="117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78"/>
      <c r="B3" s="117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383</v>
      </c>
      <c r="B5" s="150" t="s">
        <v>509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148</v>
      </c>
      <c r="B7" s="213"/>
      <c r="C7" s="841">
        <v>0</v>
      </c>
      <c r="D7" s="841">
        <v>2.6805934962701699</v>
      </c>
      <c r="E7" s="841">
        <v>0</v>
      </c>
      <c r="F7" s="842">
        <v>2.6805934962701699</v>
      </c>
      <c r="G7" s="841">
        <v>0</v>
      </c>
      <c r="H7" s="841">
        <v>0</v>
      </c>
      <c r="I7" s="841">
        <v>2.2239599999999999</v>
      </c>
      <c r="J7" s="841">
        <v>0.50767128695107</v>
      </c>
      <c r="K7" s="841">
        <v>0</v>
      </c>
      <c r="L7" s="841">
        <v>75.824335044693584</v>
      </c>
      <c r="M7" s="841">
        <v>0</v>
      </c>
      <c r="N7" s="841">
        <v>0</v>
      </c>
      <c r="O7" s="841">
        <v>0</v>
      </c>
      <c r="P7" s="841">
        <v>0</v>
      </c>
      <c r="Q7" s="841">
        <v>0</v>
      </c>
      <c r="R7" s="842">
        <v>78.555966331644655</v>
      </c>
      <c r="S7" s="841">
        <v>81.020451572490572</v>
      </c>
      <c r="T7" s="841">
        <v>0</v>
      </c>
      <c r="U7" s="841">
        <v>0</v>
      </c>
      <c r="V7" s="842">
        <v>81.020451572490572</v>
      </c>
      <c r="W7" s="842">
        <v>162.25701140040539</v>
      </c>
      <c r="X7" s="841">
        <v>0</v>
      </c>
      <c r="Y7" s="841">
        <v>11.305601242837319</v>
      </c>
      <c r="Z7" s="841">
        <v>40.431095546363998</v>
      </c>
      <c r="AA7" s="843">
        <v>0</v>
      </c>
      <c r="AB7" s="843">
        <v>0</v>
      </c>
      <c r="AC7" s="842">
        <v>213.99370818960671</v>
      </c>
    </row>
    <row r="8" spans="1:29">
      <c r="A8" s="214" t="s">
        <v>149</v>
      </c>
      <c r="B8" s="215"/>
      <c r="C8" s="844">
        <v>0</v>
      </c>
      <c r="D8" s="844">
        <v>0</v>
      </c>
      <c r="E8" s="844">
        <v>0</v>
      </c>
      <c r="F8" s="845">
        <v>0</v>
      </c>
      <c r="G8" s="844">
        <v>0</v>
      </c>
      <c r="H8" s="844">
        <v>0</v>
      </c>
      <c r="I8" s="844">
        <v>0.93635176296261835</v>
      </c>
      <c r="J8" s="844">
        <v>0.1136256717751985</v>
      </c>
      <c r="K8" s="844">
        <v>0</v>
      </c>
      <c r="L8" s="844">
        <v>8.2141361334322767</v>
      </c>
      <c r="M8" s="844">
        <v>0</v>
      </c>
      <c r="N8" s="844">
        <v>0.40051228828026236</v>
      </c>
      <c r="O8" s="844">
        <v>0</v>
      </c>
      <c r="P8" s="844">
        <v>0</v>
      </c>
      <c r="Q8" s="844">
        <v>0</v>
      </c>
      <c r="R8" s="845">
        <v>9.6646258564503569</v>
      </c>
      <c r="S8" s="844">
        <v>39.885032712128762</v>
      </c>
      <c r="T8" s="844">
        <v>0</v>
      </c>
      <c r="U8" s="844">
        <v>0</v>
      </c>
      <c r="V8" s="845">
        <v>39.885032712128762</v>
      </c>
      <c r="W8" s="845">
        <v>49.549658568579119</v>
      </c>
      <c r="X8" s="844">
        <v>1.1778731083252698</v>
      </c>
      <c r="Y8" s="844">
        <v>1.2382813741278351</v>
      </c>
      <c r="Z8" s="844">
        <v>43.658759703935893</v>
      </c>
      <c r="AA8" s="846">
        <v>0</v>
      </c>
      <c r="AB8" s="846">
        <v>0</v>
      </c>
      <c r="AC8" s="845">
        <v>95.624572754968113</v>
      </c>
    </row>
    <row r="9" spans="1:29">
      <c r="A9" s="3"/>
      <c r="B9" s="6" t="s">
        <v>150</v>
      </c>
      <c r="C9" s="847">
        <v>0</v>
      </c>
      <c r="D9" s="847">
        <v>0</v>
      </c>
      <c r="E9" s="847">
        <v>0</v>
      </c>
      <c r="F9" s="848">
        <v>0</v>
      </c>
      <c r="G9" s="847">
        <v>0</v>
      </c>
      <c r="H9" s="847">
        <v>0</v>
      </c>
      <c r="I9" s="847">
        <v>0.23986607832345108</v>
      </c>
      <c r="J9" s="847">
        <v>0</v>
      </c>
      <c r="K9" s="847">
        <v>0</v>
      </c>
      <c r="L9" s="847">
        <v>0.74071186543813006</v>
      </c>
      <c r="M9" s="847">
        <v>0</v>
      </c>
      <c r="N9" s="847">
        <v>0</v>
      </c>
      <c r="O9" s="847">
        <v>0</v>
      </c>
      <c r="P9" s="847">
        <v>0</v>
      </c>
      <c r="Q9" s="847">
        <v>0</v>
      </c>
      <c r="R9" s="848">
        <v>0.98057794376158114</v>
      </c>
      <c r="S9" s="847">
        <v>3.9459597725550073</v>
      </c>
      <c r="T9" s="847">
        <v>0</v>
      </c>
      <c r="U9" s="847">
        <v>0</v>
      </c>
      <c r="V9" s="848">
        <v>3.9459597725550073</v>
      </c>
      <c r="W9" s="848">
        <v>4.926537716316588</v>
      </c>
      <c r="X9" s="847">
        <v>0</v>
      </c>
      <c r="Y9" s="847">
        <v>0</v>
      </c>
      <c r="Z9" s="847">
        <v>4.2519422209400766</v>
      </c>
      <c r="AA9" s="849">
        <v>0</v>
      </c>
      <c r="AB9" s="849">
        <v>0</v>
      </c>
      <c r="AC9" s="848">
        <v>9.1784799372566646</v>
      </c>
    </row>
    <row r="10" spans="1:29">
      <c r="A10" s="3"/>
      <c r="B10" s="6" t="s">
        <v>151</v>
      </c>
      <c r="C10" s="847">
        <v>0</v>
      </c>
      <c r="D10" s="847">
        <v>0</v>
      </c>
      <c r="E10" s="847">
        <v>0</v>
      </c>
      <c r="F10" s="848">
        <v>0</v>
      </c>
      <c r="G10" s="847">
        <v>0</v>
      </c>
      <c r="H10" s="847">
        <v>0</v>
      </c>
      <c r="I10" s="847">
        <v>1.1479243261291476E-3</v>
      </c>
      <c r="J10" s="847">
        <v>0</v>
      </c>
      <c r="K10" s="847">
        <v>0</v>
      </c>
      <c r="L10" s="847">
        <v>0.67500914773328857</v>
      </c>
      <c r="M10" s="847">
        <v>0</v>
      </c>
      <c r="N10" s="847">
        <v>7.070841878929539E-3</v>
      </c>
      <c r="O10" s="847">
        <v>0</v>
      </c>
      <c r="P10" s="847">
        <v>0</v>
      </c>
      <c r="Q10" s="847">
        <v>0</v>
      </c>
      <c r="R10" s="848">
        <v>0.68322791393834736</v>
      </c>
      <c r="S10" s="847">
        <v>5.0008933498534036</v>
      </c>
      <c r="T10" s="847">
        <v>0</v>
      </c>
      <c r="U10" s="847">
        <v>0</v>
      </c>
      <c r="V10" s="848">
        <v>5.0008933498534036</v>
      </c>
      <c r="W10" s="848">
        <v>5.6841212637917513</v>
      </c>
      <c r="X10" s="847">
        <v>0</v>
      </c>
      <c r="Y10" s="847">
        <v>2.3935049200000003E-2</v>
      </c>
      <c r="Z10" s="847">
        <v>2.7694669470828974</v>
      </c>
      <c r="AA10" s="849">
        <v>0</v>
      </c>
      <c r="AB10" s="849">
        <v>0</v>
      </c>
      <c r="AC10" s="848">
        <v>8.4775232600746495</v>
      </c>
    </row>
    <row r="11" spans="1:29">
      <c r="A11" s="3"/>
      <c r="B11" s="6" t="s">
        <v>152</v>
      </c>
      <c r="C11" s="847">
        <v>0</v>
      </c>
      <c r="D11" s="847">
        <v>0</v>
      </c>
      <c r="E11" s="847">
        <v>0</v>
      </c>
      <c r="F11" s="848">
        <v>0</v>
      </c>
      <c r="G11" s="847">
        <v>0</v>
      </c>
      <c r="H11" s="847">
        <v>0</v>
      </c>
      <c r="I11" s="847">
        <v>1.4339483086039156E-3</v>
      </c>
      <c r="J11" s="847">
        <v>0</v>
      </c>
      <c r="K11" s="847">
        <v>0</v>
      </c>
      <c r="L11" s="847">
        <v>1.3616964244893957</v>
      </c>
      <c r="M11" s="847">
        <v>0</v>
      </c>
      <c r="N11" s="847">
        <v>0</v>
      </c>
      <c r="O11" s="847">
        <v>0</v>
      </c>
      <c r="P11" s="847">
        <v>0</v>
      </c>
      <c r="Q11" s="847">
        <v>0</v>
      </c>
      <c r="R11" s="848">
        <v>1.3631303727979995</v>
      </c>
      <c r="S11" s="847">
        <v>5.5273920774377121</v>
      </c>
      <c r="T11" s="847">
        <v>0</v>
      </c>
      <c r="U11" s="847">
        <v>0</v>
      </c>
      <c r="V11" s="848">
        <v>5.5273920774377121</v>
      </c>
      <c r="W11" s="848">
        <v>6.8905224502357116</v>
      </c>
      <c r="X11" s="847">
        <v>0</v>
      </c>
      <c r="Y11" s="847">
        <v>5.5458E-3</v>
      </c>
      <c r="Z11" s="847">
        <v>1.881693343564848</v>
      </c>
      <c r="AA11" s="849">
        <v>0</v>
      </c>
      <c r="AB11" s="849">
        <v>0</v>
      </c>
      <c r="AC11" s="848">
        <v>8.7777615938005589</v>
      </c>
    </row>
    <row r="12" spans="1:29">
      <c r="A12" s="3"/>
      <c r="B12" s="6" t="s">
        <v>153</v>
      </c>
      <c r="C12" s="847">
        <v>0</v>
      </c>
      <c r="D12" s="847">
        <v>0</v>
      </c>
      <c r="E12" s="847">
        <v>0</v>
      </c>
      <c r="F12" s="848">
        <v>0</v>
      </c>
      <c r="G12" s="847">
        <v>0</v>
      </c>
      <c r="H12" s="847">
        <v>0</v>
      </c>
      <c r="I12" s="847">
        <v>0.59883151513920008</v>
      </c>
      <c r="J12" s="847">
        <v>2.5976865406703159E-3</v>
      </c>
      <c r="K12" s="847">
        <v>0</v>
      </c>
      <c r="L12" s="847">
        <v>2.5938717385006922</v>
      </c>
      <c r="M12" s="847">
        <v>0</v>
      </c>
      <c r="N12" s="847">
        <v>0</v>
      </c>
      <c r="O12" s="847">
        <v>0</v>
      </c>
      <c r="P12" s="847">
        <v>0</v>
      </c>
      <c r="Q12" s="847">
        <v>0</v>
      </c>
      <c r="R12" s="848">
        <v>3.1953009401805623</v>
      </c>
      <c r="S12" s="847">
        <v>14.214693837786118</v>
      </c>
      <c r="T12" s="847">
        <v>0</v>
      </c>
      <c r="U12" s="847">
        <v>0</v>
      </c>
      <c r="V12" s="848">
        <v>14.214693837786118</v>
      </c>
      <c r="W12" s="848">
        <v>17.409994777966681</v>
      </c>
      <c r="X12" s="847">
        <v>4.9274108325270002E-2</v>
      </c>
      <c r="Y12" s="847">
        <v>0.13223600000000002</v>
      </c>
      <c r="Z12" s="847">
        <v>17.107549096442991</v>
      </c>
      <c r="AA12" s="849">
        <v>0</v>
      </c>
      <c r="AB12" s="849">
        <v>0</v>
      </c>
      <c r="AC12" s="848">
        <v>34.699053982734938</v>
      </c>
    </row>
    <row r="13" spans="1:29">
      <c r="A13" s="3"/>
      <c r="B13" s="6" t="s">
        <v>154</v>
      </c>
      <c r="C13" s="847">
        <v>0</v>
      </c>
      <c r="D13" s="847">
        <v>0</v>
      </c>
      <c r="E13" s="847">
        <v>0</v>
      </c>
      <c r="F13" s="848">
        <v>0</v>
      </c>
      <c r="G13" s="847">
        <v>0</v>
      </c>
      <c r="H13" s="847">
        <v>0</v>
      </c>
      <c r="I13" s="847">
        <v>6.6758629432907293E-2</v>
      </c>
      <c r="J13" s="847">
        <v>0</v>
      </c>
      <c r="K13" s="847">
        <v>0</v>
      </c>
      <c r="L13" s="847">
        <v>2.0032197975617003</v>
      </c>
      <c r="M13" s="847">
        <v>0</v>
      </c>
      <c r="N13" s="847">
        <v>1.7184242162E-3</v>
      </c>
      <c r="O13" s="847">
        <v>0</v>
      </c>
      <c r="P13" s="847">
        <v>0</v>
      </c>
      <c r="Q13" s="847">
        <v>0</v>
      </c>
      <c r="R13" s="848">
        <v>2.0716968512108074</v>
      </c>
      <c r="S13" s="847">
        <v>7.6799284465500124</v>
      </c>
      <c r="T13" s="847">
        <v>0</v>
      </c>
      <c r="U13" s="847">
        <v>0</v>
      </c>
      <c r="V13" s="848">
        <v>7.6799284465500124</v>
      </c>
      <c r="W13" s="848">
        <v>9.7516252977608193</v>
      </c>
      <c r="X13" s="847">
        <v>0</v>
      </c>
      <c r="Y13" s="847">
        <v>6.081894E-3</v>
      </c>
      <c r="Z13" s="847">
        <v>13.003496410008108</v>
      </c>
      <c r="AA13" s="849">
        <v>0</v>
      </c>
      <c r="AB13" s="849">
        <v>0</v>
      </c>
      <c r="AC13" s="848">
        <v>22.761203601768926</v>
      </c>
    </row>
    <row r="14" spans="1:29">
      <c r="A14" s="216"/>
      <c r="B14" s="217" t="s">
        <v>155</v>
      </c>
      <c r="C14" s="850">
        <v>0</v>
      </c>
      <c r="D14" s="850">
        <v>0</v>
      </c>
      <c r="E14" s="850">
        <v>0</v>
      </c>
      <c r="F14" s="851">
        <v>0</v>
      </c>
      <c r="G14" s="847">
        <v>0</v>
      </c>
      <c r="H14" s="847">
        <v>0</v>
      </c>
      <c r="I14" s="847">
        <v>2.8313667432326828E-2</v>
      </c>
      <c r="J14" s="847">
        <v>0.11102798523452818</v>
      </c>
      <c r="K14" s="847">
        <v>0</v>
      </c>
      <c r="L14" s="847">
        <v>0.83962715970907087</v>
      </c>
      <c r="M14" s="847">
        <v>0</v>
      </c>
      <c r="N14" s="847">
        <v>0.39172302218513283</v>
      </c>
      <c r="O14" s="847">
        <v>0</v>
      </c>
      <c r="P14" s="847">
        <v>0</v>
      </c>
      <c r="Q14" s="847">
        <v>0</v>
      </c>
      <c r="R14" s="851">
        <v>1.3706918345610588</v>
      </c>
      <c r="S14" s="847">
        <v>3.5161652279465105</v>
      </c>
      <c r="T14" s="850">
        <v>0</v>
      </c>
      <c r="U14" s="850">
        <v>0</v>
      </c>
      <c r="V14" s="851">
        <v>3.5161652279465105</v>
      </c>
      <c r="W14" s="851">
        <v>4.8868570625075698</v>
      </c>
      <c r="X14" s="847">
        <v>1.1285989999999999</v>
      </c>
      <c r="Y14" s="847">
        <v>1.070482630927835</v>
      </c>
      <c r="Z14" s="847">
        <v>4.6446116858969688</v>
      </c>
      <c r="AA14" s="852">
        <v>0</v>
      </c>
      <c r="AB14" s="852">
        <v>0</v>
      </c>
      <c r="AC14" s="851">
        <v>11.730550379332373</v>
      </c>
    </row>
    <row r="15" spans="1:29">
      <c r="A15" s="214" t="s">
        <v>156</v>
      </c>
      <c r="B15" s="218"/>
      <c r="C15" s="853">
        <v>0</v>
      </c>
      <c r="D15" s="853">
        <v>4.6294683399999897E-2</v>
      </c>
      <c r="E15" s="853">
        <v>0.27958403999999998</v>
      </c>
      <c r="F15" s="854">
        <v>0.3258787233999999</v>
      </c>
      <c r="G15" s="853">
        <v>0</v>
      </c>
      <c r="H15" s="853">
        <v>0</v>
      </c>
      <c r="I15" s="853">
        <v>0.43677774631650601</v>
      </c>
      <c r="J15" s="853">
        <v>0.177079042996164</v>
      </c>
      <c r="K15" s="853">
        <v>0</v>
      </c>
      <c r="L15" s="853">
        <v>8.152548427772965</v>
      </c>
      <c r="M15" s="853">
        <v>0</v>
      </c>
      <c r="N15" s="853">
        <v>1.5225393158196623</v>
      </c>
      <c r="O15" s="853">
        <v>0</v>
      </c>
      <c r="P15" s="853">
        <v>0.73553042499999999</v>
      </c>
      <c r="Q15" s="853">
        <v>0</v>
      </c>
      <c r="R15" s="854">
        <v>11.024474957905298</v>
      </c>
      <c r="S15" s="853">
        <v>34.11080161185599</v>
      </c>
      <c r="T15" s="853">
        <v>0</v>
      </c>
      <c r="U15" s="853">
        <v>0</v>
      </c>
      <c r="V15" s="854">
        <v>34.11080161185599</v>
      </c>
      <c r="W15" s="854">
        <v>45.461155293161291</v>
      </c>
      <c r="X15" s="853">
        <v>4.3920904048954288</v>
      </c>
      <c r="Y15" s="853">
        <v>0.87095798458799956</v>
      </c>
      <c r="Z15" s="853">
        <v>48.397694433966471</v>
      </c>
      <c r="AA15" s="855">
        <v>0</v>
      </c>
      <c r="AB15" s="855">
        <v>0</v>
      </c>
      <c r="AC15" s="854">
        <v>99.121898116611206</v>
      </c>
    </row>
    <row r="16" spans="1:29">
      <c r="A16" s="5"/>
      <c r="B16" s="6" t="s">
        <v>34</v>
      </c>
      <c r="C16" s="856">
        <v>0</v>
      </c>
      <c r="D16" s="856">
        <v>0</v>
      </c>
      <c r="E16" s="856">
        <v>0</v>
      </c>
      <c r="F16" s="848">
        <v>0</v>
      </c>
      <c r="G16" s="856">
        <v>0</v>
      </c>
      <c r="H16" s="856">
        <v>0</v>
      </c>
      <c r="I16" s="856">
        <v>2.24482776E-3</v>
      </c>
      <c r="J16" s="856">
        <v>0</v>
      </c>
      <c r="K16" s="856">
        <v>0</v>
      </c>
      <c r="L16" s="856">
        <v>0</v>
      </c>
      <c r="M16" s="856">
        <v>0</v>
      </c>
      <c r="N16" s="856">
        <v>3.8862360000000012E-3</v>
      </c>
      <c r="O16" s="856">
        <v>0</v>
      </c>
      <c r="P16" s="856">
        <v>0</v>
      </c>
      <c r="Q16" s="856">
        <v>0</v>
      </c>
      <c r="R16" s="848">
        <v>6.1310637600000013E-3</v>
      </c>
      <c r="S16" s="856">
        <v>6.3671612045999026E-2</v>
      </c>
      <c r="T16" s="856">
        <v>0</v>
      </c>
      <c r="U16" s="856">
        <v>0</v>
      </c>
      <c r="V16" s="857">
        <v>6.3671612045999026E-2</v>
      </c>
      <c r="W16" s="848">
        <v>6.9802675805999026E-2</v>
      </c>
      <c r="X16" s="856">
        <v>0</v>
      </c>
      <c r="Y16" s="856">
        <v>0</v>
      </c>
      <c r="Z16" s="856">
        <v>0</v>
      </c>
      <c r="AA16" s="849">
        <v>0</v>
      </c>
      <c r="AB16" s="849">
        <v>0</v>
      </c>
      <c r="AC16" s="848">
        <v>6.9802675805999026E-2</v>
      </c>
    </row>
    <row r="17" spans="1:31">
      <c r="A17" s="5"/>
      <c r="B17" s="6" t="s">
        <v>37</v>
      </c>
      <c r="C17" s="856">
        <v>0</v>
      </c>
      <c r="D17" s="856">
        <v>0</v>
      </c>
      <c r="E17" s="856">
        <v>0.15866815000000001</v>
      </c>
      <c r="F17" s="848">
        <v>0.15866815000000001</v>
      </c>
      <c r="G17" s="856">
        <v>0</v>
      </c>
      <c r="H17" s="856">
        <v>0</v>
      </c>
      <c r="I17" s="856">
        <v>7.1204537699999992E-4</v>
      </c>
      <c r="J17" s="856">
        <v>0</v>
      </c>
      <c r="K17" s="856">
        <v>0</v>
      </c>
      <c r="L17" s="856">
        <v>6.9550615690955997E-2</v>
      </c>
      <c r="M17" s="856">
        <v>0</v>
      </c>
      <c r="N17" s="856">
        <v>0.22275191983999998</v>
      </c>
      <c r="O17" s="856">
        <v>0</v>
      </c>
      <c r="P17" s="856">
        <v>5.9200250000000024E-3</v>
      </c>
      <c r="Q17" s="856">
        <v>0</v>
      </c>
      <c r="R17" s="848">
        <v>0.29893460590795595</v>
      </c>
      <c r="S17" s="856">
        <v>0.45487571287393358</v>
      </c>
      <c r="T17" s="856">
        <v>0</v>
      </c>
      <c r="U17" s="856">
        <v>0</v>
      </c>
      <c r="V17" s="857">
        <v>0.45487571287393358</v>
      </c>
      <c r="W17" s="848">
        <v>0.91247846878188954</v>
      </c>
      <c r="X17" s="856">
        <v>6.2216309999999997E-2</v>
      </c>
      <c r="Y17" s="856">
        <v>0</v>
      </c>
      <c r="Z17" s="856">
        <v>0.84512268719999817</v>
      </c>
      <c r="AA17" s="849">
        <v>0</v>
      </c>
      <c r="AB17" s="849">
        <v>0</v>
      </c>
      <c r="AC17" s="848">
        <v>1.8198174659818878</v>
      </c>
    </row>
    <row r="18" spans="1:31">
      <c r="A18" s="5"/>
      <c r="B18" s="6" t="s">
        <v>35</v>
      </c>
      <c r="C18" s="856">
        <v>0</v>
      </c>
      <c r="D18" s="856">
        <v>0</v>
      </c>
      <c r="E18" s="856">
        <v>0.11157439999999999</v>
      </c>
      <c r="F18" s="848">
        <v>0.11157439999999999</v>
      </c>
      <c r="G18" s="856">
        <v>0</v>
      </c>
      <c r="H18" s="856">
        <v>0</v>
      </c>
      <c r="I18" s="856">
        <v>3.7999359550091011E-2</v>
      </c>
      <c r="J18" s="856">
        <v>0</v>
      </c>
      <c r="K18" s="856">
        <v>0</v>
      </c>
      <c r="L18" s="856">
        <v>0.53858611592464256</v>
      </c>
      <c r="M18" s="856">
        <v>0</v>
      </c>
      <c r="N18" s="856">
        <v>5.5157781060228055E-2</v>
      </c>
      <c r="O18" s="856">
        <v>0</v>
      </c>
      <c r="P18" s="856">
        <v>0</v>
      </c>
      <c r="Q18" s="856">
        <v>0</v>
      </c>
      <c r="R18" s="848">
        <v>0.63174325653496166</v>
      </c>
      <c r="S18" s="856">
        <v>6.9477279689110736</v>
      </c>
      <c r="T18" s="856">
        <v>0</v>
      </c>
      <c r="U18" s="856">
        <v>0</v>
      </c>
      <c r="V18" s="857">
        <v>6.9477279689110736</v>
      </c>
      <c r="W18" s="848">
        <v>7.6910456254460353</v>
      </c>
      <c r="X18" s="856">
        <v>0</v>
      </c>
      <c r="Y18" s="856">
        <v>2.0268793E-2</v>
      </c>
      <c r="Z18" s="856">
        <v>5.4077917639420789</v>
      </c>
      <c r="AA18" s="849">
        <v>0</v>
      </c>
      <c r="AB18" s="849">
        <v>0</v>
      </c>
      <c r="AC18" s="848">
        <v>13.119106182388114</v>
      </c>
    </row>
    <row r="19" spans="1:31">
      <c r="A19" s="5"/>
      <c r="B19" s="6" t="s">
        <v>32</v>
      </c>
      <c r="C19" s="856">
        <v>0</v>
      </c>
      <c r="D19" s="856">
        <v>7.3249999999999997E-4</v>
      </c>
      <c r="E19" s="856">
        <v>0</v>
      </c>
      <c r="F19" s="848">
        <v>7.3249999999999997E-4</v>
      </c>
      <c r="G19" s="856">
        <v>0</v>
      </c>
      <c r="H19" s="856">
        <v>0</v>
      </c>
      <c r="I19" s="856">
        <v>0.13641284933346731</v>
      </c>
      <c r="J19" s="856">
        <v>0.17707614049616399</v>
      </c>
      <c r="K19" s="856">
        <v>0</v>
      </c>
      <c r="L19" s="856">
        <v>6.141552787890217</v>
      </c>
      <c r="M19" s="856">
        <v>0</v>
      </c>
      <c r="N19" s="856">
        <v>0.20748075177743647</v>
      </c>
      <c r="O19" s="856">
        <v>0</v>
      </c>
      <c r="P19" s="856">
        <v>0</v>
      </c>
      <c r="Q19" s="856">
        <v>0</v>
      </c>
      <c r="R19" s="848">
        <v>6.6625225294972843</v>
      </c>
      <c r="S19" s="856">
        <v>6.5794731641534856</v>
      </c>
      <c r="T19" s="856">
        <v>0</v>
      </c>
      <c r="U19" s="856">
        <v>0</v>
      </c>
      <c r="V19" s="857">
        <v>6.5794731641534856</v>
      </c>
      <c r="W19" s="848">
        <v>13.24272819365077</v>
      </c>
      <c r="X19" s="856">
        <v>0.47487000000000001</v>
      </c>
      <c r="Y19" s="856">
        <v>0.60194363099799952</v>
      </c>
      <c r="Z19" s="856">
        <v>8.1216373926762166</v>
      </c>
      <c r="AA19" s="849">
        <v>0</v>
      </c>
      <c r="AB19" s="849">
        <v>0</v>
      </c>
      <c r="AC19" s="848">
        <v>22.441179217324986</v>
      </c>
    </row>
    <row r="20" spans="1:31">
      <c r="A20" s="5"/>
      <c r="B20" s="6" t="s">
        <v>40</v>
      </c>
      <c r="C20" s="856">
        <v>0</v>
      </c>
      <c r="D20" s="856">
        <v>4.5483662999999952E-2</v>
      </c>
      <c r="E20" s="856">
        <v>-1.0947800000000001E-3</v>
      </c>
      <c r="F20" s="848">
        <v>4.4388882999999948E-2</v>
      </c>
      <c r="G20" s="856">
        <v>0</v>
      </c>
      <c r="H20" s="856">
        <v>0</v>
      </c>
      <c r="I20" s="856">
        <v>9.8329590746062137E-2</v>
      </c>
      <c r="J20" s="856">
        <v>0</v>
      </c>
      <c r="K20" s="856">
        <v>0</v>
      </c>
      <c r="L20" s="856">
        <v>0.83076581022245177</v>
      </c>
      <c r="M20" s="856">
        <v>0</v>
      </c>
      <c r="N20" s="856">
        <v>0.90798485776912075</v>
      </c>
      <c r="O20" s="856">
        <v>0</v>
      </c>
      <c r="P20" s="856">
        <v>0</v>
      </c>
      <c r="Q20" s="856">
        <v>0</v>
      </c>
      <c r="R20" s="848">
        <v>1.8370802587376347</v>
      </c>
      <c r="S20" s="856">
        <v>7.2420871481679132</v>
      </c>
      <c r="T20" s="856">
        <v>0</v>
      </c>
      <c r="U20" s="856">
        <v>0</v>
      </c>
      <c r="V20" s="857">
        <v>7.2420871481679132</v>
      </c>
      <c r="W20" s="848">
        <v>9.1235562899055473</v>
      </c>
      <c r="X20" s="856">
        <v>0</v>
      </c>
      <c r="Y20" s="856">
        <v>0.15766658219000007</v>
      </c>
      <c r="Z20" s="856">
        <v>10.777517464185561</v>
      </c>
      <c r="AA20" s="849">
        <v>0</v>
      </c>
      <c r="AB20" s="849">
        <v>0</v>
      </c>
      <c r="AC20" s="848">
        <v>20.058740336281108</v>
      </c>
    </row>
    <row r="21" spans="1:31">
      <c r="A21" s="5"/>
      <c r="B21" s="6" t="s">
        <v>39</v>
      </c>
      <c r="C21" s="856">
        <v>0</v>
      </c>
      <c r="D21" s="856">
        <v>0</v>
      </c>
      <c r="E21" s="856">
        <v>0</v>
      </c>
      <c r="F21" s="848">
        <v>0</v>
      </c>
      <c r="G21" s="856">
        <v>0</v>
      </c>
      <c r="H21" s="856">
        <v>0</v>
      </c>
      <c r="I21" s="856">
        <v>6.2368312986916764E-3</v>
      </c>
      <c r="J21" s="856">
        <v>0</v>
      </c>
      <c r="K21" s="856">
        <v>0</v>
      </c>
      <c r="L21" s="856">
        <v>4.3105495243907922E-2</v>
      </c>
      <c r="M21" s="856">
        <v>0</v>
      </c>
      <c r="N21" s="856">
        <v>1.5346453908877336E-2</v>
      </c>
      <c r="O21" s="856">
        <v>0</v>
      </c>
      <c r="P21" s="856">
        <v>0</v>
      </c>
      <c r="Q21" s="856">
        <v>0</v>
      </c>
      <c r="R21" s="848">
        <v>6.4688780451476927E-2</v>
      </c>
      <c r="S21" s="856">
        <v>3.9634230005757067</v>
      </c>
      <c r="T21" s="856">
        <v>0</v>
      </c>
      <c r="U21" s="856">
        <v>0</v>
      </c>
      <c r="V21" s="857">
        <v>3.9634230005757067</v>
      </c>
      <c r="W21" s="848">
        <v>4.0281117810271834</v>
      </c>
      <c r="X21" s="856">
        <v>0</v>
      </c>
      <c r="Y21" s="856">
        <v>1.9397999999999999E-2</v>
      </c>
      <c r="Z21" s="856">
        <v>2.7344754590981495</v>
      </c>
      <c r="AA21" s="849">
        <v>0</v>
      </c>
      <c r="AB21" s="849">
        <v>0</v>
      </c>
      <c r="AC21" s="848">
        <v>6.7819852401253327</v>
      </c>
    </row>
    <row r="22" spans="1:31">
      <c r="A22" s="5"/>
      <c r="B22" s="6" t="s">
        <v>36</v>
      </c>
      <c r="C22" s="856">
        <v>0</v>
      </c>
      <c r="D22" s="856">
        <v>7.852039999994842E-5</v>
      </c>
      <c r="E22" s="856">
        <v>1.0436270000000001E-2</v>
      </c>
      <c r="F22" s="848">
        <v>1.0514790399999949E-2</v>
      </c>
      <c r="G22" s="856">
        <v>0</v>
      </c>
      <c r="H22" s="856">
        <v>0</v>
      </c>
      <c r="I22" s="856">
        <v>4.5910923805786374E-2</v>
      </c>
      <c r="J22" s="856">
        <v>2.9024999999999997E-6</v>
      </c>
      <c r="K22" s="856">
        <v>0</v>
      </c>
      <c r="L22" s="856">
        <v>0.20881870495472327</v>
      </c>
      <c r="M22" s="856">
        <v>0</v>
      </c>
      <c r="N22" s="856">
        <v>-1.2131777027999835E-2</v>
      </c>
      <c r="O22" s="856">
        <v>0</v>
      </c>
      <c r="P22" s="856">
        <v>0</v>
      </c>
      <c r="Q22" s="856">
        <v>0</v>
      </c>
      <c r="R22" s="848">
        <v>0.24260075423250982</v>
      </c>
      <c r="S22" s="856">
        <v>1.0767462052923999</v>
      </c>
      <c r="T22" s="856">
        <v>0</v>
      </c>
      <c r="U22" s="856">
        <v>0</v>
      </c>
      <c r="V22" s="857">
        <v>1.0767462052923999</v>
      </c>
      <c r="W22" s="848">
        <v>1.3298617499249097</v>
      </c>
      <c r="X22" s="856">
        <v>1.0760059310000001</v>
      </c>
      <c r="Y22" s="856">
        <v>0</v>
      </c>
      <c r="Z22" s="856">
        <v>1.8510042782840566</v>
      </c>
      <c r="AA22" s="849">
        <v>0</v>
      </c>
      <c r="AB22" s="849">
        <v>0</v>
      </c>
      <c r="AC22" s="848">
        <v>4.2568719592089668</v>
      </c>
    </row>
    <row r="23" spans="1:31">
      <c r="A23" s="5"/>
      <c r="B23" s="6" t="s">
        <v>38</v>
      </c>
      <c r="C23" s="856">
        <v>0</v>
      </c>
      <c r="D23" s="856">
        <v>0</v>
      </c>
      <c r="E23" s="856">
        <v>0</v>
      </c>
      <c r="F23" s="848">
        <v>0</v>
      </c>
      <c r="G23" s="856">
        <v>0</v>
      </c>
      <c r="H23" s="856">
        <v>0</v>
      </c>
      <c r="I23" s="856">
        <v>5.6950570951867528E-2</v>
      </c>
      <c r="J23" s="856">
        <v>0</v>
      </c>
      <c r="K23" s="856">
        <v>0</v>
      </c>
      <c r="L23" s="856">
        <v>0.34388259705726382</v>
      </c>
      <c r="M23" s="856">
        <v>0</v>
      </c>
      <c r="N23" s="856">
        <v>4.9150300000000001E-2</v>
      </c>
      <c r="O23" s="856">
        <v>0</v>
      </c>
      <c r="P23" s="856">
        <v>0</v>
      </c>
      <c r="Q23" s="856">
        <v>0</v>
      </c>
      <c r="R23" s="848">
        <v>0.4499834680091313</v>
      </c>
      <c r="S23" s="856">
        <v>0.53969360671919997</v>
      </c>
      <c r="T23" s="856">
        <v>0</v>
      </c>
      <c r="U23" s="856">
        <v>0</v>
      </c>
      <c r="V23" s="857">
        <v>0.53969360671919997</v>
      </c>
      <c r="W23" s="848">
        <v>0.98967707472833122</v>
      </c>
      <c r="X23" s="856">
        <v>0.66275824246685622</v>
      </c>
      <c r="Y23" s="856">
        <v>0</v>
      </c>
      <c r="Z23" s="856">
        <v>3.3297063332112988</v>
      </c>
      <c r="AA23" s="849">
        <v>0</v>
      </c>
      <c r="AB23" s="849">
        <v>0</v>
      </c>
      <c r="AC23" s="848">
        <v>4.9821416504064864</v>
      </c>
    </row>
    <row r="24" spans="1:31">
      <c r="A24" s="219"/>
      <c r="B24" s="217" t="s">
        <v>33</v>
      </c>
      <c r="C24" s="856">
        <v>0</v>
      </c>
      <c r="D24" s="856">
        <v>0</v>
      </c>
      <c r="E24" s="856">
        <v>0</v>
      </c>
      <c r="F24" s="848">
        <v>0</v>
      </c>
      <c r="G24" s="856">
        <v>0</v>
      </c>
      <c r="H24" s="856">
        <v>0</v>
      </c>
      <c r="I24" s="856">
        <v>5.1980747493540001E-2</v>
      </c>
      <c r="J24" s="856">
        <v>0</v>
      </c>
      <c r="K24" s="856">
        <v>0</v>
      </c>
      <c r="L24" s="856">
        <v>-2.3713699211196759E-2</v>
      </c>
      <c r="M24" s="856">
        <v>0</v>
      </c>
      <c r="N24" s="856">
        <v>7.2912792491999667E-2</v>
      </c>
      <c r="O24" s="856">
        <v>0</v>
      </c>
      <c r="P24" s="856">
        <v>0.72961039999999999</v>
      </c>
      <c r="Q24" s="856">
        <v>0</v>
      </c>
      <c r="R24" s="848">
        <v>0.83079024077434294</v>
      </c>
      <c r="S24" s="856">
        <v>7.2431031931162835</v>
      </c>
      <c r="T24" s="856">
        <v>0</v>
      </c>
      <c r="U24" s="856">
        <v>0</v>
      </c>
      <c r="V24" s="857">
        <v>7.2431031931162835</v>
      </c>
      <c r="W24" s="848">
        <v>8.0738934338906265</v>
      </c>
      <c r="X24" s="856">
        <v>2.1162399214285728</v>
      </c>
      <c r="Y24" s="856">
        <v>7.1680978399999998E-2</v>
      </c>
      <c r="Z24" s="856">
        <v>15.330439055369112</v>
      </c>
      <c r="AA24" s="849">
        <v>0</v>
      </c>
      <c r="AB24" s="849">
        <v>0</v>
      </c>
      <c r="AC24" s="848">
        <v>25.592253389088313</v>
      </c>
    </row>
    <row r="25" spans="1:31">
      <c r="A25" s="5" t="s">
        <v>105</v>
      </c>
      <c r="B25" s="128"/>
      <c r="C25" s="858">
        <f>SUM(C27:C32)</f>
        <v>0</v>
      </c>
      <c r="D25" s="858">
        <f>SUM(D27:D32)</f>
        <v>0.20888365520050314</v>
      </c>
      <c r="E25" s="858">
        <f>SUM(E27:E32)</f>
        <v>0</v>
      </c>
      <c r="F25" s="854">
        <f>SUM(F27:F32)</f>
        <v>0.20888365520050314</v>
      </c>
      <c r="G25" s="844">
        <f>SUM(G27:G32)</f>
        <v>0</v>
      </c>
      <c r="H25" s="844">
        <f t="shared" ref="H25:Q25" si="0">SUM(H27:H32)</f>
        <v>0</v>
      </c>
      <c r="I25" s="844">
        <f t="shared" si="0"/>
        <v>2.449334066259019E-2</v>
      </c>
      <c r="J25" s="844">
        <f t="shared" si="0"/>
        <v>0.10148290284892604</v>
      </c>
      <c r="K25" s="844">
        <f t="shared" si="0"/>
        <v>0</v>
      </c>
      <c r="L25" s="844">
        <f t="shared" si="0"/>
        <v>9.0798034144465536</v>
      </c>
      <c r="M25" s="844">
        <f t="shared" si="0"/>
        <v>0</v>
      </c>
      <c r="N25" s="844">
        <f t="shared" si="0"/>
        <v>0.93241406698096574</v>
      </c>
      <c r="O25" s="844">
        <f t="shared" si="0"/>
        <v>0</v>
      </c>
      <c r="P25" s="844">
        <f t="shared" si="0"/>
        <v>0</v>
      </c>
      <c r="Q25" s="844">
        <f t="shared" si="0"/>
        <v>0</v>
      </c>
      <c r="R25" s="854">
        <f>SUM(R27:R32)</f>
        <v>10.138193724939034</v>
      </c>
      <c r="S25" s="844">
        <f>SUM(S27:S32)</f>
        <v>13.121942999999998</v>
      </c>
      <c r="T25" s="844">
        <f t="shared" ref="T25:U25" si="1">SUM(T27:T32)</f>
        <v>0</v>
      </c>
      <c r="U25" s="844">
        <f t="shared" si="1"/>
        <v>0</v>
      </c>
      <c r="V25" s="854">
        <f t="shared" ref="V25:AC25" si="2">SUM(V27:V32)</f>
        <v>13.121942999999998</v>
      </c>
      <c r="W25" s="854">
        <f t="shared" si="2"/>
        <v>23.469020380139533</v>
      </c>
      <c r="X25" s="853">
        <f t="shared" si="2"/>
        <v>0</v>
      </c>
      <c r="Y25" s="853">
        <f t="shared" si="2"/>
        <v>2.15641768847243</v>
      </c>
      <c r="Z25" s="846">
        <f t="shared" si="2"/>
        <v>-0.878572647494688</v>
      </c>
      <c r="AA25" s="855">
        <f t="shared" si="2"/>
        <v>0</v>
      </c>
      <c r="AB25" s="855">
        <f t="shared" si="2"/>
        <v>0</v>
      </c>
      <c r="AC25" s="845">
        <f t="shared" si="2"/>
        <v>24.746865421117278</v>
      </c>
      <c r="AE25" s="38"/>
    </row>
    <row r="26" spans="1:31">
      <c r="A26" s="5"/>
      <c r="B26" s="128"/>
      <c r="C26" s="858"/>
      <c r="D26" s="859"/>
      <c r="E26" s="858"/>
      <c r="F26" s="848"/>
      <c r="G26" s="859"/>
      <c r="H26" s="859"/>
      <c r="I26" s="859"/>
      <c r="J26" s="859"/>
      <c r="K26" s="859"/>
      <c r="L26" s="859"/>
      <c r="M26" s="859"/>
      <c r="N26" s="859"/>
      <c r="O26" s="859"/>
      <c r="P26" s="859"/>
      <c r="Q26" s="859"/>
      <c r="R26" s="848"/>
      <c r="S26" s="859"/>
      <c r="T26" s="858"/>
      <c r="U26" s="858"/>
      <c r="V26" s="848"/>
      <c r="W26" s="848"/>
      <c r="X26" s="858"/>
      <c r="Y26" s="862"/>
      <c r="Z26" s="862">
        <v>2.3388879215053437</v>
      </c>
      <c r="AA26" s="863"/>
      <c r="AB26" s="860"/>
      <c r="AC26" s="861"/>
      <c r="AE26" s="38"/>
    </row>
    <row r="27" spans="1:31">
      <c r="A27" s="3"/>
      <c r="B27" s="6" t="s">
        <v>157</v>
      </c>
      <c r="C27" s="847">
        <v>0</v>
      </c>
      <c r="D27" s="847">
        <v>1.216028965681021E-2</v>
      </c>
      <c r="E27" s="847">
        <v>0</v>
      </c>
      <c r="F27" s="848">
        <v>1.216028965681021E-2</v>
      </c>
      <c r="G27" s="847"/>
      <c r="H27" s="847"/>
      <c r="I27" s="847">
        <v>1.1515256875146705E-2</v>
      </c>
      <c r="J27" s="847">
        <v>2.5269448014061439E-3</v>
      </c>
      <c r="K27" s="847"/>
      <c r="L27" s="847">
        <v>5.7232441494046729</v>
      </c>
      <c r="M27" s="847">
        <v>0</v>
      </c>
      <c r="N27" s="847">
        <v>0</v>
      </c>
      <c r="O27" s="847">
        <v>0</v>
      </c>
      <c r="P27" s="847">
        <v>0</v>
      </c>
      <c r="Q27" s="847">
        <v>0</v>
      </c>
      <c r="R27" s="848">
        <v>5.7372863510812255</v>
      </c>
      <c r="S27" s="847">
        <v>0.15661599999999998</v>
      </c>
      <c r="T27" s="847">
        <v>0</v>
      </c>
      <c r="U27" s="847">
        <v>0</v>
      </c>
      <c r="V27" s="848">
        <v>0.15661599999999998</v>
      </c>
      <c r="W27" s="848">
        <v>5.9060626407380354</v>
      </c>
      <c r="X27" s="847">
        <v>0</v>
      </c>
      <c r="Y27" s="847">
        <v>1.1398514487638585</v>
      </c>
      <c r="Z27" s="847">
        <v>2.0298836914009635</v>
      </c>
      <c r="AA27" s="849">
        <v>0</v>
      </c>
      <c r="AB27" s="849">
        <v>0</v>
      </c>
      <c r="AC27" s="848">
        <v>9.0757977809028567</v>
      </c>
    </row>
    <row r="28" spans="1:31">
      <c r="A28" s="3"/>
      <c r="B28" s="6" t="s">
        <v>158</v>
      </c>
      <c r="C28" s="847">
        <v>0</v>
      </c>
      <c r="D28" s="847">
        <v>3.2916427119333906E-4</v>
      </c>
      <c r="E28" s="847">
        <v>0</v>
      </c>
      <c r="F28" s="848">
        <v>3.2916427119333906E-4</v>
      </c>
      <c r="G28" s="847"/>
      <c r="H28" s="847"/>
      <c r="I28" s="847">
        <v>3.0816399639897536E-3</v>
      </c>
      <c r="J28" s="847">
        <v>4.8222195689959625E-5</v>
      </c>
      <c r="K28" s="847"/>
      <c r="L28" s="847">
        <v>1.6844584348927525</v>
      </c>
      <c r="M28" s="847">
        <v>0</v>
      </c>
      <c r="N28" s="847">
        <v>0</v>
      </c>
      <c r="O28" s="847">
        <v>0</v>
      </c>
      <c r="P28" s="847">
        <v>0</v>
      </c>
      <c r="Q28" s="847">
        <v>0</v>
      </c>
      <c r="R28" s="848">
        <v>1.6875882970524323</v>
      </c>
      <c r="S28" s="847">
        <v>0</v>
      </c>
      <c r="T28" s="847">
        <v>0</v>
      </c>
      <c r="U28" s="847">
        <v>0</v>
      </c>
      <c r="V28" s="848">
        <v>0</v>
      </c>
      <c r="W28" s="848">
        <v>1.6879174613236256</v>
      </c>
      <c r="X28" s="847">
        <v>0</v>
      </c>
      <c r="Y28" s="847">
        <v>0.539654937</v>
      </c>
      <c r="Z28" s="847">
        <v>0.73193253339905706</v>
      </c>
      <c r="AA28" s="849">
        <v>0</v>
      </c>
      <c r="AB28" s="849">
        <v>0</v>
      </c>
      <c r="AC28" s="848">
        <v>2.9595049317226825</v>
      </c>
    </row>
    <row r="29" spans="1:31">
      <c r="A29" s="3"/>
      <c r="B29" s="6" t="s">
        <v>159</v>
      </c>
      <c r="C29" s="847">
        <v>0</v>
      </c>
      <c r="D29" s="847">
        <v>7.8805964280621907E-2</v>
      </c>
      <c r="E29" s="847">
        <v>0</v>
      </c>
      <c r="F29" s="848">
        <v>7.8805964280621907E-2</v>
      </c>
      <c r="G29" s="847"/>
      <c r="H29" s="847"/>
      <c r="I29" s="847">
        <v>4.1205546807372541E-3</v>
      </c>
      <c r="J29" s="847">
        <v>6.6624180063283155E-4</v>
      </c>
      <c r="K29" s="847"/>
      <c r="L29" s="847">
        <v>0.67276766690110157</v>
      </c>
      <c r="M29" s="847">
        <v>0</v>
      </c>
      <c r="N29" s="847">
        <v>0.81332582208126469</v>
      </c>
      <c r="O29" s="847">
        <v>0</v>
      </c>
      <c r="P29" s="847">
        <v>0</v>
      </c>
      <c r="Q29" s="847">
        <v>0</v>
      </c>
      <c r="R29" s="848">
        <v>1.4908802854637364</v>
      </c>
      <c r="S29" s="847">
        <v>12.945658999999999</v>
      </c>
      <c r="T29" s="847">
        <v>0</v>
      </c>
      <c r="U29" s="847">
        <v>0</v>
      </c>
      <c r="V29" s="848">
        <v>12.945658999999999</v>
      </c>
      <c r="W29" s="848">
        <v>14.515345249744357</v>
      </c>
      <c r="X29" s="847">
        <v>0</v>
      </c>
      <c r="Y29" s="847">
        <v>0.47691130270857152</v>
      </c>
      <c r="Z29" s="847">
        <v>-4.585323919615516</v>
      </c>
      <c r="AA29" s="849">
        <v>0</v>
      </c>
      <c r="AB29" s="849">
        <v>0</v>
      </c>
      <c r="AC29" s="848">
        <v>10.406932632837414</v>
      </c>
    </row>
    <row r="30" spans="1:31">
      <c r="A30" s="3"/>
      <c r="B30" s="6" t="s">
        <v>160</v>
      </c>
      <c r="C30" s="847">
        <v>0</v>
      </c>
      <c r="D30" s="847">
        <v>0.11758823699187769</v>
      </c>
      <c r="E30" s="847">
        <v>0</v>
      </c>
      <c r="F30" s="848">
        <v>0.11758823699187769</v>
      </c>
      <c r="G30" s="847"/>
      <c r="H30" s="847"/>
      <c r="I30" s="847">
        <v>5.774088585202476E-3</v>
      </c>
      <c r="J30" s="847">
        <v>6.556807465123631E-3</v>
      </c>
      <c r="K30" s="847"/>
      <c r="L30" s="847">
        <v>0.98893798643717568</v>
      </c>
      <c r="M30" s="847">
        <v>0</v>
      </c>
      <c r="N30" s="847">
        <v>0.11908824489970107</v>
      </c>
      <c r="O30" s="847">
        <v>0</v>
      </c>
      <c r="P30" s="847">
        <v>0</v>
      </c>
      <c r="Q30" s="847">
        <v>0</v>
      </c>
      <c r="R30" s="848">
        <v>1.1203571273872028</v>
      </c>
      <c r="S30" s="847">
        <v>1.9667999999999998E-2</v>
      </c>
      <c r="T30" s="847">
        <v>0</v>
      </c>
      <c r="U30" s="847">
        <v>0</v>
      </c>
      <c r="V30" s="848">
        <v>1.9667999999999998E-2</v>
      </c>
      <c r="W30" s="848">
        <v>1.2576133643790806</v>
      </c>
      <c r="X30" s="847">
        <v>0</v>
      </c>
      <c r="Y30" s="847">
        <v>0</v>
      </c>
      <c r="Z30" s="847">
        <v>0.94488535090480763</v>
      </c>
      <c r="AA30" s="849">
        <v>0</v>
      </c>
      <c r="AB30" s="849">
        <v>0</v>
      </c>
      <c r="AC30" s="848">
        <v>2.2024987152838884</v>
      </c>
    </row>
    <row r="31" spans="1:31">
      <c r="A31" s="3"/>
      <c r="B31" s="6" t="s">
        <v>161</v>
      </c>
      <c r="C31" s="847">
        <v>0</v>
      </c>
      <c r="D31" s="847">
        <v>0</v>
      </c>
      <c r="E31" s="847">
        <v>0</v>
      </c>
      <c r="F31" s="848">
        <v>0</v>
      </c>
      <c r="G31" s="847"/>
      <c r="H31" s="847"/>
      <c r="I31" s="847">
        <v>1.8005575139999998E-6</v>
      </c>
      <c r="J31" s="847">
        <v>8.8712052311077635E-2</v>
      </c>
      <c r="K31" s="847"/>
      <c r="L31" s="847">
        <v>6.9807636065909711E-3</v>
      </c>
      <c r="M31" s="847">
        <v>0</v>
      </c>
      <c r="N31" s="847">
        <v>0</v>
      </c>
      <c r="O31" s="847">
        <v>0</v>
      </c>
      <c r="P31" s="847">
        <v>0</v>
      </c>
      <c r="Q31" s="847">
        <v>0</v>
      </c>
      <c r="R31" s="848">
        <v>9.5694616475182612E-2</v>
      </c>
      <c r="S31" s="847">
        <v>0</v>
      </c>
      <c r="T31" s="847">
        <v>0</v>
      </c>
      <c r="U31" s="847">
        <v>0</v>
      </c>
      <c r="V31" s="848">
        <v>0</v>
      </c>
      <c r="W31" s="848">
        <v>9.5694616475182612E-2</v>
      </c>
      <c r="X31" s="847">
        <v>0</v>
      </c>
      <c r="Y31" s="847">
        <v>0</v>
      </c>
      <c r="Z31" s="847">
        <v>0</v>
      </c>
      <c r="AA31" s="849">
        <v>0</v>
      </c>
      <c r="AB31" s="849">
        <v>0</v>
      </c>
      <c r="AC31" s="848">
        <v>9.5694616475182612E-2</v>
      </c>
    </row>
    <row r="32" spans="1:31">
      <c r="A32" s="4"/>
      <c r="B32" s="127" t="s">
        <v>162</v>
      </c>
      <c r="C32" s="865">
        <v>0</v>
      </c>
      <c r="D32" s="865">
        <v>0</v>
      </c>
      <c r="E32" s="865">
        <v>0</v>
      </c>
      <c r="F32" s="864">
        <v>0</v>
      </c>
      <c r="G32" s="865"/>
      <c r="H32" s="865"/>
      <c r="I32" s="865">
        <v>0</v>
      </c>
      <c r="J32" s="865">
        <v>2.9726342749958399E-3</v>
      </c>
      <c r="K32" s="865"/>
      <c r="L32" s="865">
        <v>3.4144132042593003E-3</v>
      </c>
      <c r="M32" s="865">
        <v>0</v>
      </c>
      <c r="N32" s="865">
        <v>0</v>
      </c>
      <c r="O32" s="865">
        <v>0</v>
      </c>
      <c r="P32" s="865">
        <v>0</v>
      </c>
      <c r="Q32" s="865">
        <v>0</v>
      </c>
      <c r="R32" s="864">
        <v>6.3870474792551406E-3</v>
      </c>
      <c r="S32" s="865">
        <v>0</v>
      </c>
      <c r="T32" s="865">
        <v>0</v>
      </c>
      <c r="U32" s="865">
        <v>0</v>
      </c>
      <c r="V32" s="864">
        <v>0</v>
      </c>
      <c r="W32" s="864">
        <v>6.3870474792551406E-3</v>
      </c>
      <c r="X32" s="865">
        <v>0</v>
      </c>
      <c r="Y32" s="865">
        <v>0</v>
      </c>
      <c r="Z32" s="865">
        <v>4.9696416000000005E-5</v>
      </c>
      <c r="AA32" s="866">
        <v>0</v>
      </c>
      <c r="AB32" s="866">
        <v>0</v>
      </c>
      <c r="AC32" s="86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466</v>
      </c>
      <c r="B2" s="1183"/>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2" t="s">
        <v>484</v>
      </c>
    </row>
    <row r="7" spans="1:3" s="11" customFormat="1">
      <c r="A7" s="132"/>
      <c r="B7" s="133"/>
      <c r="C7" s="134"/>
    </row>
    <row r="8" spans="1:3" s="11" customFormat="1" ht="60">
      <c r="A8" s="113" t="s">
        <v>148</v>
      </c>
      <c r="B8" s="130" t="s">
        <v>468</v>
      </c>
      <c r="C8" s="307" t="s">
        <v>485</v>
      </c>
    </row>
    <row r="9" spans="1:3" s="11" customFormat="1">
      <c r="A9" s="132"/>
      <c r="B9" s="133"/>
      <c r="C9" s="134"/>
    </row>
    <row r="10" spans="1:3" s="11" customFormat="1" ht="60">
      <c r="A10" s="113" t="s">
        <v>149</v>
      </c>
      <c r="B10" s="130" t="s">
        <v>468</v>
      </c>
      <c r="C10" s="307" t="s">
        <v>485</v>
      </c>
    </row>
    <row r="11" spans="1:3" s="11" customFormat="1">
      <c r="A11" s="132"/>
      <c r="B11" s="133"/>
      <c r="C11" s="134"/>
    </row>
    <row r="12" spans="1:3" s="11" customFormat="1" ht="60">
      <c r="A12" s="113" t="s">
        <v>378</v>
      </c>
      <c r="B12" s="130" t="s">
        <v>468</v>
      </c>
      <c r="C12" s="307" t="s">
        <v>485</v>
      </c>
    </row>
    <row r="13" spans="1:3" s="11" customFormat="1">
      <c r="A13" s="132"/>
      <c r="B13" s="133"/>
      <c r="C13" s="134"/>
    </row>
    <row r="14" spans="1:3" s="11" customFormat="1" ht="60">
      <c r="A14" s="113" t="s">
        <v>105</v>
      </c>
      <c r="B14" s="130" t="s">
        <v>486</v>
      </c>
      <c r="C14" s="307" t="s">
        <v>485</v>
      </c>
    </row>
    <row r="15" spans="1:3" s="11" customFormat="1" ht="63">
      <c r="A15" s="123"/>
      <c r="B15" s="130" t="s">
        <v>487</v>
      </c>
      <c r="C15" s="307" t="s">
        <v>491</v>
      </c>
    </row>
    <row r="16" spans="1:3" s="11" customFormat="1">
      <c r="A16" s="132"/>
      <c r="B16" s="133"/>
      <c r="C16" s="134"/>
    </row>
    <row r="17" spans="1:3" s="11" customFormat="1" ht="45">
      <c r="A17" s="113" t="s">
        <v>467</v>
      </c>
      <c r="B17" s="130" t="s">
        <v>537</v>
      </c>
      <c r="C17" s="162" t="s">
        <v>538</v>
      </c>
    </row>
    <row r="18" spans="1:3" s="11" customFormat="1">
      <c r="A18" s="132"/>
      <c r="B18" s="133"/>
      <c r="C18" s="134"/>
    </row>
    <row r="19" spans="1:3" s="11" customFormat="1" ht="60">
      <c r="A19" s="113" t="s">
        <v>381</v>
      </c>
      <c r="B19" s="306" t="s">
        <v>535</v>
      </c>
      <c r="C19" s="162" t="s">
        <v>536</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4" t="s">
        <v>187</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1017.579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94">
        <f>MAX((B6+B5),0)</f>
        <v>1017.579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0.20088318133553656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204.41450678023395</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4" t="s">
        <v>148</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17028.694</v>
      </c>
      <c r="C5" s="17">
        <f>IF(ISERROR('Eigen informatie GS &amp; warmtenet'!B57),0,'Eigen informatie GS &amp; warmtenet'!B57)</f>
        <v>0</v>
      </c>
      <c r="D5" s="30">
        <f>(SUM(HH_hh_gas_kWh,HH_rest_gas_kWh)/1000)*0.902</f>
        <v>37141.818164000004</v>
      </c>
      <c r="E5" s="17">
        <f>B32*B41</f>
        <v>766.93535909378397</v>
      </c>
      <c r="F5" s="17">
        <f>B36*B45</f>
        <v>26178.874978750166</v>
      </c>
      <c r="G5" s="18"/>
      <c r="H5" s="17"/>
      <c r="I5" s="17"/>
      <c r="J5" s="17">
        <f>B35*B44+C35*C44</f>
        <v>589.48189355525517</v>
      </c>
      <c r="K5" s="17"/>
      <c r="L5" s="17"/>
      <c r="M5" s="17"/>
      <c r="N5" s="17">
        <f>B34*B43+C34*C43</f>
        <v>4609.1559476143093</v>
      </c>
      <c r="O5" s="17">
        <f>B52*B53*B54</f>
        <v>51.589999999999996</v>
      </c>
      <c r="P5" s="17">
        <f>B60*B61*B62/1000-B60*B61*B62/1000/B63</f>
        <v>209.73333333333335</v>
      </c>
    </row>
    <row r="6" spans="1:16">
      <c r="A6" s="16" t="s">
        <v>615</v>
      </c>
      <c r="B6" s="766">
        <f>kWh_PV_kleiner_dan_10kW</f>
        <v>1601.1557555125057</v>
      </c>
      <c r="C6" s="767"/>
      <c r="D6" s="767"/>
      <c r="E6" s="768"/>
      <c r="F6" s="768"/>
      <c r="G6" s="768"/>
      <c r="H6" s="768"/>
      <c r="I6" s="768"/>
      <c r="J6" s="768"/>
      <c r="K6" s="768"/>
      <c r="L6" s="768"/>
      <c r="M6" s="768"/>
      <c r="N6" s="768"/>
      <c r="O6" s="768"/>
      <c r="P6" s="768"/>
    </row>
    <row r="7" spans="1:16">
      <c r="B7" s="19"/>
      <c r="C7" s="19"/>
      <c r="D7" s="19"/>
      <c r="E7" s="19"/>
      <c r="F7" s="19"/>
      <c r="G7" s="19"/>
      <c r="H7" s="19"/>
      <c r="I7" s="19"/>
      <c r="J7" s="19"/>
      <c r="K7" s="19"/>
      <c r="L7" s="19"/>
      <c r="M7" s="19"/>
      <c r="N7" s="19"/>
      <c r="O7" s="19"/>
      <c r="P7" s="19"/>
    </row>
    <row r="8" spans="1:16" s="8" customFormat="1">
      <c r="A8" s="20" t="s">
        <v>205</v>
      </c>
      <c r="B8" s="21">
        <f>B5+B6</f>
        <v>18629.849755512507</v>
      </c>
      <c r="C8" s="21">
        <f>C5</f>
        <v>0</v>
      </c>
      <c r="D8" s="21">
        <f>D5</f>
        <v>37141.818164000004</v>
      </c>
      <c r="E8" s="21">
        <f>E5</f>
        <v>766.93535909378397</v>
      </c>
      <c r="F8" s="21">
        <f>F5</f>
        <v>26178.874978750166</v>
      </c>
      <c r="G8" s="21"/>
      <c r="H8" s="21"/>
      <c r="I8" s="21"/>
      <c r="J8" s="21">
        <f>J5</f>
        <v>589.48189355525517</v>
      </c>
      <c r="K8" s="21"/>
      <c r="L8" s="21">
        <f>L5</f>
        <v>0</v>
      </c>
      <c r="M8" s="21">
        <f>M5</f>
        <v>0</v>
      </c>
      <c r="N8" s="21">
        <f>N5</f>
        <v>4609.1559476143093</v>
      </c>
      <c r="O8" s="21">
        <f>O5</f>
        <v>51.589999999999996</v>
      </c>
      <c r="P8" s="21">
        <f>P5</f>
        <v>209.73333333333335</v>
      </c>
    </row>
    <row r="9" spans="1:16">
      <c r="B9" s="19"/>
      <c r="C9" s="19"/>
      <c r="D9" s="256"/>
      <c r="E9" s="19"/>
      <c r="F9" s="19"/>
      <c r="G9" s="19"/>
      <c r="H9" s="19"/>
      <c r="I9" s="19"/>
      <c r="J9" s="19"/>
      <c r="K9" s="19"/>
      <c r="L9" s="19"/>
      <c r="M9" s="19"/>
      <c r="N9" s="19"/>
      <c r="O9" s="19"/>
      <c r="P9" s="19"/>
    </row>
    <row r="10" spans="1:16">
      <c r="A10" s="24" t="s">
        <v>207</v>
      </c>
      <c r="B10" s="25">
        <f ca="1">'EF ele_warmte'!B12</f>
        <v>0.20088318133553656</v>
      </c>
      <c r="C10" s="25">
        <f ca="1">'EF ele_warmte'!B22</f>
        <v>1.6634185171968926E-3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3742.4234866904203</v>
      </c>
      <c r="C12" s="23">
        <f ca="1">C10*C8</f>
        <v>0</v>
      </c>
      <c r="D12" s="23">
        <f>D8*D10</f>
        <v>7502.6472691280014</v>
      </c>
      <c r="E12" s="23">
        <f>E10*E8</f>
        <v>174.09432651428898</v>
      </c>
      <c r="F12" s="23">
        <f>F10*F8</f>
        <v>6989.7596193262943</v>
      </c>
      <c r="G12" s="23"/>
      <c r="H12" s="23"/>
      <c r="I12" s="23"/>
      <c r="J12" s="23">
        <f>J10*J8</f>
        <v>208.67659031856033</v>
      </c>
      <c r="K12" s="23"/>
      <c r="L12" s="23">
        <f>L10*L8</f>
        <v>0</v>
      </c>
      <c r="M12" s="23">
        <f>M10*M8</f>
        <v>0</v>
      </c>
      <c r="N12" s="23">
        <f>N10*N8</f>
        <v>0</v>
      </c>
      <c r="O12" s="23">
        <f>O10*O8</f>
        <v>0</v>
      </c>
      <c r="P12" s="23">
        <f>P10*P8</f>
        <v>0</v>
      </c>
    </row>
    <row r="15" spans="1:16">
      <c r="A15" s="191" t="s">
        <v>482</v>
      </c>
      <c r="B15" s="201"/>
      <c r="C15" s="201"/>
      <c r="D15" s="223"/>
    </row>
    <row r="16" spans="1:16">
      <c r="A16" s="3"/>
      <c r="B16" s="43"/>
      <c r="C16" s="43"/>
      <c r="D16" s="172"/>
    </row>
    <row r="17" spans="1:5">
      <c r="A17" s="224" t="s">
        <v>967</v>
      </c>
      <c r="B17" s="200" t="s">
        <v>959</v>
      </c>
      <c r="C17" s="200" t="s">
        <v>960</v>
      </c>
      <c r="D17" s="225" t="s">
        <v>175</v>
      </c>
      <c r="E17" s="15"/>
    </row>
    <row r="18" spans="1:5">
      <c r="A18" s="242" t="s">
        <v>77</v>
      </c>
      <c r="B18" s="1048">
        <v>0.72810700138133444</v>
      </c>
      <c r="C18" s="1048"/>
      <c r="D18" s="295" t="s">
        <v>961</v>
      </c>
      <c r="E18" s="15"/>
    </row>
    <row r="19" spans="1:5">
      <c r="A19" s="242" t="s">
        <v>962</v>
      </c>
      <c r="B19" s="1048">
        <v>2.1099906700350789E-2</v>
      </c>
      <c r="C19" s="1048"/>
      <c r="D19" s="227"/>
      <c r="E19" s="15"/>
    </row>
    <row r="20" spans="1:5">
      <c r="A20" s="242" t="s">
        <v>963</v>
      </c>
      <c r="B20" s="1048"/>
      <c r="C20" s="1048"/>
      <c r="D20" s="227"/>
      <c r="E20" s="15"/>
    </row>
    <row r="21" spans="1:5">
      <c r="A21" s="242" t="s">
        <v>964</v>
      </c>
      <c r="B21" s="1048">
        <v>7.0895686513178643E-3</v>
      </c>
      <c r="C21" s="1048"/>
      <c r="D21" s="227"/>
      <c r="E21" s="15"/>
    </row>
    <row r="22" spans="1:5">
      <c r="A22" s="242" t="s">
        <v>965</v>
      </c>
      <c r="B22" s="1048">
        <v>0.20318607297960659</v>
      </c>
      <c r="C22" s="1048"/>
      <c r="D22" s="227"/>
      <c r="E22" s="15"/>
    </row>
    <row r="23" spans="1:5">
      <c r="A23" s="242" t="s">
        <v>78</v>
      </c>
      <c r="B23" s="1048"/>
      <c r="C23" s="1048"/>
      <c r="D23" s="226"/>
      <c r="E23" s="52"/>
    </row>
    <row r="24" spans="1:5">
      <c r="A24" s="242" t="s">
        <v>966</v>
      </c>
      <c r="B24" s="1048">
        <v>4.0517450287390303E-2</v>
      </c>
      <c r="C24" s="1048">
        <v>0.20447761472999923</v>
      </c>
      <c r="D24" s="226"/>
      <c r="E24" s="15"/>
    </row>
    <row r="25" spans="1:5" s="15" customFormat="1">
      <c r="A25" s="169"/>
      <c r="B25" s="29"/>
      <c r="C25" s="36"/>
      <c r="D25" s="226"/>
    </row>
    <row r="26" spans="1:5" s="15" customFormat="1">
      <c r="A26" s="228" t="s">
        <v>694</v>
      </c>
      <c r="B26" s="37">
        <f>aantalHuishoudens</f>
        <v>3821</v>
      </c>
      <c r="C26" s="36"/>
      <c r="D26" s="226"/>
    </row>
    <row r="27" spans="1:5" s="15" customFormat="1">
      <c r="A27" s="228" t="s">
        <v>695</v>
      </c>
      <c r="B27" s="37">
        <f>SUM(HH_hh_gas_aantal,HH_rest_gas_aantal)</f>
        <v>2338</v>
      </c>
      <c r="C27" s="36"/>
      <c r="D27" s="226"/>
    </row>
    <row r="28" spans="1:5" s="15" customFormat="1">
      <c r="A28" s="229"/>
      <c r="B28" s="29"/>
      <c r="C28" s="36"/>
      <c r="D28" s="230"/>
    </row>
    <row r="29" spans="1:5">
      <c r="A29" s="3"/>
      <c r="B29" s="43"/>
      <c r="C29" s="43"/>
      <c r="D29" s="172"/>
    </row>
    <row r="30" spans="1:5">
      <c r="A30" s="170" t="s">
        <v>474</v>
      </c>
      <c r="B30" s="167" t="s">
        <v>696</v>
      </c>
      <c r="C30" s="167" t="s">
        <v>697</v>
      </c>
      <c r="D30" s="172"/>
    </row>
    <row r="31" spans="1:5">
      <c r="A31" s="169" t="s">
        <v>968</v>
      </c>
      <c r="B31" s="33">
        <f>B27-0.05*B27</f>
        <v>2221.1</v>
      </c>
      <c r="C31" s="34" t="s">
        <v>104</v>
      </c>
      <c r="D31" s="172"/>
    </row>
    <row r="32" spans="1:5">
      <c r="A32" s="169" t="s">
        <v>72</v>
      </c>
      <c r="B32" s="33">
        <f>IF((B21*($B$26-($B$27-0.05*$B$27)-$B$60))&lt;0,0,B21*($B$26-($B$27-0.05*$B$27)-$B$60))</f>
        <v>11.264615630078955</v>
      </c>
      <c r="C32" s="34" t="s">
        <v>104</v>
      </c>
      <c r="D32" s="172"/>
    </row>
    <row r="33" spans="1:6">
      <c r="A33" s="169" t="s">
        <v>73</v>
      </c>
      <c r="B33" s="33">
        <f>IF((B22*($B$26-($B$27-0.05*$B$27)-$B$60))&lt;0,0,B22*($B$26-($B$27-0.05*$B$27)-$B$60))</f>
        <v>322.84235135729693</v>
      </c>
      <c r="C33" s="34" t="s">
        <v>104</v>
      </c>
      <c r="D33" s="172"/>
    </row>
    <row r="34" spans="1:6">
      <c r="A34" s="169" t="s">
        <v>74</v>
      </c>
      <c r="B34" s="33">
        <f>IF((B24*($B$26-($B$27-0.05*$B$27)-$B$60))&lt;0,0,B24*($B$26-($B$27-0.05*$B$27)-$B$60))</f>
        <v>64.37817676163445</v>
      </c>
      <c r="C34" s="33">
        <f>B26*C24</f>
        <v>781.30896588332701</v>
      </c>
      <c r="D34" s="231"/>
    </row>
    <row r="35" spans="1:6">
      <c r="A35" s="169" t="s">
        <v>76</v>
      </c>
      <c r="B35" s="33">
        <f>IF((B19*($B$26-($B$27-0.05*$B$27)-$B$60))&lt;0,0,B19*($B$26-($B$27-0.05*$B$27)-$B$60))</f>
        <v>33.525641756187369</v>
      </c>
      <c r="C35" s="33">
        <f>B35/2</f>
        <v>16.762820878093684</v>
      </c>
      <c r="D35" s="231"/>
    </row>
    <row r="36" spans="1:6">
      <c r="A36" s="169" t="s">
        <v>77</v>
      </c>
      <c r="B36" s="33">
        <f>IF((B18*($B$26-($B$27-0.05*$B$27)-$B$60))&lt;0,0,B18*($B$26-($B$27-0.05*$B$27)-$B$60))</f>
        <v>1156.8892144948024</v>
      </c>
      <c r="C36" s="34" t="s">
        <v>104</v>
      </c>
      <c r="D36" s="172"/>
    </row>
    <row r="37" spans="1:6">
      <c r="A37" s="169" t="s">
        <v>78</v>
      </c>
      <c r="B37" s="33">
        <f>B60</f>
        <v>11</v>
      </c>
      <c r="C37" s="34" t="s">
        <v>104</v>
      </c>
      <c r="D37" s="172"/>
    </row>
    <row r="38" spans="1:6">
      <c r="A38" s="3"/>
      <c r="B38" s="43"/>
      <c r="C38" s="43"/>
      <c r="D38" s="172"/>
    </row>
    <row r="39" spans="1:6">
      <c r="A39" s="170" t="s">
        <v>477</v>
      </c>
      <c r="B39" s="166" t="s">
        <v>698</v>
      </c>
      <c r="C39" s="166" t="s">
        <v>699</v>
      </c>
      <c r="D39" s="295" t="s">
        <v>961</v>
      </c>
      <c r="E39" s="163"/>
      <c r="F39" s="163"/>
    </row>
    <row r="40" spans="1:6">
      <c r="A40" s="169" t="s">
        <v>70</v>
      </c>
      <c r="B40" s="164">
        <v>14.319221342029172</v>
      </c>
      <c r="C40" s="168" t="s">
        <v>104</v>
      </c>
      <c r="D40" s="171"/>
      <c r="E40" s="164"/>
      <c r="F40" s="164"/>
    </row>
    <row r="41" spans="1:6">
      <c r="A41" s="169" t="s">
        <v>72</v>
      </c>
      <c r="B41" s="164">
        <v>68.083579971064523</v>
      </c>
      <c r="C41" s="168" t="s">
        <v>104</v>
      </c>
      <c r="D41" s="171"/>
      <c r="E41" s="164"/>
      <c r="F41" s="164"/>
    </row>
    <row r="42" spans="1:6">
      <c r="A42" s="169" t="s">
        <v>73</v>
      </c>
      <c r="B42" s="164">
        <v>10.774375624792809</v>
      </c>
      <c r="C42" s="168" t="s">
        <v>104</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104</v>
      </c>
      <c r="D45" s="172"/>
      <c r="E45" s="164"/>
      <c r="F45" s="164"/>
    </row>
    <row r="46" spans="1:6">
      <c r="A46" s="169" t="s">
        <v>78</v>
      </c>
      <c r="B46" s="168" t="s">
        <v>209</v>
      </c>
      <c r="C46" s="168" t="s">
        <v>104</v>
      </c>
      <c r="D46" s="172"/>
      <c r="E46" s="164"/>
      <c r="F46" s="164"/>
    </row>
    <row r="47" spans="1:6">
      <c r="A47" s="173"/>
      <c r="B47" s="232"/>
      <c r="C47" s="232"/>
      <c r="D47" s="174"/>
      <c r="E47" s="164"/>
      <c r="F47" s="164"/>
    </row>
    <row r="48" spans="1:6">
      <c r="E48" s="15"/>
      <c r="F48" s="15"/>
    </row>
    <row r="49" spans="1:4">
      <c r="A49" s="192" t="s">
        <v>475</v>
      </c>
      <c r="B49" s="201"/>
      <c r="C49" s="201"/>
      <c r="D49" s="202"/>
    </row>
    <row r="50" spans="1:4" s="15" customFormat="1">
      <c r="A50" s="170"/>
      <c r="B50" s="32"/>
      <c r="C50" s="32"/>
      <c r="D50" s="203"/>
    </row>
    <row r="51" spans="1:4" s="15" customFormat="1">
      <c r="A51" s="204"/>
      <c r="B51" s="205"/>
      <c r="C51" s="206" t="s">
        <v>366</v>
      </c>
      <c r="D51" s="220" t="s">
        <v>175</v>
      </c>
    </row>
    <row r="52" spans="1:4">
      <c r="A52" s="169" t="s">
        <v>255</v>
      </c>
      <c r="B52" s="313">
        <f>aantalZB_NB_wonen+aantalZB_NB_wonen_met_kantoor+ZB_HH_bestaande_bouw</f>
        <v>33</v>
      </c>
      <c r="C52" s="43"/>
      <c r="D52" s="171"/>
    </row>
    <row r="53" spans="1:4">
      <c r="A53" s="169" t="s">
        <v>472</v>
      </c>
      <c r="B53" s="309">
        <v>4.2</v>
      </c>
      <c r="C53" s="43"/>
      <c r="D53" s="303" t="s">
        <v>502</v>
      </c>
    </row>
    <row r="54" spans="1:4">
      <c r="A54" s="242" t="s">
        <v>473</v>
      </c>
      <c r="B54" s="314">
        <f>1.34/3.6</f>
        <v>0.37222222222222223</v>
      </c>
      <c r="C54" s="43" t="s">
        <v>208</v>
      </c>
      <c r="D54" s="303" t="s">
        <v>502</v>
      </c>
    </row>
    <row r="55" spans="1:4">
      <c r="A55" s="173"/>
      <c r="B55" s="243"/>
      <c r="C55" s="176"/>
      <c r="D55" s="177"/>
    </row>
    <row r="56" spans="1:4">
      <c r="D56" s="165"/>
    </row>
    <row r="57" spans="1:4">
      <c r="A57" s="192" t="s">
        <v>476</v>
      </c>
      <c r="B57" s="201"/>
      <c r="C57" s="201"/>
      <c r="D57" s="202"/>
    </row>
    <row r="58" spans="1:4">
      <c r="A58" s="170"/>
      <c r="B58" s="32"/>
      <c r="C58" s="32"/>
      <c r="D58" s="207"/>
    </row>
    <row r="59" spans="1:4">
      <c r="A59" s="181"/>
      <c r="B59" s="180"/>
      <c r="C59" s="206" t="s">
        <v>366</v>
      </c>
      <c r="D59" s="221" t="s">
        <v>175</v>
      </c>
    </row>
    <row r="60" spans="1:4">
      <c r="A60" s="169" t="s">
        <v>255</v>
      </c>
      <c r="B60" s="313">
        <f>aantalWP_NB_wonen+aantalWP_NB_wonen_met_kantoor+WP_HH_bestaande_bouw</f>
        <v>11</v>
      </c>
      <c r="C60" s="32"/>
      <c r="D60" s="175"/>
    </row>
    <row r="61" spans="1:4">
      <c r="A61" s="169" t="s">
        <v>442</v>
      </c>
      <c r="B61" s="309">
        <v>13</v>
      </c>
      <c r="C61" s="32" t="s">
        <v>252</v>
      </c>
      <c r="D61" s="303" t="s">
        <v>502</v>
      </c>
    </row>
    <row r="62" spans="1:4">
      <c r="A62" s="169" t="s">
        <v>443</v>
      </c>
      <c r="B62" s="309">
        <v>2000</v>
      </c>
      <c r="C62" s="32" t="s">
        <v>254</v>
      </c>
      <c r="D62" s="303" t="s">
        <v>502</v>
      </c>
    </row>
    <row r="63" spans="1:4">
      <c r="A63" s="169" t="s">
        <v>404</v>
      </c>
      <c r="B63" s="309">
        <v>3.75</v>
      </c>
      <c r="C63" s="43"/>
      <c r="D63" s="303" t="s">
        <v>502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149</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8"/>
      <c r="G4" s="14"/>
      <c r="H4" s="14"/>
      <c r="I4" s="14"/>
      <c r="J4" s="14"/>
      <c r="K4" s="14"/>
      <c r="L4" s="14"/>
      <c r="M4" s="14"/>
      <c r="N4" s="14"/>
      <c r="O4" s="14"/>
      <c r="P4" s="14"/>
      <c r="R4" s="6"/>
    </row>
    <row r="5" spans="1:18">
      <c r="A5" s="16" t="s">
        <v>248</v>
      </c>
      <c r="B5" s="30">
        <f>SUM(B6:B12)</f>
        <v>12646.561000000002</v>
      </c>
      <c r="C5" s="17">
        <f>IF(ISERROR('Eigen informatie GS &amp; warmtenet'!B58),0,'Eigen informatie GS &amp; warmtenet'!B58)</f>
        <v>0</v>
      </c>
      <c r="D5" s="30">
        <f>SUM(D6:D12)</f>
        <v>14767.090294</v>
      </c>
      <c r="E5" s="17">
        <f>SUM(E6:E12)</f>
        <v>163.53861232168822</v>
      </c>
      <c r="F5" s="17">
        <f>SUM(F6:F12)</f>
        <v>2496.6094441295195</v>
      </c>
      <c r="G5" s="18"/>
      <c r="H5" s="17"/>
      <c r="I5" s="17"/>
      <c r="J5" s="17">
        <f>SUM(J6:J12)</f>
        <v>0</v>
      </c>
      <c r="K5" s="17"/>
      <c r="L5" s="17"/>
      <c r="M5" s="17"/>
      <c r="N5" s="17">
        <f>SUM(N6:N12)</f>
        <v>527.27338175959903</v>
      </c>
      <c r="O5" s="17">
        <f>B38*B39*B40</f>
        <v>0</v>
      </c>
      <c r="P5" s="17">
        <f>B46*B47*B48/1000-B46*B47*B48/1000/B49</f>
        <v>95.333333333333343</v>
      </c>
      <c r="R5" s="32"/>
    </row>
    <row r="6" spans="1:18">
      <c r="A6" s="32" t="s">
        <v>53</v>
      </c>
      <c r="B6" s="37">
        <f>B26</f>
        <v>1943.9680000000001</v>
      </c>
      <c r="C6" s="33"/>
      <c r="D6" s="37">
        <f>IF(ISERROR(TER_kantoor_gas_kWh/1000),0,TER_kantoor_gas_kWh/1000)*0.902</f>
        <v>2719.1448460000001</v>
      </c>
      <c r="E6" s="33">
        <f>$C$26*'E Balans VL '!I12/100/3.6*1000000</f>
        <v>68.046527077579029</v>
      </c>
      <c r="F6" s="33">
        <f>$C$26*('E Balans VL '!L12+'E Balans VL '!N12)/100/3.6*1000000</f>
        <v>294.74728538397898</v>
      </c>
      <c r="G6" s="34"/>
      <c r="H6" s="33"/>
      <c r="I6" s="33"/>
      <c r="J6" s="33">
        <f>$C$26*('E Balans VL '!D12+'E Balans VL '!E12)/100/3.6*1000000</f>
        <v>0</v>
      </c>
      <c r="K6" s="33"/>
      <c r="L6" s="33"/>
      <c r="M6" s="33"/>
      <c r="N6" s="33">
        <f>$C$26*'E Balans VL '!Y12/100/3.6*1000000</f>
        <v>15.026264194761167</v>
      </c>
      <c r="O6" s="33"/>
      <c r="P6" s="33"/>
      <c r="R6" s="32"/>
    </row>
    <row r="7" spans="1:18">
      <c r="A7" s="32" t="s">
        <v>52</v>
      </c>
      <c r="B7" s="37">
        <f t="shared" ref="B7:B12" si="0">B27</f>
        <v>1024.125</v>
      </c>
      <c r="C7" s="33"/>
      <c r="D7" s="37">
        <f>IF(ISERROR(TER_horeca_gas_kWh/1000),0,TER_horeca_gas_kWh/1000)*0.902</f>
        <v>806.510672</v>
      </c>
      <c r="E7" s="33">
        <f>$C$27*'E Balans VL '!I9/100/3.6*1000000</f>
        <v>57.77426754606558</v>
      </c>
      <c r="F7" s="33">
        <f>$C$27*('E Balans VL '!L9+'E Balans VL '!N9)/100/3.6*1000000</f>
        <v>178.40824258051828</v>
      </c>
      <c r="G7" s="34"/>
      <c r="H7" s="33"/>
      <c r="I7" s="33"/>
      <c r="J7" s="33">
        <f>$C$27*('E Balans VL '!D9+'E Balans VL '!E9)/100/3.6*1000000</f>
        <v>0</v>
      </c>
      <c r="K7" s="33"/>
      <c r="L7" s="33"/>
      <c r="M7" s="33"/>
      <c r="N7" s="33">
        <f>$C$27*'E Balans VL '!Y9/100/3.6*1000000</f>
        <v>0</v>
      </c>
      <c r="O7" s="33"/>
      <c r="P7" s="33"/>
      <c r="R7" s="32"/>
    </row>
    <row r="8" spans="1:18">
      <c r="A8" s="6" t="s">
        <v>51</v>
      </c>
      <c r="B8" s="37">
        <f t="shared" si="0"/>
        <v>4606.3829999999998</v>
      </c>
      <c r="C8" s="33"/>
      <c r="D8" s="37">
        <f>IF(ISERROR(TER_handel_gas_kWh/1000),0,TER_handel_gas_kWh/1000)*0.902</f>
        <v>2899.4762940000001</v>
      </c>
      <c r="E8" s="33">
        <f>$C$28*'E Balans VL '!I13/100/3.6*1000000</f>
        <v>23.648702320274804</v>
      </c>
      <c r="F8" s="33">
        <f>$C$28*('E Balans VL '!L13+'E Balans VL '!N13)/100/3.6*1000000</f>
        <v>710.23308267612242</v>
      </c>
      <c r="G8" s="34"/>
      <c r="H8" s="33"/>
      <c r="I8" s="33"/>
      <c r="J8" s="33">
        <f>$C$28*('E Balans VL '!D13+'E Balans VL '!E13)/100/3.6*1000000</f>
        <v>0</v>
      </c>
      <c r="K8" s="33"/>
      <c r="L8" s="33"/>
      <c r="M8" s="33"/>
      <c r="N8" s="33">
        <f>$C$28*'E Balans VL '!Y13/100/3.6*1000000</f>
        <v>2.1544615575730788</v>
      </c>
      <c r="O8" s="33"/>
      <c r="P8" s="33"/>
      <c r="R8" s="32"/>
    </row>
    <row r="9" spans="1:18">
      <c r="A9" s="32" t="s">
        <v>50</v>
      </c>
      <c r="B9" s="37">
        <f t="shared" si="0"/>
        <v>2917.759</v>
      </c>
      <c r="C9" s="33"/>
      <c r="D9" s="37">
        <f>IF(ISERROR(TER_gezond_gas_kWh/1000),0,TER_gezond_gas_kWh/1000)*0.902</f>
        <v>6058.7159599999995</v>
      </c>
      <c r="E9" s="33">
        <f>$C$29*'E Balans VL '!I10/100/3.6*1000000</f>
        <v>1.209390325965136</v>
      </c>
      <c r="F9" s="33">
        <f>$C$29*('E Balans VL '!L10+'E Balans VL '!N10)/100/3.6*1000000</f>
        <v>718.60219545396353</v>
      </c>
      <c r="G9" s="34"/>
      <c r="H9" s="33"/>
      <c r="I9" s="33"/>
      <c r="J9" s="33">
        <f>$C$29*('E Balans VL '!D10+'E Balans VL '!E10)/100/3.6*1000000</f>
        <v>0</v>
      </c>
      <c r="K9" s="33"/>
      <c r="L9" s="33"/>
      <c r="M9" s="33"/>
      <c r="N9" s="33">
        <f>$C$29*'E Balans VL '!Y10/100/3.6*1000000</f>
        <v>25.216659578588718</v>
      </c>
      <c r="O9" s="33"/>
      <c r="P9" s="33"/>
      <c r="R9" s="32"/>
    </row>
    <row r="10" spans="1:18">
      <c r="A10" s="32" t="s">
        <v>49</v>
      </c>
      <c r="B10" s="37">
        <f t="shared" si="0"/>
        <v>2103.1260000000002</v>
      </c>
      <c r="C10" s="33"/>
      <c r="D10" s="37">
        <f>IF(ISERROR(TER_ander_gas_kWh/1000),0,TER_ander_gas_kWh/1000)*0.902</f>
        <v>1732.2008000000001</v>
      </c>
      <c r="E10" s="33">
        <f>$C$30*'E Balans VL '!I14/100/3.6*1000000</f>
        <v>12.820707985791501</v>
      </c>
      <c r="F10" s="33">
        <f>$C$30*('E Balans VL '!L14+'E Balans VL '!N14)/100/3.6*1000000</f>
        <v>557.56751215818974</v>
      </c>
      <c r="G10" s="34"/>
      <c r="H10" s="33"/>
      <c r="I10" s="33"/>
      <c r="J10" s="33">
        <f>$C$30*('E Balans VL '!D14+'E Balans VL '!E14)/100/3.6*1000000</f>
        <v>0</v>
      </c>
      <c r="K10" s="33"/>
      <c r="L10" s="33"/>
      <c r="M10" s="33"/>
      <c r="N10" s="33">
        <f>$C$30*'E Balans VL '!Y14/100/3.6*1000000</f>
        <v>484.72509779209901</v>
      </c>
      <c r="O10" s="33"/>
      <c r="P10" s="33"/>
      <c r="R10" s="32"/>
    </row>
    <row r="11" spans="1:18">
      <c r="A11" s="32" t="s">
        <v>54</v>
      </c>
      <c r="B11" s="37">
        <f t="shared" si="0"/>
        <v>51.2</v>
      </c>
      <c r="C11" s="33"/>
      <c r="D11" s="37">
        <f>IF(ISERROR(TER_onderwijs_gas_kWh/1000),0,TER_onderwijs_gas_kWh/1000)*0.902</f>
        <v>551.04172199999994</v>
      </c>
      <c r="E11" s="33">
        <f>$C$31*'E Balans VL '!I11/100/3.6*1000000</f>
        <v>3.9017066012164654E-2</v>
      </c>
      <c r="F11" s="33">
        <f>$C$31*('E Balans VL '!L11+'E Balans VL '!N11)/100/3.6*1000000</f>
        <v>37.05112587674644</v>
      </c>
      <c r="G11" s="34"/>
      <c r="H11" s="33"/>
      <c r="I11" s="33"/>
      <c r="J11" s="33">
        <f>$C$31*('E Balans VL '!D11+'E Balans VL '!E11)/100/3.6*1000000</f>
        <v>0</v>
      </c>
      <c r="K11" s="33"/>
      <c r="L11" s="33"/>
      <c r="M11" s="33"/>
      <c r="N11" s="33">
        <f>$C$31*'E Balans VL '!Y11/100/3.6*1000000</f>
        <v>0.15089863657702554</v>
      </c>
      <c r="O11" s="33"/>
      <c r="P11" s="33"/>
      <c r="R11" s="32"/>
    </row>
    <row r="12" spans="1:18">
      <c r="A12" s="32" t="s">
        <v>249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483</v>
      </c>
      <c r="B13" s="244">
        <f ca="1">'lokale energieproductie'!N39+'lokale energieproductie'!N32</f>
        <v>4821.75</v>
      </c>
      <c r="C13" s="244">
        <f ca="1">'lokale energieproductie'!O39+'lokale energieproductie'!O32</f>
        <v>6888.2142857142853</v>
      </c>
      <c r="D13" s="304">
        <f ca="1">('lokale energieproductie'!P32+'lokale energieproductie'!P39)*(-1)</f>
        <v>-96.428571428571431</v>
      </c>
      <c r="E13" s="245"/>
      <c r="F13" s="304">
        <f ca="1">('lokale energieproductie'!S32+'lokale energieproductie'!S39)*(-1)</f>
        <v>0</v>
      </c>
      <c r="G13" s="246"/>
      <c r="H13" s="245"/>
      <c r="I13" s="245"/>
      <c r="J13" s="245"/>
      <c r="K13" s="245"/>
      <c r="L13" s="304">
        <f ca="1">('lokale energieproductie'!U32+'lokale energieproductie'!T32+'lokale energieproductie'!U39+'lokale energieproductie'!T39)*(-1)</f>
        <v>0</v>
      </c>
      <c r="M13" s="245"/>
      <c r="N13" s="304">
        <f ca="1">('lokale energieproductie'!Q32+'lokale energieproductie'!R32+'lokale energieproductie'!V32+'lokale energieproductie'!Q39+'lokale energieproductie'!R39+'lokale energieproductie'!V39)*(-1)</f>
        <v>-13680</v>
      </c>
      <c r="O13" s="245"/>
      <c r="P13" s="245"/>
      <c r="R13" s="32"/>
    </row>
    <row r="14" spans="1:18">
      <c r="A14" s="16" t="s">
        <v>497</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250</v>
      </c>
      <c r="B16" s="21">
        <f ca="1">B5+B13+B14</f>
        <v>17468.311000000002</v>
      </c>
      <c r="C16" s="21">
        <f ca="1">C5+C13+C14</f>
        <v>6888.2142857142853</v>
      </c>
      <c r="D16" s="21">
        <f t="shared" ref="D16:N16" ca="1" si="1">MAX((D5+D13+D14),0)</f>
        <v>14670.661722571429</v>
      </c>
      <c r="E16" s="21">
        <f t="shared" si="1"/>
        <v>163.53861232168822</v>
      </c>
      <c r="F16" s="21">
        <f t="shared" ca="1" si="1"/>
        <v>2496.6094441295195</v>
      </c>
      <c r="G16" s="21">
        <f t="shared" si="1"/>
        <v>0</v>
      </c>
      <c r="H16" s="21">
        <f t="shared" si="1"/>
        <v>0</v>
      </c>
      <c r="I16" s="21">
        <f t="shared" si="1"/>
        <v>0</v>
      </c>
      <c r="J16" s="21">
        <f t="shared" si="1"/>
        <v>0</v>
      </c>
      <c r="K16" s="21">
        <f t="shared" si="1"/>
        <v>0</v>
      </c>
      <c r="L16" s="21">
        <f t="shared" ca="1" si="1"/>
        <v>0</v>
      </c>
      <c r="M16" s="21">
        <f t="shared" si="1"/>
        <v>0</v>
      </c>
      <c r="N16" s="21">
        <f t="shared" ca="1" si="1"/>
        <v>0</v>
      </c>
      <c r="O16" s="21">
        <f>O5</f>
        <v>0</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0.20088318133553656</v>
      </c>
      <c r="C18" s="25">
        <f ca="1">'EF ele_warmte'!B22</f>
        <v>1.6634185171968926E-3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3509.0898862385484</v>
      </c>
      <c r="C20" s="23">
        <f t="shared" ref="C20:P20" ca="1" si="2">C16*C18</f>
        <v>11.457983193277309</v>
      </c>
      <c r="D20" s="23">
        <f t="shared" ca="1" si="2"/>
        <v>2963.4736679594289</v>
      </c>
      <c r="E20" s="23">
        <f t="shared" si="2"/>
        <v>37.123264997023227</v>
      </c>
      <c r="F20" s="23">
        <f t="shared" ca="1" si="2"/>
        <v>666.59472158258177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482</v>
      </c>
      <c r="B23" s="201"/>
      <c r="C23" s="201"/>
      <c r="D23" s="223"/>
    </row>
    <row r="24" spans="1:18">
      <c r="A24" s="233"/>
      <c r="B24" s="32"/>
      <c r="C24" s="32"/>
      <c r="D24" s="234"/>
    </row>
    <row r="25" spans="1:18">
      <c r="A25" s="235"/>
      <c r="B25" s="222" t="s">
        <v>256</v>
      </c>
      <c r="C25" s="222" t="s">
        <v>257</v>
      </c>
      <c r="D25" s="236" t="s">
        <v>175</v>
      </c>
    </row>
    <row r="26" spans="1:18">
      <c r="A26" s="229" t="s">
        <v>53</v>
      </c>
      <c r="B26" s="33">
        <f>IF(ISERROR(TER_kantoor_ele_kWh/1000),0,TER_kantoor_ele_kWh/1000)</f>
        <v>1943.9680000000001</v>
      </c>
      <c r="C26" s="39">
        <f>IF(ISERROR(B26*3.6/1000000/'E Balans VL '!Z12*100),0,B26*3.6/1000000/'E Balans VL '!Z12*100)</f>
        <v>4.0907582731737342E-2</v>
      </c>
      <c r="D26" s="234" t="s">
        <v>700</v>
      </c>
      <c r="F26" s="6"/>
    </row>
    <row r="27" spans="1:18">
      <c r="A27" s="229" t="s">
        <v>52</v>
      </c>
      <c r="B27" s="33">
        <f>IF(ISERROR(TER_horeca_ele_kWh/1000),0,TER_horeca_ele_kWh/1000)</f>
        <v>1024.125</v>
      </c>
      <c r="C27" s="39">
        <f>IF(ISERROR(B27*3.6/1000000/'E Balans VL '!Z9*100),0,B27*3.6/1000000/'E Balans VL '!Z9*100)</f>
        <v>8.6709785985399898E-2</v>
      </c>
      <c r="D27" s="234" t="s">
        <v>700</v>
      </c>
      <c r="F27" s="6"/>
    </row>
    <row r="28" spans="1:18">
      <c r="A28" s="169" t="s">
        <v>51</v>
      </c>
      <c r="B28" s="33">
        <f>IF(ISERROR(TER_handel_ele_kWh/1000),0,TER_handel_ele_kWh/1000)</f>
        <v>4606.3829999999998</v>
      </c>
      <c r="C28" s="39">
        <f>IF(ISERROR(B28*3.6/1000000/'E Balans VL '!Z13*100),0,B28*3.6/1000000/'E Balans VL '!Z13*100)</f>
        <v>0.1275270763887546</v>
      </c>
      <c r="D28" s="234" t="s">
        <v>700</v>
      </c>
      <c r="F28" s="6"/>
    </row>
    <row r="29" spans="1:18">
      <c r="A29" s="229" t="s">
        <v>50</v>
      </c>
      <c r="B29" s="33">
        <f>IF(ISERROR(TER_gezond_ele_kWh/1000),0,TER_gezond_ele_kWh/1000)</f>
        <v>2917.759</v>
      </c>
      <c r="C29" s="39">
        <f>IF(ISERROR(B29*3.6/1000000/'E Balans VL '!Z10*100),0,B29*3.6/1000000/'E Balans VL '!Z10*100)</f>
        <v>0.37927632287014218</v>
      </c>
      <c r="D29" s="234" t="s">
        <v>700</v>
      </c>
      <c r="F29" s="6"/>
    </row>
    <row r="30" spans="1:18">
      <c r="A30" s="229" t="s">
        <v>49</v>
      </c>
      <c r="B30" s="33">
        <f>IF(ISERROR(TER_ander_ele_kWh/1000),0,TER_ander_ele_kWh/1000)</f>
        <v>2103.1260000000002</v>
      </c>
      <c r="C30" s="39">
        <f>IF(ISERROR(B30*3.6/1000000/'E Balans VL '!Z14*100),0,B30*3.6/1000000/'E Balans VL '!Z14*100)</f>
        <v>0.16301155213878418</v>
      </c>
      <c r="D30" s="234" t="s">
        <v>700</v>
      </c>
      <c r="F30" s="6"/>
    </row>
    <row r="31" spans="1:18">
      <c r="A31" s="229" t="s">
        <v>54</v>
      </c>
      <c r="B31" s="33">
        <f>IF(ISERROR(TER_onderwijs_ele_kWh/1000),0,TER_onderwijs_ele_kWh/1000)</f>
        <v>51.2</v>
      </c>
      <c r="C31" s="39">
        <f>IF(ISERROR(B31*3.6/1000000/'E Balans VL '!Z11*100),0,B31*3.6/1000000/'E Balans VL '!Z11*100)</f>
        <v>9.7954324295375234E-3</v>
      </c>
      <c r="D31" s="234" t="s">
        <v>700</v>
      </c>
    </row>
    <row r="32" spans="1:18">
      <c r="A32" s="229" t="s">
        <v>249</v>
      </c>
      <c r="B32" s="33">
        <f>IF(ISERROR(TER_rest_ele_kWh/1000),0,TER_rest_ele_kWh/1000)</f>
        <v>0</v>
      </c>
      <c r="C32" s="39">
        <f>IF(ISERROR(B32*3.6/1000000/'E Balans VL '!Z8*100),0,B32*3.6/1000000/'E Balans VL '!Z8*100)</f>
        <v>0</v>
      </c>
      <c r="D32" s="234" t="s">
        <v>700</v>
      </c>
    </row>
    <row r="33" spans="1:4">
      <c r="A33" s="237"/>
      <c r="B33" s="178"/>
      <c r="C33" s="178"/>
      <c r="D33" s="238"/>
    </row>
    <row r="34" spans="1:4">
      <c r="A34" s="32"/>
      <c r="B34" s="32"/>
      <c r="C34" s="32"/>
    </row>
    <row r="35" spans="1:4">
      <c r="A35" s="191" t="s">
        <v>475</v>
      </c>
      <c r="B35" s="201"/>
      <c r="C35" s="201"/>
      <c r="D35" s="223"/>
    </row>
    <row r="36" spans="1:4">
      <c r="A36" s="233"/>
      <c r="B36" s="32"/>
      <c r="C36" s="32"/>
      <c r="D36" s="230"/>
    </row>
    <row r="37" spans="1:4">
      <c r="A37" s="239"/>
      <c r="B37" s="240"/>
      <c r="C37" s="222" t="s">
        <v>366</v>
      </c>
      <c r="D37" s="241" t="s">
        <v>175</v>
      </c>
    </row>
    <row r="38" spans="1:4">
      <c r="A38" s="169" t="s">
        <v>255</v>
      </c>
      <c r="B38" s="313">
        <f>aantalZB_NB_ander+aantalZB_NB_ander_met_kantoor+aantalZB_NB_kantoor+aantalZB_NB_school+ZB_NHH_bestaande_bouw+aantalZB_NB_NIET_RESIDENTIEEL_EPN</f>
        <v>0</v>
      </c>
      <c r="C38" s="43"/>
      <c r="D38" s="230"/>
    </row>
    <row r="39" spans="1:4">
      <c r="A39" s="169" t="s">
        <v>472</v>
      </c>
      <c r="B39" s="309">
        <v>4.2</v>
      </c>
      <c r="C39" s="43"/>
      <c r="D39" s="303" t="s">
        <v>502</v>
      </c>
    </row>
    <row r="40" spans="1:4">
      <c r="A40" s="6" t="s">
        <v>473</v>
      </c>
      <c r="B40" s="314">
        <f>1.34/3.6</f>
        <v>0.37222222222222223</v>
      </c>
      <c r="C40" s="43" t="s">
        <v>208</v>
      </c>
      <c r="D40" s="303" t="s">
        <v>502</v>
      </c>
    </row>
    <row r="41" spans="1:4">
      <c r="A41" s="237"/>
      <c r="B41" s="178"/>
      <c r="C41" s="178"/>
      <c r="D41" s="238"/>
    </row>
    <row r="43" spans="1:4">
      <c r="A43" s="192" t="s">
        <v>476</v>
      </c>
      <c r="B43" s="201"/>
      <c r="C43" s="201"/>
      <c r="D43" s="223"/>
    </row>
    <row r="44" spans="1:4">
      <c r="A44" s="228"/>
      <c r="B44" s="32"/>
      <c r="C44" s="32"/>
      <c r="D44" s="230"/>
    </row>
    <row r="45" spans="1:4">
      <c r="A45" s="239"/>
      <c r="B45" s="240"/>
      <c r="C45" s="222" t="s">
        <v>366</v>
      </c>
      <c r="D45" s="241" t="s">
        <v>175</v>
      </c>
    </row>
    <row r="46" spans="1:4">
      <c r="A46" s="169" t="s">
        <v>255</v>
      </c>
      <c r="B46" s="530">
        <f>aantalWP_NB_ander+antalWP_NB_ander_met_kantoor+aantalWP_NB_kantoor+aantalWP_NB_school+WP_NHH_bestaande_bouw+aantalWP_NB_NIET_RESIDENTIEEL_EPN</f>
        <v>5</v>
      </c>
      <c r="C46" s="32"/>
      <c r="D46" s="230"/>
    </row>
    <row r="47" spans="1:4">
      <c r="A47" s="169" t="s">
        <v>442</v>
      </c>
      <c r="B47" s="531">
        <v>13</v>
      </c>
      <c r="C47" s="32" t="s">
        <v>252</v>
      </c>
      <c r="D47" s="303" t="s">
        <v>502</v>
      </c>
    </row>
    <row r="48" spans="1:4">
      <c r="A48" s="169" t="s">
        <v>443</v>
      </c>
      <c r="B48" s="531">
        <v>2000</v>
      </c>
      <c r="C48" s="32" t="s">
        <v>254</v>
      </c>
      <c r="D48" s="303" t="s">
        <v>502</v>
      </c>
    </row>
    <row r="49" spans="1:4">
      <c r="A49" s="169" t="s">
        <v>404</v>
      </c>
      <c r="B49" s="531">
        <v>3.75</v>
      </c>
      <c r="C49" s="32"/>
      <c r="D49" s="303" t="s">
        <v>502</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156</v>
      </c>
      <c r="B1" s="1185" t="s">
        <v>188</v>
      </c>
      <c r="C1" s="1186"/>
      <c r="D1" s="1186"/>
      <c r="E1" s="1186"/>
      <c r="F1" s="1186"/>
      <c r="G1" s="1186"/>
      <c r="H1" s="1186"/>
      <c r="I1" s="1186"/>
      <c r="J1" s="1186"/>
      <c r="K1" s="1186"/>
      <c r="L1" s="1186"/>
      <c r="M1" s="1186"/>
      <c r="N1" s="1186"/>
      <c r="O1" s="1186"/>
      <c r="P1" s="1186"/>
      <c r="R1" s="748"/>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c r="R2" s="748"/>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3"/>
      <c r="B4" s="14"/>
      <c r="C4" s="14"/>
      <c r="D4" s="14"/>
      <c r="E4" s="14"/>
      <c r="F4" s="14"/>
      <c r="G4" s="14"/>
      <c r="H4" s="14"/>
      <c r="I4" s="14"/>
      <c r="J4" s="14"/>
      <c r="K4" s="14"/>
      <c r="L4" s="14"/>
      <c r="M4" s="14"/>
      <c r="N4" s="14"/>
      <c r="O4" s="14"/>
      <c r="P4" s="14"/>
      <c r="R4" s="6"/>
    </row>
    <row r="5" spans="1:18">
      <c r="A5" s="16" t="s">
        <v>258</v>
      </c>
      <c r="B5" s="30">
        <f>SUM(B6:B15)</f>
        <v>55264.46</v>
      </c>
      <c r="C5" s="17">
        <f>IF(ISERROR('Eigen informatie GS &amp; warmtenet'!B59),0,'Eigen informatie GS &amp; warmtenet'!B59)</f>
        <v>0</v>
      </c>
      <c r="D5" s="30">
        <f>SUM(D6:D15)</f>
        <v>27555.813163999999</v>
      </c>
      <c r="E5" s="17">
        <f>SUM(E6:E15)</f>
        <v>796.26644267215545</v>
      </c>
      <c r="F5" s="17">
        <f>SUM(F6:F15)</f>
        <v>24585.785845884482</v>
      </c>
      <c r="G5" s="18"/>
      <c r="H5" s="17"/>
      <c r="I5" s="17"/>
      <c r="J5" s="17">
        <f>SUM(J6:J15)</f>
        <v>460.43536818042736</v>
      </c>
      <c r="K5" s="17"/>
      <c r="L5" s="17"/>
      <c r="M5" s="17"/>
      <c r="N5" s="17">
        <f>SUM(N6:N15)</f>
        <v>2058.2425096526213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22112.192999999999</v>
      </c>
      <c r="C8" s="33"/>
      <c r="D8" s="37">
        <f>IF( ISERROR(IND_metaal_Gas_kWH/1000),0,IND_metaal_Gas_kWH/1000)*0.902</f>
        <v>11407.889856</v>
      </c>
      <c r="E8" s="33">
        <f>C30*'E Balans VL '!I18/100/3.6*1000000</f>
        <v>155.3775013769197</v>
      </c>
      <c r="F8" s="33">
        <f>C30*'E Balans VL '!L18/100/3.6*1000000+C30*'E Balans VL '!N18/100/3.6*1000000</f>
        <v>2427.7894223373423</v>
      </c>
      <c r="G8" s="34"/>
      <c r="H8" s="33"/>
      <c r="I8" s="33"/>
      <c r="J8" s="40">
        <f>C30*'E Balans VL '!D18/100/3.6*1000000+C30*'E Balans VL '!E18/100/3.6*1000000</f>
        <v>456.222202028862</v>
      </c>
      <c r="K8" s="33"/>
      <c r="L8" s="33"/>
      <c r="M8" s="33"/>
      <c r="N8" s="33">
        <f>C30*'E Balans VL '!Y18/100/3.6*1000000</f>
        <v>82.87809188243169</v>
      </c>
      <c r="O8" s="33"/>
      <c r="P8" s="33"/>
      <c r="R8" s="32"/>
    </row>
    <row r="9" spans="1:18">
      <c r="A9" s="6" t="s">
        <v>32</v>
      </c>
      <c r="B9" s="37">
        <f t="shared" si="0"/>
        <v>26575.305</v>
      </c>
      <c r="C9" s="33"/>
      <c r="D9" s="37">
        <f>IF( ISERROR(IND_andere_gas_kWh/1000),0,IND_andere_gas_kWh/1000)*0.902</f>
        <v>929.12584600000014</v>
      </c>
      <c r="E9" s="33">
        <f>C31*'E Balans VL '!I19/100/3.6*1000000</f>
        <v>446.36480326307344</v>
      </c>
      <c r="F9" s="33">
        <f>C31*'E Balans VL '!L19/100/3.6*1000000+C31*'E Balans VL '!N19/100/3.6*1000000</f>
        <v>20775.05983264526</v>
      </c>
      <c r="G9" s="34"/>
      <c r="H9" s="33"/>
      <c r="I9" s="33"/>
      <c r="J9" s="40">
        <f>C31*'E Balans VL '!D19/100/3.6*1000000+C31*'E Balans VL '!E19/100/3.6*1000000</f>
        <v>2.3968579205535656</v>
      </c>
      <c r="K9" s="33"/>
      <c r="L9" s="33"/>
      <c r="M9" s="33"/>
      <c r="N9" s="33">
        <f>C31*'E Balans VL '!Y19/100/3.6*1000000</f>
        <v>1969.6564637328709</v>
      </c>
      <c r="O9" s="33"/>
      <c r="P9" s="33"/>
      <c r="R9" s="32"/>
    </row>
    <row r="10" spans="1:18">
      <c r="A10" s="6" t="s">
        <v>40</v>
      </c>
      <c r="B10" s="37">
        <f t="shared" si="0"/>
        <v>235.70500000000001</v>
      </c>
      <c r="C10" s="33"/>
      <c r="D10" s="37">
        <f>IF( ISERROR(IND_voed_gas_kWh/1000),0,IND_voed_gas_kWh/1000)*0.902</f>
        <v>325.40191199999998</v>
      </c>
      <c r="E10" s="33">
        <f>C32*'E Balans VL '!I20/100/3.6*1000000</f>
        <v>2.1504744727919589</v>
      </c>
      <c r="F10" s="33">
        <f>C32*'E Balans VL '!L20/100/3.6*1000000+C32*'E Balans VL '!N20/100/3.6*1000000</f>
        <v>38.026588920950914</v>
      </c>
      <c r="G10" s="34"/>
      <c r="H10" s="33"/>
      <c r="I10" s="33"/>
      <c r="J10" s="40">
        <f>C32*'E Balans VL '!D20/100/3.6*1000000+C32*'E Balans VL '!E20/100/3.6*1000000</f>
        <v>0.97078772567831195</v>
      </c>
      <c r="K10" s="33"/>
      <c r="L10" s="33"/>
      <c r="M10" s="33"/>
      <c r="N10" s="33">
        <f>C32*'E Balans VL '!Y20/100/3.6*1000000</f>
        <v>3.4481782913911792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6215.6850000000004</v>
      </c>
      <c r="C13" s="33"/>
      <c r="D13" s="37">
        <f>IF( ISERROR(IND_papier_gas_kWh/1000),0,IND_papier_gas_kWh/1000)*0.902</f>
        <v>11017.107376</v>
      </c>
      <c r="E13" s="33">
        <f>C35*'E Balans VL '!I23/100/3.6*1000000</f>
        <v>191.2404059568768</v>
      </c>
      <c r="F13" s="33">
        <f>C35*'E Balans VL '!L23/100/3.6*1000000+C35*'E Balans VL '!N23/100/3.6*1000000</f>
        <v>1319.8071508565572</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125.572</v>
      </c>
      <c r="C15" s="33"/>
      <c r="D15" s="37">
        <f>IF( ISERROR(IND_rest_gas_kWh/1000),0,IND_rest_gas_kWh/1000)*0.902</f>
        <v>3876.2881739999998</v>
      </c>
      <c r="E15" s="33">
        <f>C37*'E Balans VL '!I15/100/3.6*1000000</f>
        <v>1.1332576024936329</v>
      </c>
      <c r="F15" s="33">
        <f>C37*'E Balans VL '!L15/100/3.6*1000000+C37*'E Balans VL '!N15/100/3.6*1000000</f>
        <v>25.10285112436592</v>
      </c>
      <c r="G15" s="34"/>
      <c r="H15" s="33"/>
      <c r="I15" s="33"/>
      <c r="J15" s="40">
        <f>C37*'E Balans VL '!D15/100/3.6*1000000+C37*'E Balans VL '!E15/100/3.6*1000000</f>
        <v>0.84552050533352352</v>
      </c>
      <c r="K15" s="33"/>
      <c r="L15" s="33"/>
      <c r="M15" s="33"/>
      <c r="N15" s="33">
        <f>C37*'E Balans VL '!Y15/100/3.6*1000000</f>
        <v>2.2597757459274272</v>
      </c>
      <c r="O15" s="33"/>
      <c r="P15" s="33"/>
      <c r="R15" s="32"/>
    </row>
    <row r="16" spans="1:18">
      <c r="A16" s="16" t="s">
        <v>483</v>
      </c>
      <c r="B16" s="244">
        <f>'lokale energieproductie'!N38+'lokale energieproductie'!N31</f>
        <v>0</v>
      </c>
      <c r="C16" s="244">
        <f>'lokale energieproductie'!O38+'lokale energieproductie'!O31</f>
        <v>0</v>
      </c>
      <c r="D16" s="304">
        <f>('lokale energieproductie'!P31+'lokale energieproductie'!P38)*(-1)</f>
        <v>0</v>
      </c>
      <c r="E16" s="245"/>
      <c r="F16" s="304">
        <f>('lokale energieproductie'!S31+'lokale energieproductie'!S38)*(-1)</f>
        <v>0</v>
      </c>
      <c r="G16" s="246"/>
      <c r="H16" s="245"/>
      <c r="I16" s="245"/>
      <c r="J16" s="245"/>
      <c r="K16" s="245"/>
      <c r="L16" s="304">
        <f>('lokale energieproductie'!T31+'lokale energieproductie'!U31+'lokale energieproductie'!T38+'lokale energieproductie'!U38)*(-1)</f>
        <v>0</v>
      </c>
      <c r="M16" s="245"/>
      <c r="N16" s="304">
        <f>('lokale energieproductie'!Q31+'lokale energieproductie'!R31+'lokale energieproductie'!V31+'lokale energieproductie'!Q38+'lokale energieproductie'!R38+'lokale energieproductie'!V38)*(-1)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267</v>
      </c>
      <c r="B18" s="21">
        <f>B5+B16</f>
        <v>55264.46</v>
      </c>
      <c r="C18" s="21">
        <f>C5+C16</f>
        <v>0</v>
      </c>
      <c r="D18" s="21">
        <f>MAX((D5+D16),0)</f>
        <v>27555.813163999999</v>
      </c>
      <c r="E18" s="21">
        <f>MAX((E5+E16),0)</f>
        <v>796.26644267215545</v>
      </c>
      <c r="F18" s="21">
        <f>MAX((F5+F16),0)</f>
        <v>24585.785845884482</v>
      </c>
      <c r="G18" s="21"/>
      <c r="H18" s="21"/>
      <c r="I18" s="21"/>
      <c r="J18" s="21">
        <f>MAX((J5+J16),0)</f>
        <v>460.43536818042736</v>
      </c>
      <c r="K18" s="21"/>
      <c r="L18" s="21">
        <f>MAX((L5+L16),0)</f>
        <v>0</v>
      </c>
      <c r="M18" s="21"/>
      <c r="N18" s="21">
        <f>MAX((N5+N16),0)</f>
        <v>2058.2425096526213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0.20088318133553656</v>
      </c>
      <c r="C20" s="25">
        <f ca="1">'EF ele_warmte'!B22</f>
        <v>1.6634185171968926E-3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11101.700539590507</v>
      </c>
      <c r="C22" s="23">
        <f ca="1">C18*C20</f>
        <v>0</v>
      </c>
      <c r="D22" s="23">
        <f>D18*D20</f>
        <v>5566.2742591280003</v>
      </c>
      <c r="E22" s="23">
        <f>E18*E20</f>
        <v>180.75248248657928</v>
      </c>
      <c r="F22" s="23">
        <f>F18*F20</f>
        <v>6564.4048208511567</v>
      </c>
      <c r="G22" s="23"/>
      <c r="H22" s="23"/>
      <c r="I22" s="23"/>
      <c r="J22" s="23">
        <f>J18*J20</f>
        <v>162.99412033587129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482</v>
      </c>
      <c r="B25" s="201"/>
      <c r="C25" s="201"/>
      <c r="D25" s="223"/>
    </row>
    <row r="26" spans="1:18">
      <c r="A26" s="233"/>
      <c r="B26" s="32"/>
      <c r="C26" s="32"/>
      <c r="D26" s="234"/>
    </row>
    <row r="27" spans="1:18">
      <c r="A27" s="235"/>
      <c r="B27" s="222" t="s">
        <v>256</v>
      </c>
      <c r="C27" s="222" t="s">
        <v>257</v>
      </c>
      <c r="D27" s="236" t="s">
        <v>175</v>
      </c>
    </row>
    <row r="28" spans="1:18">
      <c r="A28" s="169" t="s">
        <v>34</v>
      </c>
      <c r="B28" s="37"/>
      <c r="C28" s="39"/>
      <c r="D28" s="234" t="s">
        <v>700</v>
      </c>
    </row>
    <row r="29" spans="1:18">
      <c r="A29" s="169" t="s">
        <v>37</v>
      </c>
      <c r="B29" s="37">
        <f>IF( ISERROR(IND_nonf_ele_kWh/1000),0,IND_nonf_ele_kWh/1000)</f>
        <v>0</v>
      </c>
      <c r="C29" s="39">
        <f>IF(ISERROR(B29*3.6/1000000/'E Balans VL '!Z17*100),0,B29*3.6/1000000/'E Balans VL '!Z17*100)</f>
        <v>0</v>
      </c>
      <c r="D29" s="234" t="s">
        <v>700</v>
      </c>
    </row>
    <row r="30" spans="1:18">
      <c r="A30" s="169" t="s">
        <v>35</v>
      </c>
      <c r="B30" s="37">
        <f>IF( ISERROR(IND_metaal_ele_kWh/1000),0,IND_metaal_ele_kWh/1000)</f>
        <v>22112.192999999999</v>
      </c>
      <c r="C30" s="39">
        <f>IF(ISERROR(B30*3.6/1000000/'E Balans VL '!Z18*100),0,B30*3.6/1000000/'E Balans VL '!Z18*100)</f>
        <v>1.4720221908465594</v>
      </c>
      <c r="D30" s="234" t="s">
        <v>700</v>
      </c>
    </row>
    <row r="31" spans="1:18">
      <c r="A31" s="6" t="s">
        <v>32</v>
      </c>
      <c r="B31" s="37">
        <f>IF( ISERROR(IND_ander_ele_kWh/1000),0,IND_ander_ele_kWh/1000)</f>
        <v>26575.305</v>
      </c>
      <c r="C31" s="39">
        <f>IF(ISERROR(B31*3.6/1000000/'E Balans VL '!Z19*100),0,B31*3.6/1000000/'E Balans VL '!Z19*100)</f>
        <v>1.1779779541287148</v>
      </c>
      <c r="D31" s="234" t="s">
        <v>700</v>
      </c>
    </row>
    <row r="32" spans="1:18">
      <c r="A32" s="169" t="s">
        <v>40</v>
      </c>
      <c r="B32" s="37">
        <f>IF( ISERROR(IND_voed_ele_kWh/1000),0,IND_voed_ele_kWh/1000)</f>
        <v>235.70500000000001</v>
      </c>
      <c r="C32" s="39">
        <f>IF(ISERROR(B32*3.6/1000000/'E Balans VL '!Z20*100),0,B32*3.6/1000000/'E Balans VL '!Z20*100)</f>
        <v>7.8732231501340705E-3</v>
      </c>
      <c r="D32" s="234" t="s">
        <v>700</v>
      </c>
    </row>
    <row r="33" spans="1:5">
      <c r="A33" s="169" t="s">
        <v>39</v>
      </c>
      <c r="B33" s="37">
        <f>IF( ISERROR(IND_textiel_ele_kWh/1000),0,IND_textiel_ele_kWh/1000)</f>
        <v>0</v>
      </c>
      <c r="C33" s="39">
        <f>IF(ISERROR(B33*3.6/1000000/'E Balans VL '!Z21*100),0,B33*3.6/1000000/'E Balans VL '!Z21*100)</f>
        <v>0</v>
      </c>
      <c r="D33" s="234" t="s">
        <v>700</v>
      </c>
    </row>
    <row r="34" spans="1:5">
      <c r="A34" s="169" t="s">
        <v>36</v>
      </c>
      <c r="B34" s="37">
        <f>IF( ISERROR(IND_min_ele_kWh/1000),0,IND_min_ele_kWh/1000)</f>
        <v>0</v>
      </c>
      <c r="C34" s="39">
        <f>IF(ISERROR(B34*3.6/1000000/'E Balans VL '!Z22*100),0,B34*3.6/1000000/'E Balans VL '!Z22*100)</f>
        <v>0</v>
      </c>
      <c r="D34" s="234" t="s">
        <v>700</v>
      </c>
    </row>
    <row r="35" spans="1:5">
      <c r="A35" s="169" t="s">
        <v>38</v>
      </c>
      <c r="B35" s="37">
        <f>IF( ISERROR(IND_papier_ele_kWh/1000),0,IND_papier_ele_kWh/1000)</f>
        <v>6215.6850000000004</v>
      </c>
      <c r="C35" s="39">
        <f>IF(ISERROR(B35*3.6/1000000/'E Balans VL '!Z22*100),0,B35*3.6/1000000/'E Balans VL '!Z22*100)</f>
        <v>1.2088824570812846</v>
      </c>
      <c r="D35" s="234" t="s">
        <v>700</v>
      </c>
    </row>
    <row r="36" spans="1:5">
      <c r="A36" s="169" t="s">
        <v>33</v>
      </c>
      <c r="B36" s="37">
        <f>IF( ISERROR(IND_chemie_ele_kWh/1000),0,IND_chemie_ele_kWh/1000)</f>
        <v>0</v>
      </c>
      <c r="C36" s="39">
        <f>IF(ISERROR(B36*3.6/1000000/'E Balans VL '!Z24*100),0,B36*3.6/1000000/'E Balans VL '!Z24*100)</f>
        <v>0</v>
      </c>
      <c r="D36" s="234" t="s">
        <v>700</v>
      </c>
    </row>
    <row r="37" spans="1:5">
      <c r="A37" s="169" t="s">
        <v>259</v>
      </c>
      <c r="B37" s="37">
        <f>IF( ISERROR(IND_rest_ele_kWh/1000),0,IND_rest_ele_kWh/1000)</f>
        <v>125.572</v>
      </c>
      <c r="C37" s="39">
        <f>IF(ISERROR(B37*3.6/1000000/'E Balans VL '!Z15*100),0,B37*3.6/1000000/'E Balans VL '!Z15*100)</f>
        <v>9.3405110571287008E-4</v>
      </c>
      <c r="D37" s="234" t="s">
        <v>700</v>
      </c>
    </row>
    <row r="38" spans="1:5">
      <c r="A38" s="237"/>
      <c r="B38" s="178"/>
      <c r="C38" s="178"/>
      <c r="D38" s="238"/>
    </row>
    <row r="39" spans="1:5">
      <c r="A39" s="229"/>
      <c r="B39" s="32"/>
      <c r="C39" s="32"/>
      <c r="D39" s="32"/>
      <c r="E39" s="32"/>
    </row>
    <row r="40" spans="1:5">
      <c r="A40" s="191" t="s">
        <v>475</v>
      </c>
      <c r="B40" s="201"/>
      <c r="C40" s="201"/>
      <c r="D40" s="223"/>
    </row>
    <row r="41" spans="1:5">
      <c r="A41" s="233"/>
      <c r="B41" s="32"/>
      <c r="C41" s="32"/>
      <c r="D41" s="230"/>
    </row>
    <row r="42" spans="1:5">
      <c r="A42" s="239"/>
      <c r="B42" s="240"/>
      <c r="C42" s="222" t="s">
        <v>366</v>
      </c>
      <c r="D42" s="241" t="s">
        <v>175</v>
      </c>
    </row>
    <row r="43" spans="1:5">
      <c r="A43" s="169" t="s">
        <v>255</v>
      </c>
      <c r="B43" s="313">
        <f>aantalZB_NB_industrie+aantalZB_NB_industrie_met_kantoor</f>
        <v>0</v>
      </c>
      <c r="C43" s="43"/>
      <c r="D43" s="230"/>
    </row>
    <row r="44" spans="1:5">
      <c r="A44" s="169" t="s">
        <v>472</v>
      </c>
      <c r="B44" s="309">
        <v>4.2</v>
      </c>
      <c r="C44" s="43"/>
      <c r="D44" s="303" t="s">
        <v>502</v>
      </c>
    </row>
    <row r="45" spans="1:5">
      <c r="A45" s="6" t="s">
        <v>473</v>
      </c>
      <c r="B45" s="314">
        <f>1.34/3.6</f>
        <v>0.37222222222222223</v>
      </c>
      <c r="C45" s="43" t="s">
        <v>208</v>
      </c>
      <c r="D45" s="303" t="s">
        <v>502</v>
      </c>
    </row>
    <row r="46" spans="1:5" s="32" customFormat="1">
      <c r="A46" s="173"/>
      <c r="B46" s="243"/>
      <c r="C46" s="178"/>
      <c r="D46" s="238"/>
    </row>
    <row r="48" spans="1:5">
      <c r="A48" s="192" t="s">
        <v>476</v>
      </c>
      <c r="B48" s="201"/>
      <c r="C48" s="201"/>
      <c r="D48" s="223"/>
    </row>
    <row r="49" spans="1:4">
      <c r="A49" s="228"/>
      <c r="B49" s="32"/>
      <c r="C49" s="32"/>
      <c r="D49" s="230"/>
    </row>
    <row r="50" spans="1:4">
      <c r="A50" s="239"/>
      <c r="B50" s="240"/>
      <c r="C50" s="222" t="s">
        <v>366</v>
      </c>
      <c r="D50" s="241" t="s">
        <v>175</v>
      </c>
    </row>
    <row r="51" spans="1:4">
      <c r="A51" s="169" t="s">
        <v>255</v>
      </c>
      <c r="B51" s="313">
        <f>aantalWP_NB_industrie+AantalWP_NB_industrie_met_kantoor</f>
        <v>0</v>
      </c>
      <c r="C51" s="32"/>
      <c r="D51" s="230"/>
    </row>
    <row r="52" spans="1:4">
      <c r="A52" s="169" t="s">
        <v>251</v>
      </c>
      <c r="B52" s="309">
        <v>13</v>
      </c>
      <c r="C52" s="32" t="s">
        <v>252</v>
      </c>
      <c r="D52" s="303" t="s">
        <v>502</v>
      </c>
    </row>
    <row r="53" spans="1:4">
      <c r="A53" s="169" t="s">
        <v>253</v>
      </c>
      <c r="B53" s="309">
        <v>2000</v>
      </c>
      <c r="C53" s="32" t="s">
        <v>254</v>
      </c>
      <c r="D53" s="303" t="s">
        <v>502</v>
      </c>
    </row>
    <row r="54" spans="1:4">
      <c r="A54" s="169" t="s">
        <v>404</v>
      </c>
      <c r="B54" s="309">
        <v>3.75</v>
      </c>
      <c r="C54" s="32"/>
      <c r="D54" s="303" t="s">
        <v>502</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260</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4630.4430000000002</v>
      </c>
      <c r="C5" s="17">
        <f>'Eigen informatie GS &amp; warmtenet'!B60</f>
        <v>0</v>
      </c>
      <c r="D5" s="30">
        <f>IF(ISERROR(SUM(LB_lb_gas_kWh,LB_rest_gas_kWh)/1000),0,SUM(LB_lb_gas_kWh,LB_rest_gas_kWh)/1000)*0.902</f>
        <v>3005.3756040000003</v>
      </c>
      <c r="E5" s="17">
        <f>B17*'E Balans VL '!I25/3.6*1000000/100</f>
        <v>48.491001546029821</v>
      </c>
      <c r="F5" s="17">
        <f>B17*('E Balans VL '!L25/3.6*1000000+'E Balans VL '!N25/3.6*1000000)/100</f>
        <v>19821.814429446895</v>
      </c>
      <c r="G5" s="18"/>
      <c r="H5" s="17"/>
      <c r="I5" s="17"/>
      <c r="J5" s="17">
        <f>('E Balans VL '!D25+'E Balans VL '!E25)/3.6*1000000*landbouw!B17/100</f>
        <v>413.54006326864231</v>
      </c>
      <c r="K5" s="17"/>
      <c r="L5" s="17">
        <f>L6*(-1)</f>
        <v>0</v>
      </c>
      <c r="M5" s="17"/>
      <c r="N5" s="17">
        <f>N6*(-1)</f>
        <v>0</v>
      </c>
      <c r="O5" s="17"/>
      <c r="P5" s="17"/>
      <c r="R5" s="32"/>
    </row>
    <row r="6" spans="1:18">
      <c r="A6" s="16" t="s">
        <v>483</v>
      </c>
      <c r="B6" s="17" t="s">
        <v>204</v>
      </c>
      <c r="C6" s="17">
        <f>'lokale energieproductie'!O40+'lokale energieproductie'!O33</f>
        <v>0</v>
      </c>
      <c r="D6" s="304">
        <f>('lokale energieproductie'!P33+'lokale energieproductie'!P40)*(-1)</f>
        <v>0</v>
      </c>
      <c r="E6" s="245"/>
      <c r="F6" s="304">
        <f>('lokale energieproductie'!S33+'lokale energieproductie'!S40)*(-1)</f>
        <v>0</v>
      </c>
      <c r="G6" s="246"/>
      <c r="H6" s="245"/>
      <c r="I6" s="245"/>
      <c r="J6" s="245"/>
      <c r="K6" s="245"/>
      <c r="L6" s="304">
        <f>('lokale energieproductie'!T33+'lokale energieproductie'!U33+'lokale energieproductie'!T40+'lokale energieproductie'!U40)*(-1)</f>
        <v>0</v>
      </c>
      <c r="M6" s="245"/>
      <c r="N6" s="304">
        <f>('lokale energieproductie'!V33+'lokale energieproductie'!R33+'lokale energieproductie'!Q33+'lokale energieproductie'!Q40+'lokale energieproductie'!R40+'lokale energieproductie'!V40)*(-1)</f>
        <v>0</v>
      </c>
      <c r="O6" s="245"/>
      <c r="P6" s="245"/>
      <c r="R6" s="32"/>
    </row>
    <row r="7" spans="1:18">
      <c r="A7" s="32"/>
      <c r="B7" s="29"/>
      <c r="C7" s="29"/>
      <c r="D7" s="247"/>
      <c r="E7" s="29"/>
      <c r="F7" s="29"/>
      <c r="G7" s="28"/>
      <c r="H7" s="29"/>
      <c r="I7" s="29"/>
      <c r="J7" s="29"/>
      <c r="K7" s="29"/>
      <c r="L7" s="29"/>
      <c r="M7" s="29"/>
      <c r="N7" s="29"/>
      <c r="O7" s="29"/>
      <c r="P7" s="29"/>
      <c r="R7" s="32"/>
    </row>
    <row r="8" spans="1:18">
      <c r="A8" s="20" t="s">
        <v>262</v>
      </c>
      <c r="B8" s="21">
        <f>B5</f>
        <v>4630.4430000000002</v>
      </c>
      <c r="C8" s="21">
        <f>C5+C6</f>
        <v>0</v>
      </c>
      <c r="D8" s="21">
        <f>MAX((D5+D6),0)</f>
        <v>3005.3756040000003</v>
      </c>
      <c r="E8" s="21">
        <f>MAX((E5+E6),0)</f>
        <v>48.491001546029821</v>
      </c>
      <c r="F8" s="21">
        <f>MAX((F5+F6),0)</f>
        <v>19821.814429446895</v>
      </c>
      <c r="G8" s="21"/>
      <c r="H8" s="21"/>
      <c r="I8" s="21"/>
      <c r="J8" s="21">
        <f>MAX((J5+J6),0)</f>
        <v>413.54006326864231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0.20088318133553656</v>
      </c>
      <c r="C10" s="31">
        <f ca="1">'EF ele_warmte'!B22</f>
        <v>1.6634185171968926E-3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930.17812083286594</v>
      </c>
      <c r="C12" s="23">
        <f ca="1">C8*C10</f>
        <v>0</v>
      </c>
      <c r="D12" s="23">
        <f>D8*D10</f>
        <v>607.08587200800014</v>
      </c>
      <c r="E12" s="23">
        <f>E8*E10</f>
        <v>11.007457350948769</v>
      </c>
      <c r="F12" s="23">
        <f>F8*F10</f>
        <v>5292.4244526623215</v>
      </c>
      <c r="G12" s="23"/>
      <c r="H12" s="23"/>
      <c r="I12" s="23"/>
      <c r="J12" s="23">
        <f>J8*J10</f>
        <v>146.39318239709937</v>
      </c>
      <c r="K12" s="23"/>
      <c r="L12" s="23">
        <f>L8*L10</f>
        <v>0</v>
      </c>
      <c r="M12" s="23">
        <f>M8*M10</f>
        <v>0</v>
      </c>
      <c r="N12" s="23">
        <f>N8*N10</f>
        <v>0</v>
      </c>
      <c r="O12" s="23"/>
      <c r="P12" s="23"/>
    </row>
    <row r="14" spans="1:18">
      <c r="A14" s="191" t="s">
        <v>489</v>
      </c>
      <c r="B14" s="201"/>
      <c r="C14" s="223"/>
    </row>
    <row r="15" spans="1:18">
      <c r="A15" s="233"/>
      <c r="B15" s="32"/>
      <c r="C15" s="234"/>
    </row>
    <row r="16" spans="1:18">
      <c r="A16" s="252"/>
      <c r="B16" s="42" t="s">
        <v>281</v>
      </c>
      <c r="C16" s="236" t="s">
        <v>175</v>
      </c>
    </row>
    <row r="17" spans="1:4">
      <c r="A17" s="253" t="s">
        <v>105</v>
      </c>
      <c r="B17" s="251">
        <f>IF(ISERROR(SUM(LB_lb_ele_kWh,LB_rest_ele_kWh)*3.6/1000000000/'E Balans VL '!Z26*100),0,SUM(LB_lb_ele_kWh,LB_rest_ele_kWh)*3.6/1000000000/'E Balans VL '!Z26*100)</f>
        <v>0.71271456176793602</v>
      </c>
      <c r="C17" s="234" t="s">
        <v>700</v>
      </c>
      <c r="D17" s="249"/>
    </row>
    <row r="18" spans="1:4">
      <c r="A18" s="237"/>
      <c r="B18" s="250"/>
      <c r="C18" s="238"/>
    </row>
    <row r="19" spans="1:4">
      <c r="A19" s="32"/>
      <c r="B19" s="48"/>
      <c r="C19" s="32"/>
    </row>
    <row r="20" spans="1:4">
      <c r="A20" s="32"/>
      <c r="B20" s="48"/>
      <c r="C20" s="32"/>
    </row>
    <row r="21" spans="1:4" ht="15.75" thickBot="1">
      <c r="B21" s="32"/>
    </row>
    <row r="22" spans="1:4" ht="15.75" customHeight="1">
      <c r="A22" s="1192" t="s">
        <v>292</v>
      </c>
      <c r="B22" s="1195" t="s">
        <v>293</v>
      </c>
      <c r="C22" s="1195" t="s">
        <v>488</v>
      </c>
    </row>
    <row r="23" spans="1:4">
      <c r="A23" s="1193"/>
      <c r="B23" s="1196"/>
      <c r="C23" s="1196"/>
    </row>
    <row r="24" spans="1:4" ht="15.75" thickBot="1">
      <c r="A24" s="1194"/>
      <c r="B24" s="1197"/>
      <c r="C24" s="1197"/>
    </row>
    <row r="25" spans="1:4" ht="15.75">
      <c r="A25" s="13"/>
      <c r="B25" s="32"/>
    </row>
    <row r="26" spans="1:4">
      <c r="A26" s="41" t="s">
        <v>263</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370.09945161860958</v>
      </c>
      <c r="C26" s="244">
        <f>B26*'GWP N2O_CH4'!B5</f>
        <v>7772.0884839908013</v>
      </c>
      <c r="D26" s="50"/>
    </row>
    <row r="27" spans="1:4">
      <c r="A27" s="41" t="s">
        <v>264</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447.25782801709931</v>
      </c>
      <c r="C27" s="244">
        <f>B27*'GWP N2O_CH4'!B5</f>
        <v>9392.4143883590859</v>
      </c>
      <c r="D27" s="50"/>
    </row>
    <row r="28" spans="1:4">
      <c r="A28" s="41" t="s">
        <v>265</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6.5398179554077691</v>
      </c>
      <c r="C28" s="244">
        <f>B28*'GWP N2O_CH4'!B4</f>
        <v>2027.3435661764083</v>
      </c>
      <c r="D28" s="50"/>
    </row>
    <row r="29" spans="1:4">
      <c r="A29" s="41" t="s">
        <v>266</v>
      </c>
      <c r="B29" s="244">
        <f>B34*'ha_N2O bodem landbouw'!B4</f>
        <v>23.977171204880545</v>
      </c>
      <c r="C29" s="244">
        <f>B29*'GWP N2O_CH4'!B4</f>
        <v>7432.9230735129686</v>
      </c>
      <c r="D29" s="50"/>
    </row>
    <row r="31" spans="1:4">
      <c r="A31" s="191" t="s">
        <v>490</v>
      </c>
      <c r="B31" s="201"/>
      <c r="C31" s="223"/>
    </row>
    <row r="32" spans="1:4">
      <c r="A32" s="233"/>
      <c r="B32" s="32"/>
      <c r="C32" s="234"/>
    </row>
    <row r="33" spans="1:5">
      <c r="A33" s="235"/>
      <c r="B33" s="222" t="s">
        <v>619</v>
      </c>
      <c r="C33" s="236" t="s">
        <v>175</v>
      </c>
    </row>
    <row r="34" spans="1:5">
      <c r="A34" s="254" t="s">
        <v>105</v>
      </c>
      <c r="B34" s="35">
        <f>IF(ISERROR(aantalCultuurgronden/'ha_N2O bodem landbouw'!B5),0,aantalCultuurgronden/'ha_N2O bodem landbouw'!B5)</f>
        <v>3.9625424505016745E-3</v>
      </c>
      <c r="C34" s="255" t="s">
        <v>618</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4" t="s">
        <v>492</v>
      </c>
      <c r="B1" s="1185" t="s">
        <v>541</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8">
        <f>SUM(B6:B11)</f>
        <v>2.8121116094079419E-6</v>
      </c>
      <c r="C5" s="433" t="s">
        <v>204</v>
      </c>
      <c r="D5" s="418">
        <f>SUM(D6:D11)</f>
        <v>1.0019073226128818E-5</v>
      </c>
      <c r="E5" s="418">
        <f>SUM(E6:E11)</f>
        <v>1.0192019799451541E-3</v>
      </c>
      <c r="F5" s="431" t="s">
        <v>204</v>
      </c>
      <c r="G5" s="418">
        <f>SUM(G6:G11)</f>
        <v>0.23432842982044205</v>
      </c>
      <c r="H5" s="418">
        <f>SUM(H6:H11)</f>
        <v>3.2596966625694467E-2</v>
      </c>
      <c r="I5" s="433" t="s">
        <v>204</v>
      </c>
      <c r="J5" s="433" t="s">
        <v>204</v>
      </c>
      <c r="K5" s="433" t="s">
        <v>204</v>
      </c>
      <c r="L5" s="433" t="s">
        <v>204</v>
      </c>
      <c r="M5" s="418">
        <f>SUM(M6:M11)</f>
        <v>1.1594952994545977E-2</v>
      </c>
      <c r="N5" s="433" t="s">
        <v>204</v>
      </c>
      <c r="O5" s="433" t="s">
        <v>204</v>
      </c>
      <c r="P5" s="434" t="s">
        <v>204</v>
      </c>
    </row>
    <row r="6" spans="1:18">
      <c r="A6" s="259" t="s">
        <v>753</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1.8249740112063046E-6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5.7782709901826875E-6</v>
      </c>
      <c r="E6" s="421">
        <f>vkm_GW_PW*SUMIFS(TableVerdeelsleutelVkm[LPG],TableVerdeelsleutelVkm[Voertuigtype],"Lichte voertuigen")*SUMIFS(TableECFTransport[EnergieConsumptieFactor (PJ per km)],TableECFTransport[Index],CONCATENATE($A6,"_LPG_LPG"))</f>
        <v>6.0214608287754263E-4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8.0206008349767294E-2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1.9241248217688505E-2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4.3407887072815466E-3</v>
      </c>
      <c r="N6" s="419"/>
      <c r="O6" s="419"/>
      <c r="P6" s="420"/>
    </row>
    <row r="7" spans="1:18">
      <c r="A7" s="259" t="s">
        <v>755</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1.3100421401381228E-7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5.9053707966510417E-2</v>
      </c>
      <c r="H7" s="4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1.5988780401144126E-6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2.5440582959629435E-3</v>
      </c>
      <c r="N7" s="419"/>
      <c r="O7" s="419"/>
      <c r="P7" s="420"/>
    </row>
    <row r="8" spans="1:18">
      <c r="A8" s="259" t="s">
        <v>756</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7.8811366539463015E-7</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4.2408022359461306E-6</v>
      </c>
      <c r="E8" s="421">
        <f>vkm_NGW_PW*SUMIFS(TableVerdeelsleutelVkm[LPG],TableVerdeelsleutelVkm[Voertuigtype],"Lichte voertuigen")*SUMIFS(TableECFTransport[EnergieConsumptieFactor (PJ per km)],TableECFTransport[Index],CONCATENATE($A8,"_LPG_LPG"))</f>
        <v>4.1705589706761143E-4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5.2597393931046781E-2</v>
      </c>
      <c r="H8" s="4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1.3353117498521293E-2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2.8804306890447421E-3</v>
      </c>
      <c r="N8" s="419"/>
      <c r="O8" s="419"/>
      <c r="P8" s="420"/>
    </row>
    <row r="9" spans="1:18">
      <c r="A9" s="259" t="s">
        <v>757</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6.8019718793194692E-8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4.2471319573117561E-2</v>
      </c>
      <c r="H9" s="4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1.0020314445555452E-6</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1.829675302256745E-3</v>
      </c>
      <c r="N9" s="419"/>
      <c r="O9" s="419"/>
      <c r="P9" s="420"/>
    </row>
    <row r="10" spans="1:18">
      <c r="A10" s="259" t="s">
        <v>758</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row>
    <row r="11" spans="1:18">
      <c r="A11" s="4" t="s">
        <v>759</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2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row>
    <row r="12" spans="1:18">
      <c r="A12" s="325" t="s">
        <v>539</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325</v>
      </c>
      <c r="B14" s="21">
        <f>((B5)*10^9/3600)+B12</f>
        <v>0.78114211372442832</v>
      </c>
      <c r="C14" s="21"/>
      <c r="D14" s="21">
        <f t="shared" ref="D14:M14" si="0">((D5)*10^9/3600)+D12</f>
        <v>2.7830758961468938</v>
      </c>
      <c r="E14" s="21">
        <f t="shared" si="0"/>
        <v>283.11166109587612</v>
      </c>
      <c r="F14" s="21"/>
      <c r="G14" s="21">
        <f t="shared" si="0"/>
        <v>65091.230505678344</v>
      </c>
      <c r="H14" s="21">
        <f t="shared" si="0"/>
        <v>9054.712951581796</v>
      </c>
      <c r="I14" s="21"/>
      <c r="J14" s="21"/>
      <c r="K14" s="21"/>
      <c r="L14" s="21"/>
      <c r="M14" s="21">
        <f t="shared" si="0"/>
        <v>3220.8202762627716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0.20088318133553656</v>
      </c>
      <c r="C16" s="56">
        <f ca="1">'EF ele_warmte'!B22</f>
        <v>1.6634185171968926E-3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0.15691831288012867</v>
      </c>
      <c r="C18" s="23"/>
      <c r="D18" s="23">
        <f t="shared" ref="D18:M18" si="1">D14*D16</f>
        <v>0.56218133102167256</v>
      </c>
      <c r="E18" s="23">
        <f t="shared" si="1"/>
        <v>64.266347068763878</v>
      </c>
      <c r="F18" s="23"/>
      <c r="G18" s="23">
        <f t="shared" si="1"/>
        <v>17379.358545016119</v>
      </c>
      <c r="H18" s="23">
        <f t="shared" si="1"/>
        <v>2254.6235249438673</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7"/>
    </row>
    <row r="21" spans="1:18">
      <c r="A21" s="878" t="s">
        <v>494</v>
      </c>
      <c r="B21" s="879"/>
      <c r="C21" s="880"/>
      <c r="D21" s="880"/>
      <c r="E21" s="880"/>
      <c r="F21" s="880"/>
      <c r="G21" s="880"/>
      <c r="H21" s="880"/>
      <c r="I21" s="880"/>
      <c r="J21" s="880"/>
      <c r="K21" s="880"/>
      <c r="L21" s="880"/>
      <c r="M21" s="880"/>
      <c r="N21" s="881"/>
    </row>
    <row r="22" spans="1:18">
      <c r="A22" s="257"/>
      <c r="B22" s="258"/>
      <c r="C22" s="43"/>
      <c r="D22" s="43"/>
      <c r="E22" s="43"/>
      <c r="F22" s="43"/>
      <c r="G22" s="43"/>
      <c r="H22" s="43"/>
      <c r="I22" s="43"/>
      <c r="J22" s="43"/>
      <c r="K22" s="43"/>
      <c r="L22" s="43"/>
      <c r="M22" s="43"/>
      <c r="N22" s="172"/>
    </row>
    <row r="23" spans="1:18">
      <c r="A23" s="264" t="s">
        <v>297</v>
      </c>
      <c r="B23" s="882" t="s">
        <v>298</v>
      </c>
      <c r="C23" s="882" t="s">
        <v>761</v>
      </c>
      <c r="D23" s="882" t="s">
        <v>762</v>
      </c>
      <c r="E23" s="882" t="s">
        <v>763</v>
      </c>
      <c r="F23" s="882" t="s">
        <v>710</v>
      </c>
      <c r="G23" s="882" t="s">
        <v>764</v>
      </c>
      <c r="H23" s="882" t="s">
        <v>765</v>
      </c>
      <c r="I23" s="882" t="s">
        <v>112</v>
      </c>
      <c r="J23" s="882" t="s">
        <v>766</v>
      </c>
      <c r="K23" s="882" t="s">
        <v>767</v>
      </c>
      <c r="L23" s="883" t="s">
        <v>768</v>
      </c>
      <c r="M23" s="129" t="s">
        <v>175</v>
      </c>
      <c r="N23" s="265" t="s">
        <v>305</v>
      </c>
    </row>
    <row r="24" spans="1:18" ht="17.45" customHeight="1">
      <c r="A24" s="32" t="s">
        <v>752</v>
      </c>
      <c r="B24" s="1035">
        <v>4.6585499895989961E-5</v>
      </c>
      <c r="C24" s="1035">
        <v>0.79549116577921042</v>
      </c>
      <c r="D24" s="1035"/>
      <c r="E24" s="1035"/>
      <c r="F24" s="1035"/>
      <c r="G24" s="1035">
        <v>5.7924267107386004E-5</v>
      </c>
      <c r="H24" s="1035"/>
      <c r="I24" s="1035">
        <v>5.4870872115575552E-3</v>
      </c>
      <c r="J24" s="1035">
        <v>0.19791084115735974</v>
      </c>
      <c r="K24" s="1035">
        <v>1.0063960848689395E-3</v>
      </c>
      <c r="L24" s="1035"/>
      <c r="M24" s="1026" t="s">
        <v>948</v>
      </c>
      <c r="N24" s="267">
        <f>SUM(B24:L24)</f>
        <v>1</v>
      </c>
    </row>
    <row r="25" spans="1:18">
      <c r="A25" s="32" t="s">
        <v>754</v>
      </c>
      <c r="B25" s="1035"/>
      <c r="C25" s="1035">
        <v>0.99995353659663455</v>
      </c>
      <c r="D25" s="1035"/>
      <c r="E25" s="1035"/>
      <c r="F25" s="1035"/>
      <c r="G25" s="1035">
        <v>4.6585039730733677E-6</v>
      </c>
      <c r="H25" s="1035"/>
      <c r="I25" s="1035"/>
      <c r="J25" s="1035">
        <v>4.180489939244036E-5</v>
      </c>
      <c r="K25" s="1035"/>
      <c r="L25" s="1035"/>
      <c r="M25" s="1041" t="s">
        <v>948</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495</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7" t="s">
        <v>195</v>
      </c>
      <c r="B30" s="271" t="s">
        <v>306</v>
      </c>
      <c r="C30" s="868">
        <v>2011</v>
      </c>
      <c r="D30" s="271" t="s">
        <v>307</v>
      </c>
      <c r="E30" s="240" t="s">
        <v>175</v>
      </c>
      <c r="F30" s="268"/>
      <c r="G30" s="240"/>
      <c r="H30" s="240"/>
      <c r="I30" s="240"/>
      <c r="J30" s="240"/>
      <c r="K30" s="240"/>
      <c r="L30" s="269"/>
    </row>
    <row r="31" spans="1:18">
      <c r="A31" s="272" t="s">
        <v>308</v>
      </c>
      <c r="B31" s="273"/>
      <c r="F31" s="53"/>
      <c r="G31" s="43"/>
      <c r="H31" s="43"/>
      <c r="I31" s="43"/>
      <c r="J31" s="43"/>
      <c r="K31" s="43"/>
      <c r="L31" s="172"/>
    </row>
    <row r="32" spans="1:18">
      <c r="A32" s="274" t="s">
        <v>309</v>
      </c>
      <c r="B32" s="275"/>
      <c r="F32" s="53"/>
      <c r="G32" s="43"/>
      <c r="H32" s="43"/>
      <c r="I32" s="43"/>
      <c r="J32" s="43"/>
      <c r="K32" s="43"/>
      <c r="L32" s="172"/>
    </row>
    <row r="33" spans="1:16">
      <c r="A33" s="274" t="s">
        <v>310</v>
      </c>
      <c r="B33" s="276"/>
      <c r="F33" s="53"/>
      <c r="G33" s="43"/>
      <c r="H33" s="43"/>
      <c r="I33" s="43"/>
      <c r="J33" s="43"/>
      <c r="K33" s="43"/>
      <c r="L33" s="172"/>
    </row>
    <row r="34" spans="1:16">
      <c r="A34" s="274" t="s">
        <v>311</v>
      </c>
      <c r="B34" s="276"/>
      <c r="F34" s="53"/>
      <c r="G34" s="43"/>
      <c r="H34" s="43"/>
      <c r="I34" s="43"/>
      <c r="J34" s="43"/>
      <c r="K34" s="43"/>
      <c r="L34" s="172"/>
    </row>
    <row r="35" spans="1:16">
      <c r="A35" s="274" t="s">
        <v>312</v>
      </c>
      <c r="B35" s="276"/>
      <c r="C35" s="278">
        <v>4.1300000000000003E-2</v>
      </c>
      <c r="D35" s="58"/>
      <c r="E35" s="1028" t="s">
        <v>956</v>
      </c>
      <c r="F35" s="53"/>
      <c r="G35" s="43"/>
      <c r="H35" s="43"/>
      <c r="I35" s="43"/>
      <c r="J35" s="43"/>
      <c r="K35" s="43"/>
      <c r="L35" s="172"/>
    </row>
    <row r="36" spans="1:16">
      <c r="A36" s="259"/>
      <c r="B36" s="43"/>
      <c r="C36" s="43"/>
      <c r="D36" s="43"/>
      <c r="E36" s="156"/>
      <c r="F36" s="53"/>
      <c r="G36" s="43"/>
      <c r="H36" s="43"/>
      <c r="I36" s="43"/>
      <c r="J36" s="43"/>
      <c r="K36" s="43"/>
      <c r="L36" s="172"/>
    </row>
    <row r="37" spans="1:16">
      <c r="A37" s="417" t="s">
        <v>113</v>
      </c>
      <c r="B37" s="271" t="s">
        <v>306</v>
      </c>
      <c r="C37" s="868">
        <v>2011</v>
      </c>
      <c r="D37" s="271" t="s">
        <v>307</v>
      </c>
      <c r="E37" s="877" t="s">
        <v>175</v>
      </c>
      <c r="F37" s="281"/>
      <c r="G37" s="264"/>
      <c r="H37" s="264"/>
      <c r="I37" s="264"/>
      <c r="J37" s="264"/>
      <c r="K37" s="264"/>
      <c r="L37" s="265"/>
    </row>
    <row r="38" spans="1:16">
      <c r="A38" s="274" t="s">
        <v>313</v>
      </c>
      <c r="B38" s="275"/>
      <c r="F38" s="277"/>
      <c r="G38" s="58"/>
      <c r="H38" s="58"/>
      <c r="I38" s="58"/>
      <c r="J38" s="58"/>
      <c r="K38" s="58"/>
      <c r="L38" s="279"/>
    </row>
    <row r="39" spans="1:16">
      <c r="A39" s="274" t="s">
        <v>314</v>
      </c>
      <c r="B39" s="275"/>
      <c r="F39" s="277"/>
      <c r="G39" s="58"/>
      <c r="H39" s="58"/>
      <c r="I39" s="58"/>
      <c r="J39" s="58"/>
      <c r="K39" s="58"/>
      <c r="L39" s="279"/>
    </row>
    <row r="40" spans="1:16">
      <c r="A40" s="274" t="s">
        <v>310</v>
      </c>
      <c r="B40" s="276"/>
      <c r="F40" s="58"/>
      <c r="G40" s="58"/>
      <c r="H40" s="58"/>
      <c r="I40" s="58"/>
      <c r="J40" s="58"/>
      <c r="K40" s="58"/>
      <c r="L40" s="279"/>
    </row>
    <row r="41" spans="1:16">
      <c r="A41" s="274" t="s">
        <v>315</v>
      </c>
      <c r="B41" s="276"/>
      <c r="F41" s="58"/>
      <c r="G41" s="58"/>
      <c r="H41" s="58"/>
      <c r="I41" s="58"/>
      <c r="J41" s="58"/>
      <c r="K41" s="58"/>
      <c r="L41" s="279"/>
    </row>
    <row r="42" spans="1:16">
      <c r="A42" s="274" t="s">
        <v>312</v>
      </c>
      <c r="B42" s="276"/>
      <c r="C42" s="278">
        <v>4.3999999999999997E-2</v>
      </c>
      <c r="D42" s="277"/>
      <c r="E42" t="str">
        <f>E35</f>
        <v>Data VMM 2020</v>
      </c>
      <c r="F42" s="58"/>
      <c r="G42" s="280"/>
      <c r="H42" s="58"/>
      <c r="I42" s="58"/>
      <c r="J42" s="58"/>
      <c r="K42" s="58"/>
      <c r="L42" s="279"/>
    </row>
    <row r="43" spans="1:16">
      <c r="A43" s="4"/>
      <c r="B43" s="176"/>
      <c r="C43" s="867"/>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198" t="s">
        <v>493</v>
      </c>
      <c r="B46" s="1199" t="s">
        <v>540</v>
      </c>
      <c r="C46" s="1200"/>
      <c r="D46" s="1200"/>
      <c r="E46" s="1200"/>
      <c r="F46" s="1200"/>
      <c r="G46" s="1200"/>
      <c r="H46" s="1200"/>
      <c r="I46" s="1200"/>
      <c r="J46" s="1200"/>
      <c r="K46" s="1200"/>
      <c r="L46" s="1200"/>
      <c r="M46" s="1200"/>
      <c r="N46" s="1200"/>
      <c r="O46" s="1200"/>
      <c r="P46" s="1200"/>
    </row>
    <row r="47" spans="1:16" s="15" customFormat="1" ht="15.75" thickTop="1">
      <c r="A47" s="1198"/>
      <c r="B47" s="1201" t="s">
        <v>20</v>
      </c>
      <c r="C47" s="1201" t="s">
        <v>189</v>
      </c>
      <c r="D47" s="1203" t="s">
        <v>190</v>
      </c>
      <c r="E47" s="1204"/>
      <c r="F47" s="1204"/>
      <c r="G47" s="1204"/>
      <c r="H47" s="1204"/>
      <c r="I47" s="1204"/>
      <c r="J47" s="1204"/>
      <c r="K47" s="1205"/>
      <c r="L47" s="1203" t="s">
        <v>191</v>
      </c>
      <c r="M47" s="1204"/>
      <c r="N47" s="1204"/>
      <c r="O47" s="1204"/>
      <c r="P47" s="1205"/>
    </row>
    <row r="48" spans="1:16" s="15" customFormat="1" ht="45">
      <c r="A48" s="1198"/>
      <c r="B48" s="1202"/>
      <c r="C48" s="120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9.7860305921281222E-6</v>
      </c>
      <c r="C50" s="315">
        <f t="shared" ref="C50:P50" si="2">SUM(C51:C52)</f>
        <v>0</v>
      </c>
      <c r="D50" s="315">
        <f t="shared" si="2"/>
        <v>0</v>
      </c>
      <c r="E50" s="315">
        <f t="shared" si="2"/>
        <v>0</v>
      </c>
      <c r="F50" s="315">
        <f t="shared" si="2"/>
        <v>0</v>
      </c>
      <c r="G50" s="315">
        <f t="shared" si="2"/>
        <v>2.1229810866012005E-3</v>
      </c>
      <c r="H50" s="315">
        <f t="shared" si="2"/>
        <v>0</v>
      </c>
      <c r="I50" s="315">
        <f t="shared" si="2"/>
        <v>0</v>
      </c>
      <c r="J50" s="315">
        <f t="shared" si="2"/>
        <v>0</v>
      </c>
      <c r="K50" s="315">
        <f t="shared" si="2"/>
        <v>0</v>
      </c>
      <c r="L50" s="315">
        <f t="shared" si="2"/>
        <v>0</v>
      </c>
      <c r="M50" s="315">
        <f t="shared" si="2"/>
        <v>9.0897895229228619E-5</v>
      </c>
      <c r="N50" s="315">
        <f t="shared" si="2"/>
        <v>0</v>
      </c>
      <c r="O50" s="315">
        <f t="shared" si="2"/>
        <v>0</v>
      </c>
      <c r="P50" s="316">
        <f t="shared" si="2"/>
        <v>0</v>
      </c>
    </row>
    <row r="51" spans="1:18">
      <c r="A51" s="259"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9.7860305921281222E-6</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2.1229810866012005E-3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9.0897895229228619E-5</v>
      </c>
      <c r="N51" s="317"/>
      <c r="O51" s="317"/>
      <c r="P51" s="320"/>
    </row>
    <row r="52" spans="1:18">
      <c r="A52" s="4" t="s">
        <v>318</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2.7183418311467005</v>
      </c>
      <c r="C54" s="21">
        <f t="shared" ref="C54:P54" si="3">(C50)*10^9/3600</f>
        <v>0</v>
      </c>
      <c r="D54" s="21">
        <f t="shared" si="3"/>
        <v>0</v>
      </c>
      <c r="E54" s="21">
        <f t="shared" si="3"/>
        <v>0</v>
      </c>
      <c r="F54" s="21">
        <f t="shared" si="3"/>
        <v>0</v>
      </c>
      <c r="G54" s="21">
        <f t="shared" si="3"/>
        <v>589.71696850033345</v>
      </c>
      <c r="H54" s="21">
        <f t="shared" si="3"/>
        <v>0</v>
      </c>
      <c r="I54" s="21">
        <f t="shared" si="3"/>
        <v>0</v>
      </c>
      <c r="J54" s="21">
        <f t="shared" si="3"/>
        <v>0</v>
      </c>
      <c r="K54" s="21">
        <f t="shared" si="3"/>
        <v>0</v>
      </c>
      <c r="L54" s="21">
        <f t="shared" si="3"/>
        <v>0</v>
      </c>
      <c r="M54" s="21">
        <f t="shared" si="3"/>
        <v>25.249415341452391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0.20088318133553656</v>
      </c>
      <c r="C56" s="56">
        <f ca="1">'EF ele_warmte'!B22</f>
        <v>1.6634185171968926E-3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0.54606915499821718</v>
      </c>
      <c r="C58" s="23">
        <f t="shared" ref="C58:P58" ca="1" si="4">C54*C56</f>
        <v>0</v>
      </c>
      <c r="D58" s="23">
        <f t="shared" si="4"/>
        <v>0</v>
      </c>
      <c r="E58" s="23">
        <f t="shared" si="4"/>
        <v>0</v>
      </c>
      <c r="F58" s="23">
        <f t="shared" si="4"/>
        <v>0</v>
      </c>
      <c r="G58" s="23">
        <f t="shared" si="4"/>
        <v>157.45443058958904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554</v>
      </c>
      <c r="B61" s="261"/>
      <c r="C61" s="262"/>
    </row>
    <row r="62" spans="1:18" s="15" customFormat="1">
      <c r="A62" s="289"/>
      <c r="B62" s="285"/>
      <c r="C62" s="290"/>
    </row>
    <row r="63" spans="1:18">
      <c r="A63" s="291"/>
      <c r="B63" s="133"/>
      <c r="C63" s="292" t="s">
        <v>175</v>
      </c>
    </row>
    <row r="64" spans="1:18">
      <c r="A64" s="283" t="s">
        <v>195</v>
      </c>
      <c r="B64" s="286">
        <f>100%-B65</f>
        <v>0.98</v>
      </c>
      <c r="C64" s="172"/>
    </row>
    <row r="65" spans="1:12">
      <c r="A65" s="283" t="s">
        <v>935</v>
      </c>
      <c r="B65" s="1034">
        <v>0.02</v>
      </c>
      <c r="C65" s="172" t="s">
        <v>632</v>
      </c>
    </row>
    <row r="66" spans="1:12" s="15" customFormat="1">
      <c r="A66" s="284"/>
      <c r="B66" s="266"/>
      <c r="C66" s="230"/>
    </row>
    <row r="67" spans="1:12">
      <c r="A67" s="287" t="s">
        <v>305</v>
      </c>
      <c r="B67" s="288">
        <f>SUM(B64:B65)</f>
        <v>1</v>
      </c>
      <c r="C67" s="174"/>
    </row>
    <row r="70" spans="1:12">
      <c r="A70" s="260" t="s">
        <v>495</v>
      </c>
      <c r="B70" s="261"/>
      <c r="C70" s="261"/>
      <c r="D70" s="261"/>
      <c r="E70" s="261"/>
      <c r="F70" s="261"/>
      <c r="G70" s="261"/>
      <c r="H70" s="261"/>
      <c r="I70" s="261"/>
      <c r="J70" s="261"/>
      <c r="K70" s="261"/>
      <c r="L70" s="262"/>
    </row>
    <row r="71" spans="1:12">
      <c r="A71" s="415" t="s">
        <v>555</v>
      </c>
    </row>
    <row r="72" spans="1:12">
      <c r="A72" s="259"/>
      <c r="B72" s="263"/>
      <c r="C72" s="263"/>
      <c r="D72" s="263"/>
      <c r="E72" s="263"/>
    </row>
    <row r="73" spans="1:12">
      <c r="A73" s="270"/>
      <c r="B73" s="271" t="s">
        <v>306</v>
      </c>
      <c r="C73" s="868">
        <v>2011</v>
      </c>
      <c r="D73" s="271" t="s">
        <v>307</v>
      </c>
      <c r="E73" s="240"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4.1300000000000003E-2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2"/>
  <sheetViews>
    <sheetView showGridLines="0" zoomScale="65" zoomScaleNormal="65" workbookViewId="0">
      <selection activeCell="A28" sqref="A28:XFD30"/>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24" t="s">
        <v>230</v>
      </c>
      <c r="B1" s="1227" t="s">
        <v>231</v>
      </c>
      <c r="C1" s="1237" t="s">
        <v>232</v>
      </c>
      <c r="D1" s="1238"/>
      <c r="E1" s="1238"/>
      <c r="F1" s="1238"/>
      <c r="G1" s="1238"/>
      <c r="H1" s="1238"/>
      <c r="I1" s="1238"/>
      <c r="J1" s="1238"/>
      <c r="K1" s="1238"/>
      <c r="L1" s="1238"/>
      <c r="M1" s="1238"/>
      <c r="N1" s="1239"/>
      <c r="O1" s="1229" t="s">
        <v>233</v>
      </c>
      <c r="P1" s="1227" t="s">
        <v>542</v>
      </c>
      <c r="Q1" s="1229"/>
      <c r="S1" s="1223"/>
      <c r="T1" s="1223"/>
      <c r="U1" s="1223"/>
    </row>
    <row r="2" spans="1:21" s="532" customFormat="1" ht="15.75" thickBot="1">
      <c r="A2" s="1225"/>
      <c r="B2" s="1225"/>
      <c r="C2" s="1232" t="s">
        <v>190</v>
      </c>
      <c r="D2" s="1233"/>
      <c r="E2" s="1233"/>
      <c r="F2" s="1233"/>
      <c r="G2" s="1234"/>
      <c r="H2" s="1235" t="s">
        <v>234</v>
      </c>
      <c r="I2" s="1221" t="s">
        <v>235</v>
      </c>
      <c r="J2" s="1221" t="s">
        <v>223</v>
      </c>
      <c r="K2" s="1221" t="s">
        <v>236</v>
      </c>
      <c r="L2" s="1221" t="s">
        <v>120</v>
      </c>
      <c r="M2" s="1221" t="s">
        <v>885</v>
      </c>
      <c r="N2" s="1240" t="s">
        <v>886</v>
      </c>
      <c r="O2" s="1230"/>
      <c r="P2" s="1242"/>
      <c r="Q2" s="1230"/>
      <c r="S2" s="1223"/>
      <c r="T2" s="1223"/>
      <c r="U2" s="1223"/>
    </row>
    <row r="3" spans="1:21" s="532" customFormat="1" ht="53.45" customHeight="1" thickBot="1">
      <c r="A3" s="1226"/>
      <c r="B3" s="1228"/>
      <c r="C3" s="533" t="s">
        <v>192</v>
      </c>
      <c r="D3" s="999" t="s">
        <v>193</v>
      </c>
      <c r="E3" s="534" t="s">
        <v>194</v>
      </c>
      <c r="F3" s="535" t="s">
        <v>196</v>
      </c>
      <c r="G3" s="536" t="s">
        <v>197</v>
      </c>
      <c r="H3" s="1236"/>
      <c r="I3" s="1222"/>
      <c r="J3" s="1222"/>
      <c r="K3" s="1222"/>
      <c r="L3" s="1222"/>
      <c r="M3" s="1222"/>
      <c r="N3" s="1241"/>
      <c r="O3" s="1231"/>
      <c r="P3" s="1228"/>
      <c r="Q3" s="1231"/>
      <c r="S3" s="1223"/>
      <c r="T3" s="1223"/>
      <c r="U3" s="1223"/>
    </row>
    <row r="4" spans="1:21" s="532" customFormat="1" ht="15.75" thickTop="1">
      <c r="A4" s="537" t="s">
        <v>238</v>
      </c>
      <c r="B4" s="538">
        <f>IF(ISERROR(kWh_wind_land),0,kWh_wind_land)</f>
        <v>0</v>
      </c>
      <c r="C4" s="1209"/>
      <c r="D4" s="1212"/>
      <c r="E4" s="1212"/>
      <c r="F4" s="1215"/>
      <c r="G4" s="1218"/>
      <c r="H4" s="1206"/>
      <c r="I4" s="1212"/>
      <c r="J4" s="1212"/>
      <c r="K4" s="1212"/>
      <c r="L4" s="1212"/>
      <c r="M4" s="1212"/>
      <c r="N4" s="961"/>
      <c r="O4" s="539"/>
      <c r="P4" s="1251"/>
      <c r="Q4" s="1252"/>
      <c r="S4" s="996"/>
      <c r="T4" s="1250"/>
      <c r="U4" s="1250"/>
    </row>
    <row r="5" spans="1:21" s="532" customFormat="1">
      <c r="A5" s="540" t="s">
        <v>239</v>
      </c>
      <c r="B5" s="538">
        <f>IF(ISERROR(kWh_waterkracht),0,kWh_waterkracht)</f>
        <v>0</v>
      </c>
      <c r="C5" s="1210"/>
      <c r="D5" s="1213"/>
      <c r="E5" s="1213"/>
      <c r="F5" s="1216"/>
      <c r="G5" s="1219"/>
      <c r="H5" s="1207"/>
      <c r="I5" s="1213"/>
      <c r="J5" s="1213"/>
      <c r="K5" s="1213"/>
      <c r="L5" s="1213"/>
      <c r="M5" s="1213"/>
      <c r="N5" s="961"/>
      <c r="O5" s="541"/>
      <c r="P5" s="1253"/>
      <c r="Q5" s="1254"/>
      <c r="S5" s="996"/>
      <c r="T5" s="1250"/>
      <c r="U5" s="1250"/>
    </row>
    <row r="6" spans="1:21" s="532" customFormat="1">
      <c r="A6" s="540" t="s">
        <v>240</v>
      </c>
      <c r="B6" s="538">
        <f>IF(ISERROR((kWh_PV_kleiner_dan_10kW+kWh_PV_groter_dan_10kW)),0,(kWh_PV_kleiner_dan_10kW+kWh_PV_groter_dan_10kW))</f>
        <v>4139.6103695947686</v>
      </c>
      <c r="C6" s="1210"/>
      <c r="D6" s="1213"/>
      <c r="E6" s="1213"/>
      <c r="F6" s="1216"/>
      <c r="G6" s="1219"/>
      <c r="H6" s="1207"/>
      <c r="I6" s="1213"/>
      <c r="J6" s="1213"/>
      <c r="K6" s="1213"/>
      <c r="L6" s="1213"/>
      <c r="M6" s="1213"/>
      <c r="N6" s="961"/>
      <c r="O6" s="541"/>
      <c r="P6" s="1253"/>
      <c r="Q6" s="1254"/>
      <c r="S6" s="996"/>
      <c r="T6" s="1250"/>
      <c r="U6" s="1250"/>
    </row>
    <row r="7" spans="1:21" s="532" customFormat="1">
      <c r="A7" s="540" t="s">
        <v>884</v>
      </c>
      <c r="B7" s="538"/>
      <c r="C7" s="1211"/>
      <c r="D7" s="1214"/>
      <c r="E7" s="1214"/>
      <c r="F7" s="1217"/>
      <c r="G7" s="1220"/>
      <c r="H7" s="1208"/>
      <c r="I7" s="1214"/>
      <c r="J7" s="1214"/>
      <c r="K7" s="1214"/>
      <c r="L7" s="1214"/>
      <c r="M7" s="1214"/>
      <c r="N7" s="962"/>
      <c r="O7" s="541"/>
      <c r="P7" s="997"/>
      <c r="Q7" s="998"/>
      <c r="S7" s="996"/>
      <c r="T7" s="996"/>
      <c r="U7" s="996"/>
    </row>
    <row r="8" spans="1:21" s="532" customFormat="1">
      <c r="A8" s="542" t="s">
        <v>241</v>
      </c>
      <c r="B8" s="543">
        <f>N30</f>
        <v>4821.75</v>
      </c>
      <c r="C8" s="544">
        <f>B49</f>
        <v>39.705882352941174</v>
      </c>
      <c r="D8" s="963"/>
      <c r="E8" s="963">
        <f>E49</f>
        <v>0</v>
      </c>
      <c r="F8" s="964"/>
      <c r="G8" s="545"/>
      <c r="H8" s="963">
        <f>I49</f>
        <v>0</v>
      </c>
      <c r="I8" s="963">
        <f>G49+F49</f>
        <v>0</v>
      </c>
      <c r="J8" s="963">
        <f>H49+D49+C49</f>
        <v>5632.9411764705883</v>
      </c>
      <c r="K8" s="963"/>
      <c r="L8" s="963"/>
      <c r="M8" s="963"/>
      <c r="N8" s="546"/>
      <c r="O8" s="547">
        <f>C8*$C$12+D8*$D$12+E8*$E$12+F8*$F$12+G8*$G$12+H8*$H$12+I8*$I$12+J8*$J$12</f>
        <v>8.0205882352941185</v>
      </c>
      <c r="P8" s="1253"/>
      <c r="Q8" s="1254"/>
      <c r="S8" s="996"/>
      <c r="T8" s="1250"/>
      <c r="U8" s="1250"/>
    </row>
    <row r="9" spans="1:21" s="532" customFormat="1" ht="17.45" customHeight="1" thickBot="1">
      <c r="A9" s="548" t="s">
        <v>237</v>
      </c>
      <c r="B9" s="1000">
        <f>N37+'Eigen informatie GS &amp; warmtenet'!B12</f>
        <v>0</v>
      </c>
      <c r="C9" s="549">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57"/>
      <c r="O9" s="547">
        <f>C9*$C$12+D9*$D$12+E9*$E$12+F9*$F$12+G9*$G$12+H9*$H$12+I9*$I$12+J9*$J$12</f>
        <v>0</v>
      </c>
      <c r="P9" s="1255"/>
      <c r="Q9" s="1256"/>
      <c r="R9" s="553"/>
      <c r="S9" s="996"/>
      <c r="T9" s="1250"/>
      <c r="U9" s="1250"/>
    </row>
    <row r="10" spans="1:21" s="532" customFormat="1" ht="16.5" thickTop="1" thickBot="1">
      <c r="A10" s="554" t="s">
        <v>109</v>
      </c>
      <c r="B10" s="555">
        <f>SUM(B4:B9)</f>
        <v>8961.3603695947677</v>
      </c>
      <c r="C10" s="556">
        <f t="shared" ref="C10:L10" si="0">SUM(C8:C9)</f>
        <v>39.705882352941174</v>
      </c>
      <c r="D10" s="556">
        <f t="shared" si="0"/>
        <v>0</v>
      </c>
      <c r="E10" s="556">
        <f t="shared" si="0"/>
        <v>0</v>
      </c>
      <c r="F10" s="556">
        <f t="shared" si="0"/>
        <v>0</v>
      </c>
      <c r="G10" s="556">
        <f t="shared" si="0"/>
        <v>0</v>
      </c>
      <c r="H10" s="556">
        <f t="shared" si="0"/>
        <v>0</v>
      </c>
      <c r="I10" s="556">
        <f t="shared" si="0"/>
        <v>0</v>
      </c>
      <c r="J10" s="556">
        <f t="shared" si="0"/>
        <v>5632.9411764705883</v>
      </c>
      <c r="K10" s="556">
        <f t="shared" si="0"/>
        <v>0</v>
      </c>
      <c r="L10" s="556">
        <f t="shared" si="0"/>
        <v>0</v>
      </c>
      <c r="M10" s="958"/>
      <c r="N10" s="958"/>
      <c r="O10" s="557">
        <f>SUM(O4:O9)</f>
        <v>8.0205882352941185</v>
      </c>
      <c r="P10" s="558"/>
      <c r="R10" s="994"/>
      <c r="S10" s="996"/>
      <c r="T10" s="994"/>
      <c r="U10" s="994"/>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1001" t="s">
        <v>279</v>
      </c>
      <c r="B12" s="1002"/>
      <c r="C12" s="1002">
        <f>EF_CO2_aardgas</f>
        <v>0.20200000000000001</v>
      </c>
      <c r="D12" s="1002">
        <f>EF_VLgas_CO2</f>
        <v>0.22700000000000001</v>
      </c>
      <c r="E12" s="1002">
        <f>EF_stookolie_CO2</f>
        <v>0.26700000000000002</v>
      </c>
      <c r="F12" s="1002">
        <f>EF_bruinkool_CO2</f>
        <v>0.35099999999999998</v>
      </c>
      <c r="G12" s="1002">
        <f>EF_steenkool_CO2</f>
        <v>0.35399999999999998</v>
      </c>
      <c r="H12" s="1002">
        <f>'EF brandstof'!M4</f>
        <v>0.33</v>
      </c>
      <c r="I12" s="1002">
        <f>'EF brandstof'!J4</f>
        <v>0</v>
      </c>
      <c r="J12" s="1002">
        <f>'EF brandstof'!L4</f>
        <v>0</v>
      </c>
      <c r="K12" s="1002">
        <f>'EF brandstof'!L4</f>
        <v>0</v>
      </c>
      <c r="L12" s="1002"/>
      <c r="M12" s="1002"/>
      <c r="N12" s="1002"/>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24" t="s">
        <v>242</v>
      </c>
      <c r="B14" s="1224" t="s">
        <v>243</v>
      </c>
      <c r="C14" s="1247" t="s">
        <v>244</v>
      </c>
      <c r="D14" s="1248"/>
      <c r="E14" s="1248"/>
      <c r="F14" s="1248"/>
      <c r="G14" s="1248"/>
      <c r="H14" s="1248"/>
      <c r="I14" s="1248"/>
      <c r="J14" s="1248"/>
      <c r="K14" s="1248"/>
      <c r="L14" s="1248"/>
      <c r="M14" s="1248"/>
      <c r="N14" s="1249"/>
      <c r="O14" s="1229" t="s">
        <v>233</v>
      </c>
      <c r="P14" s="1227" t="s">
        <v>245</v>
      </c>
      <c r="Q14" s="1229"/>
      <c r="R14" s="1223"/>
      <c r="S14" s="1223"/>
      <c r="T14" s="1223"/>
    </row>
    <row r="15" spans="1:21" s="532" customFormat="1" ht="15.75" customHeight="1" thickBot="1">
      <c r="A15" s="1225"/>
      <c r="B15" s="1225"/>
      <c r="C15" s="1243" t="s">
        <v>190</v>
      </c>
      <c r="D15" s="1244"/>
      <c r="E15" s="1244"/>
      <c r="F15" s="1244"/>
      <c r="G15" s="1245"/>
      <c r="H15" s="1246" t="s">
        <v>234</v>
      </c>
      <c r="I15" s="1246" t="s">
        <v>235</v>
      </c>
      <c r="J15" s="1246" t="s">
        <v>223</v>
      </c>
      <c r="K15" s="1246" t="s">
        <v>246</v>
      </c>
      <c r="L15" s="1246" t="s">
        <v>120</v>
      </c>
      <c r="M15" s="1246" t="s">
        <v>885</v>
      </c>
      <c r="N15" s="1240" t="s">
        <v>886</v>
      </c>
      <c r="O15" s="1230"/>
      <c r="P15" s="1242"/>
      <c r="Q15" s="1230"/>
      <c r="R15" s="1223"/>
      <c r="S15" s="1223"/>
      <c r="T15" s="1223"/>
    </row>
    <row r="16" spans="1:21" s="532" customFormat="1" ht="40.700000000000003" customHeight="1" thickBot="1">
      <c r="A16" s="1226"/>
      <c r="B16" s="1226"/>
      <c r="C16" s="564" t="s">
        <v>192</v>
      </c>
      <c r="D16" s="999" t="s">
        <v>193</v>
      </c>
      <c r="E16" s="956" t="s">
        <v>194</v>
      </c>
      <c r="F16" s="999" t="s">
        <v>196</v>
      </c>
      <c r="G16" s="565" t="s">
        <v>197</v>
      </c>
      <c r="H16" s="1236"/>
      <c r="I16" s="1236"/>
      <c r="J16" s="1236"/>
      <c r="K16" s="1236"/>
      <c r="L16" s="1236"/>
      <c r="M16" s="1236"/>
      <c r="N16" s="1241"/>
      <c r="O16" s="1231"/>
      <c r="P16" s="1228"/>
      <c r="Q16" s="1231"/>
      <c r="R16" s="1223"/>
      <c r="S16" s="1223"/>
      <c r="T16" s="1223"/>
    </row>
    <row r="17" spans="1:26" s="532" customFormat="1" ht="15.75" thickTop="1">
      <c r="A17" s="566" t="s">
        <v>241</v>
      </c>
      <c r="B17" s="567">
        <f>O30</f>
        <v>6888.2142857142853</v>
      </c>
      <c r="C17" s="568">
        <f>B50</f>
        <v>56.722689075630242</v>
      </c>
      <c r="D17" s="569"/>
      <c r="E17" s="569">
        <f>E50</f>
        <v>0</v>
      </c>
      <c r="F17" s="570"/>
      <c r="G17" s="571"/>
      <c r="H17" s="568">
        <f>I50</f>
        <v>0</v>
      </c>
      <c r="I17" s="569">
        <f>G50+F50</f>
        <v>0</v>
      </c>
      <c r="J17" s="569">
        <f>H50+D50+C50</f>
        <v>8047.0588235294108</v>
      </c>
      <c r="K17" s="569"/>
      <c r="L17" s="569"/>
      <c r="M17" s="569"/>
      <c r="N17" s="959"/>
      <c r="O17" s="572">
        <f>C17*$C$22+E17*$E$22+H17*$H$22+I17*$I$22+J17*$J$22+D17*$D$22+F17*$F$22+G17*$G$22+K17*$K$22+L17*$L$22</f>
        <v>11.457983193277309</v>
      </c>
      <c r="P17" s="1260"/>
      <c r="Q17" s="1261"/>
      <c r="R17" s="995"/>
      <c r="S17" s="1262"/>
      <c r="T17" s="1262"/>
    </row>
    <row r="18" spans="1:26" s="532" customFormat="1">
      <c r="A18" s="573" t="s">
        <v>247</v>
      </c>
      <c r="B18" s="574">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2">
        <f>C18*$C$22+E18*$E$22+H18*$H$22+I18*$I$22+J18*$J$22+D18*$D$22+F18*$F$22+G18*$G$22+K18*$K$22+L18*$L$22</f>
        <v>0</v>
      </c>
      <c r="P18" s="1263"/>
      <c r="Q18" s="1264"/>
      <c r="R18" s="996"/>
      <c r="S18" s="1250"/>
      <c r="T18" s="1250"/>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60"/>
      <c r="O19" s="572">
        <f>C19*$C$22+E19*$E$22+H19*$H$22+I19*$I$22+J19*$J$22+D19*$D$22+F19*$F$22+G19*$G$22+K19*$K$22+L19*$L$22</f>
        <v>0</v>
      </c>
      <c r="P19" s="1265"/>
      <c r="Q19" s="1266"/>
      <c r="R19" s="996"/>
      <c r="S19" s="1250"/>
      <c r="T19" s="1250"/>
    </row>
    <row r="20" spans="1:26" s="532" customFormat="1" ht="16.5" thickTop="1" thickBot="1">
      <c r="A20" s="554" t="s">
        <v>109</v>
      </c>
      <c r="B20" s="555">
        <f>SUM(B17:B19)</f>
        <v>6888.2142857142853</v>
      </c>
      <c r="C20" s="555">
        <f>SUM(C17:C19)</f>
        <v>56.722689075630242</v>
      </c>
      <c r="D20" s="555">
        <f t="shared" ref="D20:L20" si="1">SUM(D17:D19)</f>
        <v>0</v>
      </c>
      <c r="E20" s="555">
        <f t="shared" si="1"/>
        <v>0</v>
      </c>
      <c r="F20" s="555">
        <f t="shared" si="1"/>
        <v>0</v>
      </c>
      <c r="G20" s="555">
        <f t="shared" si="1"/>
        <v>0</v>
      </c>
      <c r="H20" s="555">
        <f t="shared" si="1"/>
        <v>0</v>
      </c>
      <c r="I20" s="555">
        <f t="shared" si="1"/>
        <v>0</v>
      </c>
      <c r="J20" s="555">
        <f t="shared" si="1"/>
        <v>8047.0588235294108</v>
      </c>
      <c r="K20" s="555">
        <f t="shared" si="1"/>
        <v>0</v>
      </c>
      <c r="L20" s="555">
        <f t="shared" si="1"/>
        <v>0</v>
      </c>
      <c r="M20" s="555"/>
      <c r="N20" s="555"/>
      <c r="O20" s="576">
        <f>SUM(O17:O19)</f>
        <v>11.457983193277309</v>
      </c>
      <c r="P20" s="1257"/>
      <c r="Q20" s="1258"/>
      <c r="R20" s="996"/>
      <c r="S20" s="1259"/>
      <c r="T20" s="1259"/>
    </row>
    <row r="21" spans="1:26" s="532" customFormat="1" ht="15.75" thickTop="1">
      <c r="A21" s="995"/>
      <c r="B21" s="996"/>
      <c r="C21" s="996"/>
      <c r="D21" s="996"/>
      <c r="E21" s="996"/>
      <c r="F21" s="996"/>
      <c r="G21" s="996"/>
      <c r="H21" s="996"/>
      <c r="I21" s="996"/>
      <c r="J21" s="996"/>
      <c r="K21" s="996"/>
      <c r="L21" s="996"/>
      <c r="M21" s="996"/>
      <c r="N21" s="996"/>
      <c r="O21" s="996"/>
      <c r="P21" s="994"/>
      <c r="Q21" s="994"/>
      <c r="R21" s="996"/>
      <c r="S21" s="994"/>
      <c r="T21" s="994"/>
    </row>
    <row r="22" spans="1:26" s="561" customFormat="1">
      <c r="A22" s="1001" t="s">
        <v>279</v>
      </c>
      <c r="B22" s="1002"/>
      <c r="C22" s="1002">
        <f>EF_CO2_aardgas</f>
        <v>0.20200000000000001</v>
      </c>
      <c r="D22" s="1002">
        <f>EF_VLgas_CO2</f>
        <v>0.22700000000000001</v>
      </c>
      <c r="E22" s="1002">
        <f>EF_stookolie_CO2</f>
        <v>0.26700000000000002</v>
      </c>
      <c r="F22" s="1002">
        <f>EF_bruinkool_CO2</f>
        <v>0.35099999999999998</v>
      </c>
      <c r="G22" s="1002">
        <f>EF_steenkool_CO2</f>
        <v>0.35399999999999998</v>
      </c>
      <c r="H22" s="1002">
        <f>'EF brandstof'!M4</f>
        <v>0.33</v>
      </c>
      <c r="I22" s="1002">
        <f>'EF brandstof'!J4</f>
        <v>0</v>
      </c>
      <c r="J22" s="1002">
        <f>'EF brandstof'!L4</f>
        <v>0</v>
      </c>
      <c r="K22" s="1002">
        <f>'EF brandstof'!L4</f>
        <v>0</v>
      </c>
      <c r="L22" s="1002"/>
      <c r="M22" s="1002"/>
      <c r="N22" s="1002"/>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529</v>
      </c>
      <c r="Q27" s="625" t="s">
        <v>96</v>
      </c>
      <c r="R27" s="625" t="s">
        <v>97</v>
      </c>
      <c r="S27" s="625" t="s">
        <v>98</v>
      </c>
      <c r="T27" s="625" t="s">
        <v>99</v>
      </c>
      <c r="U27" s="625" t="s">
        <v>100</v>
      </c>
      <c r="V27" s="625" t="s">
        <v>101</v>
      </c>
      <c r="W27" s="624" t="s">
        <v>102</v>
      </c>
      <c r="X27" s="624" t="s">
        <v>288</v>
      </c>
      <c r="Y27" s="624" t="s">
        <v>103</v>
      </c>
      <c r="Z27" s="626" t="s">
        <v>289</v>
      </c>
    </row>
    <row r="28" spans="1:26" s="581" customFormat="1" ht="63.75" hidden="1">
      <c r="A28" s="580"/>
      <c r="B28" s="775">
        <v>36006</v>
      </c>
      <c r="C28" s="775">
        <v>8830</v>
      </c>
      <c r="D28" s="628"/>
      <c r="E28" s="627"/>
      <c r="F28" s="627"/>
      <c r="G28" s="627" t="s">
        <v>977</v>
      </c>
      <c r="H28" s="627" t="s">
        <v>978</v>
      </c>
      <c r="I28" s="627"/>
      <c r="J28" s="774"/>
      <c r="K28" s="774"/>
      <c r="L28" s="627" t="s">
        <v>979</v>
      </c>
      <c r="M28" s="627">
        <v>18</v>
      </c>
      <c r="N28" s="627">
        <v>33.75</v>
      </c>
      <c r="O28" s="627">
        <v>48.214285714285715</v>
      </c>
      <c r="P28" s="627">
        <v>96.428571428571431</v>
      </c>
      <c r="Q28" s="627">
        <v>0</v>
      </c>
      <c r="R28" s="627">
        <v>0</v>
      </c>
      <c r="S28" s="627">
        <v>0</v>
      </c>
      <c r="T28" s="627">
        <v>0</v>
      </c>
      <c r="U28" s="627">
        <v>0</v>
      </c>
      <c r="V28" s="627">
        <v>0</v>
      </c>
      <c r="W28" s="627">
        <v>0</v>
      </c>
      <c r="X28" s="627">
        <v>1600</v>
      </c>
      <c r="Y28" s="627" t="s">
        <v>49</v>
      </c>
      <c r="Z28" s="629" t="s">
        <v>149</v>
      </c>
    </row>
    <row r="29" spans="1:26" s="581" customFormat="1" ht="63.75" hidden="1">
      <c r="A29" s="580"/>
      <c r="B29" s="775">
        <v>36006</v>
      </c>
      <c r="C29" s="775">
        <v>8830</v>
      </c>
      <c r="D29" s="628"/>
      <c r="E29" s="627"/>
      <c r="F29" s="627"/>
      <c r="G29" s="627" t="s">
        <v>977</v>
      </c>
      <c r="H29" s="627" t="s">
        <v>978</v>
      </c>
      <c r="I29" s="627"/>
      <c r="J29" s="774"/>
      <c r="K29" s="774"/>
      <c r="L29" s="627" t="s">
        <v>979</v>
      </c>
      <c r="M29" s="627">
        <v>1064</v>
      </c>
      <c r="N29" s="627">
        <v>4788</v>
      </c>
      <c r="O29" s="627">
        <v>6840</v>
      </c>
      <c r="P29" s="627">
        <v>0</v>
      </c>
      <c r="Q29" s="627">
        <v>13680</v>
      </c>
      <c r="R29" s="627">
        <v>0</v>
      </c>
      <c r="S29" s="627">
        <v>0</v>
      </c>
      <c r="T29" s="627">
        <v>0</v>
      </c>
      <c r="U29" s="627">
        <v>0</v>
      </c>
      <c r="V29" s="627">
        <v>0</v>
      </c>
      <c r="W29" s="627">
        <v>0</v>
      </c>
      <c r="X29" s="627">
        <v>1600</v>
      </c>
      <c r="Y29" s="627" t="s">
        <v>49</v>
      </c>
      <c r="Z29" s="629" t="s">
        <v>149</v>
      </c>
    </row>
    <row r="30" spans="1:26" s="563" customFormat="1" hidden="1">
      <c r="A30" s="583" t="s">
        <v>269</v>
      </c>
      <c r="B30" s="584"/>
      <c r="C30" s="584"/>
      <c r="D30" s="584"/>
      <c r="E30" s="584"/>
      <c r="F30" s="584"/>
      <c r="G30" s="584"/>
      <c r="H30" s="584"/>
      <c r="I30" s="584"/>
      <c r="J30" s="584"/>
      <c r="K30" s="584"/>
      <c r="L30" s="585"/>
      <c r="M30" s="585">
        <f>SUM(M28:M29)</f>
        <v>1082</v>
      </c>
      <c r="N30" s="585">
        <f>SUM(N28:N29)</f>
        <v>4821.75</v>
      </c>
      <c r="O30" s="585">
        <f>SUM(O28:O29)</f>
        <v>6888.2142857142853</v>
      </c>
      <c r="P30" s="585">
        <f>SUM(P28:P29)</f>
        <v>96.428571428571431</v>
      </c>
      <c r="Q30" s="585">
        <f>SUM(Q28:Q29)</f>
        <v>13680</v>
      </c>
      <c r="R30" s="585">
        <f>SUM(R28:R29)</f>
        <v>0</v>
      </c>
      <c r="S30" s="585">
        <f>SUM(S28:S29)</f>
        <v>0</v>
      </c>
      <c r="T30" s="585">
        <f>SUM(T28:T29)</f>
        <v>0</v>
      </c>
      <c r="U30" s="585">
        <f>SUM(U28:U29)</f>
        <v>0</v>
      </c>
      <c r="V30" s="585">
        <f>SUM(V28:V29)</f>
        <v>0</v>
      </c>
      <c r="W30" s="585">
        <f>SUM(W28:W29)</f>
        <v>0</v>
      </c>
      <c r="X30" s="586"/>
      <c r="Y30" s="586"/>
      <c r="Z30" s="587"/>
    </row>
    <row r="31" spans="1:26" s="563" customFormat="1">
      <c r="A31" s="583" t="s">
        <v>276</v>
      </c>
      <c r="B31" s="584"/>
      <c r="C31" s="584"/>
      <c r="D31" s="584"/>
      <c r="E31" s="584"/>
      <c r="F31" s="584"/>
      <c r="G31" s="584"/>
      <c r="H31" s="584"/>
      <c r="I31" s="584"/>
      <c r="J31" s="584"/>
      <c r="K31" s="584"/>
      <c r="L31" s="585"/>
      <c r="M31" s="585">
        <f>SUMIF($Z$28:$Z$29,"industrie",M28:M29)</f>
        <v>0</v>
      </c>
      <c r="N31" s="585">
        <f>SUMIF($Z$28:$Z$29,"industrie",N28:N29)</f>
        <v>0</v>
      </c>
      <c r="O31" s="585">
        <f>SUMIF($Z$28:$Z$29,"industrie",O28:O29)</f>
        <v>0</v>
      </c>
      <c r="P31" s="585">
        <f>SUMIF($Z$28:$Z$29,"industrie",P28:P29)</f>
        <v>0</v>
      </c>
      <c r="Q31" s="585">
        <f>SUMIF($Z$28:$Z$29,"industrie",Q28:Q29)</f>
        <v>0</v>
      </c>
      <c r="R31" s="585">
        <f>SUMIF($Z$28:$Z$29,"industrie",R28:R29)</f>
        <v>0</v>
      </c>
      <c r="S31" s="585">
        <f>SUMIF($Z$28:$Z$29,"industrie",S28:S29)</f>
        <v>0</v>
      </c>
      <c r="T31" s="585">
        <f>SUMIF($Z$28:$Z$29,"industrie",T28:T29)</f>
        <v>0</v>
      </c>
      <c r="U31" s="585">
        <f>SUMIF($Z$28:$Z$29,"industrie",U28:U29)</f>
        <v>0</v>
      </c>
      <c r="V31" s="585">
        <f>SUMIF($Z$28:$Z$29,"industrie",V28:V29)</f>
        <v>0</v>
      </c>
      <c r="W31" s="585">
        <f>SUMIF($Z$28:$Z$29,"industrie",W28:W29)</f>
        <v>0</v>
      </c>
      <c r="X31" s="586"/>
      <c r="Y31" s="586"/>
      <c r="Z31" s="587"/>
    </row>
    <row r="32" spans="1:26" s="563" customFormat="1">
      <c r="A32" s="583" t="s">
        <v>277</v>
      </c>
      <c r="B32" s="584"/>
      <c r="C32" s="584"/>
      <c r="D32" s="584"/>
      <c r="E32" s="584"/>
      <c r="F32" s="584"/>
      <c r="G32" s="584"/>
      <c r="H32" s="584"/>
      <c r="I32" s="584"/>
      <c r="J32" s="584"/>
      <c r="K32" s="584"/>
      <c r="L32" s="585"/>
      <c r="M32" s="585">
        <f ca="1">SUMIF($Z$28:AC29,"tertiair",M28:M29)</f>
        <v>1082</v>
      </c>
      <c r="N32" s="585">
        <f ca="1">SUMIF($Z$28:AD29,"tertiair",N28:N29)</f>
        <v>4821.75</v>
      </c>
      <c r="O32" s="585">
        <f ca="1">SUMIF($Z$28:AE29,"tertiair",O28:O29)</f>
        <v>6888.2142857142853</v>
      </c>
      <c r="P32" s="585">
        <f ca="1">SUMIF($Z$28:AF29,"tertiair",P28:P29)</f>
        <v>96.428571428571431</v>
      </c>
      <c r="Q32" s="585">
        <f ca="1">SUMIF($Z$28:AG29,"tertiair",Q28:Q29)</f>
        <v>13680</v>
      </c>
      <c r="R32" s="585">
        <f ca="1">SUMIF($Z$28:AH29,"tertiair",R28:R29)</f>
        <v>0</v>
      </c>
      <c r="S32" s="585">
        <f ca="1">SUMIF($Z$28:AI29,"tertiair",S28:S29)</f>
        <v>0</v>
      </c>
      <c r="T32" s="585">
        <f ca="1">SUMIF($Z$28:AJ29,"tertiair",T28:T29)</f>
        <v>0</v>
      </c>
      <c r="U32" s="585">
        <f ca="1">SUMIF($Z$28:AK29,"tertiair",U28:U29)</f>
        <v>0</v>
      </c>
      <c r="V32" s="585">
        <f ca="1">SUMIF($Z$28:AL29,"tertiair",V28:V29)</f>
        <v>0</v>
      </c>
      <c r="W32" s="585">
        <f ca="1">SUMIF($Z$28:AM29,"tertiair",W28:W29)</f>
        <v>0</v>
      </c>
      <c r="X32" s="586"/>
      <c r="Y32" s="586"/>
      <c r="Z32" s="587"/>
    </row>
    <row r="33" spans="1:27" s="563" customFormat="1" ht="15.75" thickBot="1">
      <c r="A33" s="588" t="s">
        <v>278</v>
      </c>
      <c r="B33" s="589"/>
      <c r="C33" s="589"/>
      <c r="D33" s="589"/>
      <c r="E33" s="589"/>
      <c r="F33" s="589"/>
      <c r="G33" s="589"/>
      <c r="H33" s="589"/>
      <c r="I33" s="589"/>
      <c r="J33" s="589"/>
      <c r="K33" s="589"/>
      <c r="L33" s="590"/>
      <c r="M33" s="590">
        <f>SUMIF($Z$28:$Z$29,"landbouw",M28:M29)</f>
        <v>0</v>
      </c>
      <c r="N33" s="590">
        <f>SUMIF($Z$28:$Z$29,"landbouw",N28:N29)</f>
        <v>0</v>
      </c>
      <c r="O33" s="590">
        <f>SUMIF($Z$28:$Z$29,"landbouw",O28:O29)</f>
        <v>0</v>
      </c>
      <c r="P33" s="590">
        <f>SUMIF($Z$28:$Z$29,"landbouw",P28:P29)</f>
        <v>0</v>
      </c>
      <c r="Q33" s="590">
        <f>SUMIF($Z$28:$Z$29,"landbouw",Q28:Q29)</f>
        <v>0</v>
      </c>
      <c r="R33" s="590">
        <f>SUMIF($Z$28:$Z$29,"landbouw",R28:R29)</f>
        <v>0</v>
      </c>
      <c r="S33" s="590">
        <f>SUMIF($Z$28:$Z$29,"landbouw",S28:S29)</f>
        <v>0</v>
      </c>
      <c r="T33" s="590">
        <f>SUMIF($Z$28:$Z$29,"landbouw",T28:T29)</f>
        <v>0</v>
      </c>
      <c r="U33" s="590">
        <f>SUMIF($Z$28:$Z$29,"landbouw",U28:U29)</f>
        <v>0</v>
      </c>
      <c r="V33" s="590">
        <f>SUMIF($Z$28:$Z$29,"landbouw",V28:V29)</f>
        <v>0</v>
      </c>
      <c r="W33" s="590">
        <f>SUMIF($Z$28:$Z$29,"landbouw",W28:W29)</f>
        <v>0</v>
      </c>
      <c r="X33" s="591"/>
      <c r="Y33" s="591"/>
      <c r="Z33" s="592"/>
    </row>
    <row r="34" spans="1:27" s="532" customFormat="1" ht="15.75" thickBot="1">
      <c r="A34" s="593"/>
      <c r="B34" s="594"/>
      <c r="C34" s="594"/>
      <c r="D34" s="594"/>
      <c r="E34" s="594"/>
      <c r="F34" s="594"/>
      <c r="G34" s="594"/>
      <c r="H34" s="594"/>
      <c r="I34" s="594"/>
      <c r="J34" s="594"/>
      <c r="K34" s="594"/>
      <c r="L34" s="577"/>
      <c r="M34" s="577"/>
      <c r="N34" s="577"/>
      <c r="O34" s="578"/>
      <c r="P34" s="578"/>
    </row>
    <row r="35" spans="1:27" s="532" customFormat="1" ht="45">
      <c r="A35" s="595" t="s">
        <v>270</v>
      </c>
      <c r="B35" s="624" t="s">
        <v>89</v>
      </c>
      <c r="C35" s="624" t="s">
        <v>90</v>
      </c>
      <c r="D35" s="624"/>
      <c r="E35" s="624"/>
      <c r="F35" s="624"/>
      <c r="G35" s="624" t="s">
        <v>91</v>
      </c>
      <c r="H35" s="624" t="s">
        <v>92</v>
      </c>
      <c r="I35" s="624"/>
      <c r="J35" s="624"/>
      <c r="K35" s="624"/>
      <c r="L35" s="624" t="s">
        <v>93</v>
      </c>
      <c r="M35" s="625" t="s">
        <v>287</v>
      </c>
      <c r="N35" s="625" t="s">
        <v>94</v>
      </c>
      <c r="O35" s="625" t="s">
        <v>95</v>
      </c>
      <c r="P35" s="625" t="s">
        <v>529</v>
      </c>
      <c r="Q35" s="625" t="s">
        <v>96</v>
      </c>
      <c r="R35" s="625" t="s">
        <v>97</v>
      </c>
      <c r="S35" s="625" t="s">
        <v>98</v>
      </c>
      <c r="T35" s="625" t="s">
        <v>99</v>
      </c>
      <c r="U35" s="625" t="s">
        <v>100</v>
      </c>
      <c r="V35" s="625" t="s">
        <v>101</v>
      </c>
      <c r="W35" s="624" t="s">
        <v>102</v>
      </c>
      <c r="X35" s="624" t="s">
        <v>288</v>
      </c>
      <c r="Y35" s="624" t="s">
        <v>103</v>
      </c>
      <c r="Z35" s="626" t="s">
        <v>289</v>
      </c>
    </row>
    <row r="36" spans="1:27" s="596" customFormat="1" ht="12.75" hidden="1">
      <c r="A36" s="582"/>
      <c r="B36" s="775"/>
      <c r="C36" s="775"/>
      <c r="D36" s="630"/>
      <c r="E36" s="630"/>
      <c r="F36" s="630"/>
      <c r="G36" s="630"/>
      <c r="H36" s="630"/>
      <c r="I36" s="630"/>
      <c r="J36" s="774"/>
      <c r="K36" s="774"/>
      <c r="L36" s="630"/>
      <c r="M36" s="630"/>
      <c r="N36" s="630"/>
      <c r="O36" s="630"/>
      <c r="P36" s="630"/>
      <c r="Q36" s="630"/>
      <c r="R36" s="630"/>
      <c r="S36" s="630"/>
      <c r="T36" s="630"/>
      <c r="U36" s="630"/>
      <c r="V36" s="630"/>
      <c r="W36" s="630"/>
      <c r="X36" s="630"/>
      <c r="Y36" s="630"/>
      <c r="Z36" s="631"/>
    </row>
    <row r="37" spans="1:27" s="563" customFormat="1" hidden="1">
      <c r="A37" s="583" t="s">
        <v>269</v>
      </c>
      <c r="B37" s="584"/>
      <c r="C37" s="584"/>
      <c r="D37" s="584"/>
      <c r="E37" s="584"/>
      <c r="F37" s="584"/>
      <c r="G37" s="584"/>
      <c r="H37" s="584"/>
      <c r="I37" s="584"/>
      <c r="J37" s="584"/>
      <c r="K37" s="584"/>
      <c r="L37" s="585"/>
      <c r="M37" s="585">
        <f>SUM(M36:M36)</f>
        <v>0</v>
      </c>
      <c r="N37" s="585">
        <f>SUM(N36:N36)</f>
        <v>0</v>
      </c>
      <c r="O37" s="585">
        <f>SUM(O36:O36)</f>
        <v>0</v>
      </c>
      <c r="P37" s="585">
        <f>SUM(P36:P36)</f>
        <v>0</v>
      </c>
      <c r="Q37" s="585">
        <f>SUM(Q36:Q36)</f>
        <v>0</v>
      </c>
      <c r="R37" s="585">
        <f>SUM(R36:R36)</f>
        <v>0</v>
      </c>
      <c r="S37" s="585">
        <f>SUM(S36:S36)</f>
        <v>0</v>
      </c>
      <c r="T37" s="585">
        <f>SUM(T36:T36)</f>
        <v>0</v>
      </c>
      <c r="U37" s="585">
        <f>SUM(U36:U36)</f>
        <v>0</v>
      </c>
      <c r="V37" s="585">
        <f>SUM(V36:V36)</f>
        <v>0</v>
      </c>
      <c r="W37" s="585">
        <f>SUM(W36:W36)</f>
        <v>0</v>
      </c>
      <c r="X37" s="586"/>
      <c r="Y37" s="586"/>
      <c r="Z37" s="587"/>
    </row>
    <row r="38" spans="1:27" s="563" customFormat="1">
      <c r="A38" s="583" t="s">
        <v>276</v>
      </c>
      <c r="B38" s="584"/>
      <c r="C38" s="584"/>
      <c r="D38" s="584"/>
      <c r="E38" s="584"/>
      <c r="F38" s="584"/>
      <c r="G38" s="584"/>
      <c r="H38" s="584"/>
      <c r="I38" s="584"/>
      <c r="J38" s="584"/>
      <c r="K38" s="584"/>
      <c r="L38" s="585"/>
      <c r="M38" s="585">
        <f>SUMIF($Z$36:$Z$36,"industrie",M36:M36)</f>
        <v>0</v>
      </c>
      <c r="N38" s="585">
        <f>SUMIF($Z$36:$Z$36,"industrie",N36:N36)</f>
        <v>0</v>
      </c>
      <c r="O38" s="585">
        <f>SUMIF($Z$36:$Z$36,"industrie",O36:O36)</f>
        <v>0</v>
      </c>
      <c r="P38" s="585">
        <f>SUMIF($Z$36:$Z$36,"industrie",P36:P36)</f>
        <v>0</v>
      </c>
      <c r="Q38" s="585">
        <f>SUMIF($Z$36:$Z$36,"industrie",Q36:Q36)</f>
        <v>0</v>
      </c>
      <c r="R38" s="585">
        <f>SUMIF($Z$36:$Z$36,"industrie",R36:R36)</f>
        <v>0</v>
      </c>
      <c r="S38" s="585">
        <f>SUMIF($Z$36:$Z$36,"industrie",S36:S36)</f>
        <v>0</v>
      </c>
      <c r="T38" s="585">
        <f>SUMIF($Z$36:$Z$36,"industrie",T36:T36)</f>
        <v>0</v>
      </c>
      <c r="U38" s="585">
        <f>SUMIF($Z$36:$Z$36,"industrie",U36:U36)</f>
        <v>0</v>
      </c>
      <c r="V38" s="585">
        <f>SUMIF($Z$36:$Z$36,"industrie",V36:V36)</f>
        <v>0</v>
      </c>
      <c r="W38" s="585">
        <f>SUMIF($Z$36:$Z$36,"industrie",W36:W36)</f>
        <v>0</v>
      </c>
      <c r="X38" s="586"/>
      <c r="Y38" s="586"/>
      <c r="Z38" s="587"/>
    </row>
    <row r="39" spans="1:27" s="563" customFormat="1">
      <c r="A39" s="583" t="s">
        <v>277</v>
      </c>
      <c r="B39" s="584"/>
      <c r="C39" s="584"/>
      <c r="D39" s="584"/>
      <c r="E39" s="584"/>
      <c r="F39" s="584"/>
      <c r="G39" s="584"/>
      <c r="H39" s="584"/>
      <c r="I39" s="584"/>
      <c r="J39" s="584"/>
      <c r="K39" s="584"/>
      <c r="L39" s="585"/>
      <c r="M39" s="585">
        <f>SUMIF($Z$36:$Z$37,"tertiair",M36:M37)</f>
        <v>0</v>
      </c>
      <c r="N39" s="585">
        <f>SUMIF($Z$36:$Z$37,"tertiair",N36:N37)</f>
        <v>0</v>
      </c>
      <c r="O39" s="585">
        <f>SUMIF($Z$36:$Z$37,"tertiair",O36:O37)</f>
        <v>0</v>
      </c>
      <c r="P39" s="585">
        <f>SUMIF($Z$36:$Z$37,"tertiair",P36:P37)</f>
        <v>0</v>
      </c>
      <c r="Q39" s="585">
        <f>SUMIF($Z$36:$Z$37,"tertiair",Q36:Q37)</f>
        <v>0</v>
      </c>
      <c r="R39" s="585">
        <f>SUMIF($Z$36:$Z$37,"tertiair",R36:R37)</f>
        <v>0</v>
      </c>
      <c r="S39" s="585">
        <f>SUMIF($Z$36:$Z$37,"tertiair",S36:S37)</f>
        <v>0</v>
      </c>
      <c r="T39" s="585">
        <f>SUMIF($Z$36:$Z$37,"tertiair",T36:T37)</f>
        <v>0</v>
      </c>
      <c r="U39" s="585">
        <f>SUMIF($Z$36:$Z$37,"tertiair",U36:U37)</f>
        <v>0</v>
      </c>
      <c r="V39" s="585">
        <f>SUMIF($Z$36:$Z$37,"tertiair",V36:V37)</f>
        <v>0</v>
      </c>
      <c r="W39" s="585">
        <f>SUMIF($Z$36:$Z$37,"tertiair",W36:W37)</f>
        <v>0</v>
      </c>
      <c r="X39" s="586"/>
      <c r="Y39" s="586"/>
      <c r="Z39" s="587"/>
    </row>
    <row r="40" spans="1:27" s="563" customFormat="1" ht="15.75" thickBot="1">
      <c r="A40" s="588" t="s">
        <v>278</v>
      </c>
      <c r="B40" s="589"/>
      <c r="C40" s="589"/>
      <c r="D40" s="589"/>
      <c r="E40" s="589"/>
      <c r="F40" s="589"/>
      <c r="G40" s="589"/>
      <c r="H40" s="589"/>
      <c r="I40" s="589"/>
      <c r="J40" s="589"/>
      <c r="K40" s="589"/>
      <c r="L40" s="590"/>
      <c r="M40" s="590">
        <f>SUMIF($Z$36:$Z$38,"landbouw",M36:M38)</f>
        <v>0</v>
      </c>
      <c r="N40" s="590">
        <f>SUMIF($Z$36:$Z$38,"landbouw",N36:N38)</f>
        <v>0</v>
      </c>
      <c r="O40" s="590">
        <f>SUMIF($Z$36:$Z$38,"landbouw",O36:O38)</f>
        <v>0</v>
      </c>
      <c r="P40" s="590">
        <f>SUMIF($Z$36:$Z$38,"landbouw",P36:P38)</f>
        <v>0</v>
      </c>
      <c r="Q40" s="590">
        <f>SUMIF($Z$36:$Z$38,"landbouw",Q36:Q38)</f>
        <v>0</v>
      </c>
      <c r="R40" s="590">
        <f>SUMIF($Z$36:$Z$38,"landbouw",R36:R38)</f>
        <v>0</v>
      </c>
      <c r="S40" s="590">
        <f>SUMIF($Z$36:$Z$38,"landbouw",S36:S38)</f>
        <v>0</v>
      </c>
      <c r="T40" s="590">
        <f>SUMIF($Z$36:$Z$38,"landbouw",T36:T38)</f>
        <v>0</v>
      </c>
      <c r="U40" s="590">
        <f>SUMIF($Z$36:$Z$38,"landbouw",U36:U38)</f>
        <v>0</v>
      </c>
      <c r="V40" s="590">
        <f>SUMIF($Z$36:$Z$38,"landbouw",V36:V38)</f>
        <v>0</v>
      </c>
      <c r="W40" s="590">
        <f>SUMIF($Z$36:$Z$38,"landbouw",W36:W38)</f>
        <v>0</v>
      </c>
      <c r="X40" s="591"/>
      <c r="Y40" s="591"/>
      <c r="Z40" s="592"/>
    </row>
    <row r="41" spans="1:27" s="597" customForma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row>
    <row r="42" spans="1:27" s="597" customFormat="1" ht="15.75" thickBot="1">
      <c r="A42" s="593"/>
      <c r="B42" s="577"/>
      <c r="C42" s="577"/>
      <c r="D42" s="577"/>
      <c r="E42" s="577"/>
      <c r="F42" s="577"/>
      <c r="G42" s="577"/>
      <c r="H42" s="577"/>
      <c r="I42" s="577"/>
      <c r="J42" s="577"/>
      <c r="K42" s="577"/>
      <c r="L42" s="577"/>
      <c r="M42" s="577"/>
      <c r="N42" s="577"/>
      <c r="O42" s="577"/>
      <c r="P42" s="577"/>
      <c r="Q42" s="577"/>
      <c r="R42" s="577"/>
      <c r="S42" s="577"/>
      <c r="T42" s="577"/>
      <c r="U42" s="577"/>
      <c r="V42" s="577"/>
      <c r="W42" s="577"/>
      <c r="X42" s="577"/>
      <c r="Y42" s="577"/>
      <c r="Z42" s="577"/>
      <c r="AA42" s="577"/>
    </row>
    <row r="43" spans="1:27">
      <c r="A43" s="598" t="s">
        <v>271</v>
      </c>
      <c r="B43" s="599"/>
      <c r="C43" s="599"/>
      <c r="D43" s="599"/>
      <c r="E43" s="599"/>
      <c r="F43" s="599"/>
      <c r="G43" s="599"/>
      <c r="H43" s="599"/>
      <c r="I43" s="600"/>
      <c r="J43" s="601"/>
      <c r="K43" s="601"/>
      <c r="L43" s="602"/>
      <c r="M43" s="602"/>
      <c r="N43" s="602"/>
      <c r="O43" s="602"/>
      <c r="P43" s="602"/>
    </row>
    <row r="44" spans="1:27">
      <c r="A44" s="604"/>
      <c r="B44" s="594"/>
      <c r="C44" s="594"/>
      <c r="D44" s="594"/>
      <c r="E44" s="594"/>
      <c r="F44" s="594"/>
      <c r="G44" s="594"/>
      <c r="H44" s="594"/>
      <c r="I44" s="605"/>
      <c r="J44" s="594"/>
      <c r="K44" s="594"/>
      <c r="L44" s="602"/>
      <c r="M44" s="602"/>
      <c r="N44" s="602"/>
      <c r="O44" s="602"/>
      <c r="P44" s="602"/>
    </row>
    <row r="45" spans="1:27">
      <c r="A45" s="606"/>
      <c r="B45" s="607" t="s">
        <v>272</v>
      </c>
      <c r="C45" s="607" t="s">
        <v>273</v>
      </c>
      <c r="D45" s="607"/>
      <c r="E45" s="607"/>
      <c r="F45" s="607"/>
      <c r="G45" s="607"/>
      <c r="H45" s="607"/>
      <c r="I45" s="608"/>
      <c r="J45" s="607"/>
      <c r="K45" s="607"/>
      <c r="L45" s="607"/>
      <c r="M45" s="607"/>
      <c r="N45" s="607"/>
      <c r="O45" s="607"/>
      <c r="P45" s="602"/>
    </row>
    <row r="46" spans="1:27">
      <c r="A46" s="604" t="s">
        <v>269</v>
      </c>
      <c r="B46" s="609">
        <f>IF(ISERROR(O30/(O30+N30)),0,O30/(O30+N30))</f>
        <v>0.58823529411764697</v>
      </c>
      <c r="C46" s="610">
        <f>IF(ISERROR(N30/(O30+N30)),0,N30/(N30+O30))</f>
        <v>0.41176470588235292</v>
      </c>
      <c r="D46" s="577"/>
      <c r="E46" s="577"/>
      <c r="F46" s="577"/>
      <c r="G46" s="577"/>
      <c r="H46" s="577"/>
      <c r="I46" s="611"/>
      <c r="J46" s="577"/>
      <c r="K46" s="577"/>
      <c r="L46" s="612"/>
      <c r="M46" s="612"/>
      <c r="N46" s="612"/>
      <c r="O46" s="612"/>
      <c r="P46" s="602"/>
    </row>
    <row r="47" spans="1:27">
      <c r="A47" s="604"/>
      <c r="B47" s="613"/>
      <c r="C47" s="613"/>
      <c r="D47" s="613"/>
      <c r="E47" s="613"/>
      <c r="F47" s="613"/>
      <c r="G47" s="613"/>
      <c r="H47" s="613"/>
      <c r="I47" s="614"/>
      <c r="J47" s="613"/>
      <c r="K47" s="613"/>
      <c r="L47" s="615"/>
      <c r="M47" s="615"/>
      <c r="N47" s="615"/>
      <c r="O47" s="615"/>
      <c r="P47" s="602"/>
    </row>
    <row r="48" spans="1:27" ht="30">
      <c r="A48" s="616"/>
      <c r="B48" s="617" t="s">
        <v>529</v>
      </c>
      <c r="C48" s="617" t="s">
        <v>96</v>
      </c>
      <c r="D48" s="617" t="s">
        <v>97</v>
      </c>
      <c r="E48" s="617" t="s">
        <v>98</v>
      </c>
      <c r="F48" s="617" t="s">
        <v>99</v>
      </c>
      <c r="G48" s="617" t="s">
        <v>100</v>
      </c>
      <c r="H48" s="617" t="s">
        <v>101</v>
      </c>
      <c r="I48" s="618" t="s">
        <v>102</v>
      </c>
      <c r="J48" s="607"/>
      <c r="K48" s="607"/>
      <c r="L48" s="615"/>
      <c r="M48" s="615"/>
      <c r="N48" s="615"/>
      <c r="O48" s="602"/>
      <c r="P48" s="602"/>
    </row>
    <row r="49" spans="1:16">
      <c r="A49" s="606" t="s">
        <v>274</v>
      </c>
      <c r="B49" s="619">
        <f t="shared" ref="B49:I49" si="2">$C$46*P30</f>
        <v>39.705882352941174</v>
      </c>
      <c r="C49" s="619">
        <f t="shared" si="2"/>
        <v>5632.9411764705883</v>
      </c>
      <c r="D49" s="619">
        <f t="shared" si="2"/>
        <v>0</v>
      </c>
      <c r="E49" s="619">
        <f t="shared" si="2"/>
        <v>0</v>
      </c>
      <c r="F49" s="619">
        <f t="shared" si="2"/>
        <v>0</v>
      </c>
      <c r="G49" s="619">
        <f t="shared" si="2"/>
        <v>0</v>
      </c>
      <c r="H49" s="619">
        <f t="shared" si="2"/>
        <v>0</v>
      </c>
      <c r="I49" s="620">
        <f t="shared" si="2"/>
        <v>0</v>
      </c>
      <c r="J49" s="577"/>
      <c r="K49" s="577"/>
      <c r="L49" s="615"/>
      <c r="M49" s="615"/>
      <c r="N49" s="615"/>
      <c r="O49" s="602"/>
      <c r="P49" s="602"/>
    </row>
    <row r="50" spans="1:16" ht="15.75" thickBot="1">
      <c r="A50" s="621" t="s">
        <v>275</v>
      </c>
      <c r="B50" s="622">
        <f t="shared" ref="B50:I50" si="3">$B$46*P30</f>
        <v>56.722689075630242</v>
      </c>
      <c r="C50" s="622">
        <f t="shared" si="3"/>
        <v>8047.0588235294108</v>
      </c>
      <c r="D50" s="622">
        <f t="shared" si="3"/>
        <v>0</v>
      </c>
      <c r="E50" s="622">
        <f t="shared" si="3"/>
        <v>0</v>
      </c>
      <c r="F50" s="622">
        <f t="shared" si="3"/>
        <v>0</v>
      </c>
      <c r="G50" s="622">
        <f t="shared" si="3"/>
        <v>0</v>
      </c>
      <c r="H50" s="622">
        <f t="shared" si="3"/>
        <v>0</v>
      </c>
      <c r="I50" s="623">
        <f t="shared" si="3"/>
        <v>0</v>
      </c>
      <c r="J50" s="577"/>
      <c r="K50" s="577"/>
      <c r="L50" s="615"/>
      <c r="M50" s="615"/>
      <c r="N50" s="615"/>
      <c r="O50" s="602"/>
      <c r="P50" s="602"/>
    </row>
    <row r="51" spans="1:16">
      <c r="J51" s="561"/>
      <c r="K51" s="561"/>
      <c r="L51" s="561"/>
      <c r="M51" s="561"/>
      <c r="N51" s="561"/>
    </row>
    <row r="52" spans="1:16">
      <c r="J52" s="561"/>
      <c r="K52" s="561"/>
      <c r="L52" s="561"/>
      <c r="M52" s="561"/>
      <c r="N52" s="561"/>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7" t="s">
        <v>406</v>
      </c>
      <c r="B1" s="347" t="s">
        <v>413</v>
      </c>
      <c r="C1" s="347" t="s">
        <v>412</v>
      </c>
      <c r="D1" s="347" t="s">
        <v>411</v>
      </c>
      <c r="E1" s="348" t="s">
        <v>407</v>
      </c>
      <c r="F1" s="349" t="s">
        <v>408</v>
      </c>
      <c r="G1" s="349" t="s">
        <v>409</v>
      </c>
      <c r="H1" s="349" t="s">
        <v>410</v>
      </c>
    </row>
    <row r="2" spans="1:8" s="11" customFormat="1">
      <c r="A2" s="1045" t="s">
        <v>922</v>
      </c>
      <c r="B2" s="1046" t="s">
        <v>945</v>
      </c>
      <c r="C2" s="1045" t="s">
        <v>728</v>
      </c>
      <c r="D2" s="1045" t="s">
        <v>795</v>
      </c>
      <c r="E2" s="885"/>
      <c r="F2" s="892" t="s">
        <v>798</v>
      </c>
      <c r="G2" s="892" t="s">
        <v>799</v>
      </c>
      <c r="H2" s="341" t="s">
        <v>800</v>
      </c>
    </row>
    <row r="3" spans="1:8" s="11" customFormat="1">
      <c r="A3" s="1045" t="s">
        <v>956</v>
      </c>
      <c r="B3" s="1046" t="s">
        <v>957</v>
      </c>
      <c r="C3" s="1045" t="s">
        <v>186</v>
      </c>
      <c r="D3" s="1047" t="s">
        <v>958</v>
      </c>
      <c r="E3" s="885"/>
      <c r="F3" s="886" t="s">
        <v>789</v>
      </c>
      <c r="G3" s="886" t="s">
        <v>790</v>
      </c>
      <c r="H3" s="886" t="s">
        <v>791</v>
      </c>
    </row>
    <row r="4" spans="1:8" s="11" customFormat="1">
      <c r="A4" s="342" t="s">
        <v>399</v>
      </c>
      <c r="B4" s="779">
        <v>2012</v>
      </c>
      <c r="C4" s="342" t="s">
        <v>399</v>
      </c>
      <c r="D4" s="342" t="s">
        <v>946</v>
      </c>
      <c r="E4" s="343"/>
      <c r="F4" s="889" t="s">
        <v>792</v>
      </c>
      <c r="G4" s="889" t="s">
        <v>793</v>
      </c>
      <c r="H4" s="889" t="s">
        <v>794</v>
      </c>
    </row>
    <row r="5" spans="1:8">
      <c r="A5" s="337" t="s">
        <v>392</v>
      </c>
      <c r="B5" s="338" t="s">
        <v>393</v>
      </c>
      <c r="C5" s="337" t="s">
        <v>392</v>
      </c>
      <c r="D5" s="337" t="s">
        <v>701</v>
      </c>
      <c r="E5" s="339"/>
      <c r="F5" s="340" t="s">
        <v>394</v>
      </c>
      <c r="G5" s="340" t="s">
        <v>395</v>
      </c>
      <c r="H5" s="341" t="s">
        <v>396</v>
      </c>
    </row>
    <row r="6" spans="1:8">
      <c r="A6" s="337" t="s">
        <v>397</v>
      </c>
      <c r="B6" s="338" t="s">
        <v>393</v>
      </c>
      <c r="C6" s="337" t="s">
        <v>397</v>
      </c>
      <c r="D6" s="337" t="s">
        <v>702</v>
      </c>
      <c r="E6" s="339"/>
      <c r="F6" s="340" t="s">
        <v>777</v>
      </c>
      <c r="G6" s="340" t="s">
        <v>785</v>
      </c>
      <c r="H6" s="341" t="s">
        <v>786</v>
      </c>
    </row>
    <row r="7" spans="1:8">
      <c r="A7" s="342" t="s">
        <v>424</v>
      </c>
      <c r="B7" s="345" t="s">
        <v>425</v>
      </c>
      <c r="C7" s="342" t="s">
        <v>427</v>
      </c>
      <c r="D7" s="342" t="s">
        <v>423</v>
      </c>
      <c r="E7" s="339" t="s">
        <v>426</v>
      </c>
      <c r="F7" s="340"/>
      <c r="G7" s="340"/>
      <c r="H7" s="341"/>
    </row>
    <row r="8" spans="1:8">
      <c r="A8" s="884" t="s">
        <v>801</v>
      </c>
      <c r="B8" s="890">
        <v>2012</v>
      </c>
      <c r="C8" s="884" t="s">
        <v>399</v>
      </c>
      <c r="D8" s="884" t="s">
        <v>947</v>
      </c>
      <c r="E8" s="891" t="s">
        <v>802</v>
      </c>
      <c r="F8" s="892"/>
      <c r="G8" s="892"/>
      <c r="H8" s="341"/>
    </row>
    <row r="9" spans="1:8">
      <c r="A9" s="884" t="s">
        <v>814</v>
      </c>
      <c r="B9" s="890" t="s">
        <v>815</v>
      </c>
      <c r="C9" s="884" t="s">
        <v>818</v>
      </c>
      <c r="D9" s="884" t="s">
        <v>817</v>
      </c>
      <c r="E9" s="891" t="s">
        <v>813</v>
      </c>
      <c r="F9" s="892"/>
      <c r="G9" s="892"/>
      <c r="H9" s="341"/>
    </row>
    <row r="10" spans="1:8">
      <c r="A10" s="342" t="s">
        <v>622</v>
      </c>
      <c r="B10" s="338" t="s">
        <v>623</v>
      </c>
      <c r="C10" s="342" t="s">
        <v>624</v>
      </c>
      <c r="D10" s="342" t="s">
        <v>625</v>
      </c>
      <c r="E10" s="339"/>
      <c r="F10" s="340" t="s">
        <v>778</v>
      </c>
      <c r="G10" s="340" t="s">
        <v>787</v>
      </c>
      <c r="H10" s="341" t="s">
        <v>788</v>
      </c>
    </row>
    <row r="11" spans="1:8">
      <c r="A11" s="337" t="s">
        <v>774</v>
      </c>
      <c r="B11" s="338" t="s">
        <v>775</v>
      </c>
      <c r="C11" s="337" t="s">
        <v>776</v>
      </c>
      <c r="D11" s="337" t="s">
        <v>949</v>
      </c>
      <c r="E11" s="673"/>
      <c r="F11" s="340" t="s">
        <v>782</v>
      </c>
      <c r="G11" s="340" t="s">
        <v>783</v>
      </c>
      <c r="H11" s="341" t="s">
        <v>784</v>
      </c>
    </row>
    <row r="12" spans="1:8">
      <c r="A12" s="884" t="s">
        <v>796</v>
      </c>
      <c r="B12" s="890">
        <v>2017</v>
      </c>
      <c r="C12" s="884" t="s">
        <v>417</v>
      </c>
      <c r="D12" s="884" t="s">
        <v>797</v>
      </c>
      <c r="E12" s="891"/>
      <c r="F12" s="892" t="s">
        <v>798</v>
      </c>
      <c r="G12" s="892" t="s">
        <v>799</v>
      </c>
      <c r="H12" s="341" t="s">
        <v>800</v>
      </c>
    </row>
    <row r="13" spans="1:8" s="10" customFormat="1">
      <c r="A13" s="342" t="s">
        <v>401</v>
      </c>
      <c r="B13" s="338" t="s">
        <v>416</v>
      </c>
      <c r="C13" s="337"/>
      <c r="D13" s="346" t="s">
        <v>415</v>
      </c>
      <c r="E13" s="339"/>
      <c r="F13" s="340"/>
      <c r="G13" s="340"/>
      <c r="H13" s="341"/>
    </row>
    <row r="14" spans="1:8">
      <c r="A14" s="337" t="s">
        <v>384</v>
      </c>
      <c r="B14" s="338" t="s">
        <v>390</v>
      </c>
      <c r="C14" s="337" t="s">
        <v>389</v>
      </c>
      <c r="D14" s="337" t="s">
        <v>391</v>
      </c>
      <c r="E14" s="344" t="s">
        <v>385</v>
      </c>
      <c r="F14" s="340" t="s">
        <v>386</v>
      </c>
      <c r="G14" s="340" t="s">
        <v>387</v>
      </c>
      <c r="H14" s="340" t="s">
        <v>388</v>
      </c>
    </row>
    <row r="15" spans="1:8">
      <c r="A15" s="337" t="s">
        <v>400</v>
      </c>
      <c r="B15" s="338" t="s">
        <v>393</v>
      </c>
      <c r="C15" s="337" t="s">
        <v>400</v>
      </c>
      <c r="D15" s="337" t="s">
        <v>414</v>
      </c>
      <c r="E15" s="339"/>
      <c r="F15" s="340" t="s">
        <v>834</v>
      </c>
      <c r="G15" s="340" t="s">
        <v>835</v>
      </c>
      <c r="H15" s="341" t="s">
        <v>836</v>
      </c>
    </row>
    <row r="16" spans="1:8">
      <c r="A16" s="337" t="s">
        <v>501</v>
      </c>
      <c r="B16" s="338" t="s">
        <v>369</v>
      </c>
      <c r="C16" s="337" t="s">
        <v>367</v>
      </c>
      <c r="D16" s="346" t="s">
        <v>368</v>
      </c>
      <c r="E16" s="339" t="s">
        <v>370</v>
      </c>
      <c r="F16" s="340" t="s">
        <v>779</v>
      </c>
      <c r="G16" s="340" t="s">
        <v>780</v>
      </c>
      <c r="H16" s="341" t="s">
        <v>781</v>
      </c>
    </row>
    <row r="17" spans="1:8">
      <c r="A17" s="337" t="s">
        <v>501</v>
      </c>
      <c r="B17" s="338" t="s">
        <v>822</v>
      </c>
      <c r="C17" s="337" t="s">
        <v>826</v>
      </c>
      <c r="D17" s="346" t="s">
        <v>827</v>
      </c>
      <c r="E17" s="339"/>
      <c r="F17" s="340" t="s">
        <v>779</v>
      </c>
      <c r="G17" s="340" t="s">
        <v>780</v>
      </c>
      <c r="H17" s="341" t="s">
        <v>781</v>
      </c>
    </row>
    <row r="18" spans="1:8">
      <c r="A18" s="342" t="s">
        <v>500</v>
      </c>
      <c r="B18" s="345" t="s">
        <v>393</v>
      </c>
      <c r="C18" s="342" t="s">
        <v>417</v>
      </c>
      <c r="D18" s="342" t="s">
        <v>365</v>
      </c>
      <c r="E18" s="339"/>
      <c r="F18" s="340" t="s">
        <v>779</v>
      </c>
      <c r="G18" s="340" t="s">
        <v>780</v>
      </c>
      <c r="H18" s="341" t="s">
        <v>781</v>
      </c>
    </row>
    <row r="19" spans="1:8">
      <c r="A19" s="342" t="s">
        <v>186</v>
      </c>
      <c r="B19" s="779" t="s">
        <v>703</v>
      </c>
      <c r="C19" s="342" t="s">
        <v>418</v>
      </c>
      <c r="D19" s="342" t="s">
        <v>419</v>
      </c>
      <c r="E19" s="339"/>
      <c r="F19" s="340" t="s">
        <v>420</v>
      </c>
      <c r="G19" s="340" t="s">
        <v>421</v>
      </c>
      <c r="H19" s="341" t="s">
        <v>422</v>
      </c>
    </row>
    <row r="20" spans="1:8" s="11" customFormat="1">
      <c r="A20" s="1038" t="s">
        <v>942</v>
      </c>
      <c r="B20" s="1039" t="s">
        <v>943</v>
      </c>
      <c r="C20" s="1038" t="s">
        <v>186</v>
      </c>
      <c r="D20" s="1038" t="s">
        <v>944</v>
      </c>
      <c r="E20" s="885"/>
      <c r="F20" s="886" t="s">
        <v>789</v>
      </c>
      <c r="G20" s="886" t="s">
        <v>790</v>
      </c>
      <c r="H20" s="886" t="s">
        <v>791</v>
      </c>
    </row>
    <row r="21" spans="1:8">
      <c r="A21" s="342" t="s">
        <v>400</v>
      </c>
      <c r="B21" s="338" t="s">
        <v>822</v>
      </c>
      <c r="C21" s="342" t="s">
        <v>400</v>
      </c>
      <c r="D21" s="342" t="s">
        <v>823</v>
      </c>
      <c r="E21" s="339"/>
      <c r="F21" s="340" t="s">
        <v>837</v>
      </c>
      <c r="G21" s="340" t="s">
        <v>838</v>
      </c>
      <c r="H21" s="341" t="s">
        <v>839</v>
      </c>
    </row>
    <row r="22" spans="1:8">
      <c r="A22" s="884" t="s">
        <v>400</v>
      </c>
      <c r="B22" s="888" t="s">
        <v>824</v>
      </c>
      <c r="C22" s="884" t="s">
        <v>400</v>
      </c>
      <c r="D22" s="884" t="s">
        <v>825</v>
      </c>
      <c r="E22" s="885"/>
      <c r="F22" s="886" t="s">
        <v>840</v>
      </c>
      <c r="G22" s="886" t="s">
        <v>841</v>
      </c>
      <c r="H22" s="887" t="s">
        <v>842</v>
      </c>
    </row>
    <row r="23" spans="1:8">
      <c r="A23" s="342" t="s">
        <v>828</v>
      </c>
      <c r="B23" s="895" t="s">
        <v>833</v>
      </c>
      <c r="C23" s="342" t="s">
        <v>828</v>
      </c>
      <c r="D23" s="342" t="s">
        <v>829</v>
      </c>
      <c r="E23" s="339" t="s">
        <v>830</v>
      </c>
      <c r="F23" s="340" t="s">
        <v>843</v>
      </c>
      <c r="G23" s="340" t="s">
        <v>844</v>
      </c>
      <c r="H23" s="341" t="s">
        <v>845</v>
      </c>
    </row>
    <row r="24" spans="1:8">
      <c r="A24" s="337" t="s">
        <v>828</v>
      </c>
      <c r="B24" s="896" t="s">
        <v>833</v>
      </c>
      <c r="C24" s="337" t="s">
        <v>828</v>
      </c>
      <c r="D24" s="346" t="s">
        <v>831</v>
      </c>
      <c r="E24" s="339" t="s">
        <v>832</v>
      </c>
      <c r="F24" s="340" t="s">
        <v>843</v>
      </c>
      <c r="G24" s="340" t="s">
        <v>844</v>
      </c>
      <c r="H24" s="341" t="s">
        <v>845</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6" t="s">
        <v>611</v>
      </c>
      <c r="B1" s="756" t="s">
        <v>612</v>
      </c>
      <c r="C1" s="756" t="s">
        <v>614</v>
      </c>
      <c r="D1" s="756" t="s">
        <v>613</v>
      </c>
    </row>
    <row r="2" spans="1:4">
      <c r="A2" t="s">
        <v>655</v>
      </c>
      <c r="B2" s="754">
        <v>41626</v>
      </c>
      <c r="C2" t="s">
        <v>656</v>
      </c>
      <c r="D2" s="755" t="s">
        <v>657</v>
      </c>
    </row>
    <row r="3" spans="1:4">
      <c r="A3" t="s">
        <v>658</v>
      </c>
      <c r="B3" s="754">
        <v>41646</v>
      </c>
      <c r="C3" t="s">
        <v>659</v>
      </c>
      <c r="D3" s="755" t="s">
        <v>660</v>
      </c>
    </row>
    <row r="4" spans="1:4">
      <c r="A4" t="s">
        <v>661</v>
      </c>
      <c r="B4" s="754">
        <v>41676</v>
      </c>
      <c r="C4" t="s">
        <v>662</v>
      </c>
      <c r="D4" s="755" t="s">
        <v>663</v>
      </c>
    </row>
    <row r="5" spans="1:4">
      <c r="A5" t="s">
        <v>661</v>
      </c>
      <c r="B5" s="754">
        <v>41676</v>
      </c>
      <c r="C5" t="s">
        <v>664</v>
      </c>
      <c r="D5" s="755" t="s">
        <v>665</v>
      </c>
    </row>
    <row r="6" spans="1:4" ht="17.25">
      <c r="A6" t="s">
        <v>661</v>
      </c>
      <c r="B6" s="754">
        <v>41676</v>
      </c>
      <c r="C6" t="s">
        <v>666</v>
      </c>
      <c r="D6" s="755" t="s">
        <v>667</v>
      </c>
    </row>
    <row r="7" spans="1:4">
      <c r="A7" t="s">
        <v>668</v>
      </c>
      <c r="B7" s="754">
        <v>41715</v>
      </c>
      <c r="C7" t="s">
        <v>669</v>
      </c>
      <c r="D7" s="769" t="s">
        <v>670</v>
      </c>
    </row>
    <row r="8" spans="1:4">
      <c r="A8" t="s">
        <v>668</v>
      </c>
      <c r="B8" s="754">
        <v>41715</v>
      </c>
      <c r="C8" t="s">
        <v>671</v>
      </c>
      <c r="D8" s="755" t="s">
        <v>672</v>
      </c>
    </row>
    <row r="9" spans="1:4">
      <c r="A9" t="s">
        <v>668</v>
      </c>
      <c r="B9" s="754">
        <v>41726</v>
      </c>
      <c r="C9" t="s">
        <v>673</v>
      </c>
      <c r="D9" s="769" t="s">
        <v>674</v>
      </c>
    </row>
    <row r="10" spans="1:4">
      <c r="A10" t="s">
        <v>675</v>
      </c>
      <c r="B10" s="754">
        <v>41759</v>
      </c>
      <c r="C10" t="s">
        <v>676</v>
      </c>
      <c r="D10" s="755" t="s">
        <v>677</v>
      </c>
    </row>
    <row r="11" spans="1:4">
      <c r="A11" t="s">
        <v>675</v>
      </c>
      <c r="B11" s="754">
        <v>41759</v>
      </c>
      <c r="C11" t="s">
        <v>678</v>
      </c>
      <c r="D11" s="755" t="s">
        <v>679</v>
      </c>
    </row>
    <row r="12" spans="1:4">
      <c r="A12" t="s">
        <v>680</v>
      </c>
      <c r="B12" s="754">
        <v>41772</v>
      </c>
      <c r="C12" t="s">
        <v>681</v>
      </c>
      <c r="D12" s="755" t="s">
        <v>682</v>
      </c>
    </row>
    <row r="13" spans="1:4">
      <c r="A13" t="s">
        <v>680</v>
      </c>
      <c r="B13" s="754">
        <v>41772</v>
      </c>
      <c r="C13" t="s">
        <v>683</v>
      </c>
      <c r="D13" s="755" t="s">
        <v>684</v>
      </c>
    </row>
    <row r="14" spans="1:4">
      <c r="A14" t="s">
        <v>680</v>
      </c>
      <c r="B14" s="754">
        <v>41772</v>
      </c>
      <c r="C14" t="s">
        <v>685</v>
      </c>
      <c r="D14" s="769" t="s">
        <v>686</v>
      </c>
    </row>
    <row r="15" spans="1:4">
      <c r="A15" t="s">
        <v>687</v>
      </c>
      <c r="B15" s="754">
        <v>41901</v>
      </c>
      <c r="C15" t="s">
        <v>630</v>
      </c>
      <c r="D15" s="769" t="s">
        <v>628</v>
      </c>
    </row>
    <row r="16" spans="1:4">
      <c r="A16" t="s">
        <v>687</v>
      </c>
      <c r="B16" s="754">
        <v>41901</v>
      </c>
      <c r="C16" t="s">
        <v>629</v>
      </c>
      <c r="D16" s="769" t="s">
        <v>631</v>
      </c>
    </row>
    <row r="17" spans="1:4">
      <c r="A17" t="s">
        <v>687</v>
      </c>
      <c r="B17" s="754">
        <v>41901</v>
      </c>
      <c r="C17" t="s">
        <v>635</v>
      </c>
      <c r="D17" s="755" t="s">
        <v>636</v>
      </c>
    </row>
    <row r="18" spans="1:4">
      <c r="A18" t="s">
        <v>687</v>
      </c>
      <c r="B18" s="754">
        <v>41901</v>
      </c>
      <c r="C18" t="s">
        <v>648</v>
      </c>
      <c r="D18" s="755" t="s">
        <v>647</v>
      </c>
    </row>
    <row r="19" spans="1:4">
      <c r="A19" t="s">
        <v>687</v>
      </c>
      <c r="B19" s="754">
        <v>41901</v>
      </c>
      <c r="C19" t="s">
        <v>648</v>
      </c>
      <c r="D19" s="755" t="s">
        <v>649</v>
      </c>
    </row>
    <row r="20" spans="1:4">
      <c r="A20" t="s">
        <v>687</v>
      </c>
      <c r="B20" s="754">
        <v>41901</v>
      </c>
      <c r="C20" t="s">
        <v>654</v>
      </c>
      <c r="D20" s="755" t="s">
        <v>653</v>
      </c>
    </row>
    <row r="21" spans="1:4">
      <c r="A21" t="s">
        <v>687</v>
      </c>
      <c r="B21" s="754">
        <v>41914</v>
      </c>
      <c r="C21" t="s">
        <v>711</v>
      </c>
      <c r="D21" s="769" t="s">
        <v>705</v>
      </c>
    </row>
    <row r="22" spans="1:4">
      <c r="A22" t="s">
        <v>687</v>
      </c>
      <c r="B22" s="754">
        <v>41914</v>
      </c>
      <c r="C22" t="s">
        <v>712</v>
      </c>
      <c r="D22" s="769" t="s">
        <v>706</v>
      </c>
    </row>
    <row r="23" spans="1:4">
      <c r="A23" t="s">
        <v>687</v>
      </c>
      <c r="B23" s="754">
        <v>41914</v>
      </c>
      <c r="C23" t="s">
        <v>713</v>
      </c>
      <c r="D23" s="769" t="s">
        <v>707</v>
      </c>
    </row>
    <row r="24" spans="1:4">
      <c r="A24" t="s">
        <v>687</v>
      </c>
      <c r="B24" s="754">
        <v>41914</v>
      </c>
      <c r="C24" t="s">
        <v>714</v>
      </c>
      <c r="D24" s="769" t="s">
        <v>708</v>
      </c>
    </row>
    <row r="25" spans="1:4">
      <c r="A25" t="s">
        <v>687</v>
      </c>
      <c r="B25" s="754">
        <v>41914</v>
      </c>
      <c r="C25" t="s">
        <v>726</v>
      </c>
      <c r="D25" s="769" t="s">
        <v>709</v>
      </c>
    </row>
    <row r="26" spans="1:4">
      <c r="A26" t="s">
        <v>687</v>
      </c>
      <c r="B26" s="754">
        <v>41914</v>
      </c>
      <c r="C26" t="s">
        <v>722</v>
      </c>
      <c r="D26" s="755" t="s">
        <v>725</v>
      </c>
    </row>
    <row r="27" spans="1:4">
      <c r="A27" t="s">
        <v>687</v>
      </c>
      <c r="B27" s="754">
        <v>41914</v>
      </c>
      <c r="C27" t="s">
        <v>716</v>
      </c>
      <c r="D27" s="769" t="s">
        <v>715</v>
      </c>
    </row>
    <row r="28" spans="1:4">
      <c r="A28" t="s">
        <v>687</v>
      </c>
      <c r="B28" s="754">
        <v>41914</v>
      </c>
      <c r="C28" t="s">
        <v>727</v>
      </c>
      <c r="D28" s="769" t="s">
        <v>717</v>
      </c>
    </row>
    <row r="29" spans="1:4">
      <c r="A29" t="s">
        <v>687</v>
      </c>
      <c r="B29" s="754">
        <v>41914</v>
      </c>
      <c r="C29" t="s">
        <v>720</v>
      </c>
      <c r="D29" s="769" t="s">
        <v>721</v>
      </c>
    </row>
    <row r="30" spans="1:4">
      <c r="A30" t="s">
        <v>687</v>
      </c>
      <c r="B30" s="754">
        <v>41914</v>
      </c>
      <c r="C30" t="s">
        <v>718</v>
      </c>
      <c r="D30" s="769" t="s">
        <v>719</v>
      </c>
    </row>
    <row r="31" spans="1:4">
      <c r="A31" t="s">
        <v>687</v>
      </c>
      <c r="B31" s="754">
        <v>41914</v>
      </c>
      <c r="C31" t="s">
        <v>723</v>
      </c>
      <c r="D31" s="755" t="s">
        <v>724</v>
      </c>
    </row>
    <row r="32" spans="1:4">
      <c r="A32" t="s">
        <v>687</v>
      </c>
      <c r="B32" s="754">
        <v>41925</v>
      </c>
      <c r="C32" t="s">
        <v>729</v>
      </c>
      <c r="D32" s="769" t="s">
        <v>730</v>
      </c>
    </row>
    <row r="33" spans="1:4">
      <c r="A33" t="s">
        <v>687</v>
      </c>
      <c r="B33" s="754">
        <v>41967</v>
      </c>
      <c r="C33" t="s">
        <v>732</v>
      </c>
      <c r="D33" s="755" t="s">
        <v>733</v>
      </c>
    </row>
    <row r="34" spans="1:4">
      <c r="A34" t="s">
        <v>734</v>
      </c>
      <c r="B34" s="754">
        <v>42275</v>
      </c>
      <c r="C34" t="s">
        <v>736</v>
      </c>
      <c r="D34" s="755" t="s">
        <v>741</v>
      </c>
    </row>
    <row r="35" spans="1:4">
      <c r="A35" t="s">
        <v>734</v>
      </c>
      <c r="B35" s="754">
        <v>42275</v>
      </c>
      <c r="C35" t="s">
        <v>737</v>
      </c>
      <c r="D35" s="755" t="s">
        <v>742</v>
      </c>
    </row>
    <row r="36" spans="1:4">
      <c r="A36" t="s">
        <v>734</v>
      </c>
      <c r="B36" s="754">
        <v>42283</v>
      </c>
      <c r="C36" t="s">
        <v>738</v>
      </c>
      <c r="D36" s="755" t="s">
        <v>739</v>
      </c>
    </row>
    <row r="37" spans="1:4">
      <c r="A37" t="s">
        <v>750</v>
      </c>
      <c r="B37" s="874">
        <v>42538</v>
      </c>
      <c r="C37" s="874" t="s">
        <v>743</v>
      </c>
      <c r="D37" s="874"/>
    </row>
    <row r="38" spans="1:4">
      <c r="A38" t="s">
        <v>750</v>
      </c>
      <c r="B38" s="874">
        <v>42538</v>
      </c>
      <c r="C38" s="874" t="s">
        <v>744</v>
      </c>
      <c r="D38" s="875" t="s">
        <v>745</v>
      </c>
    </row>
    <row r="39" spans="1:4">
      <c r="A39" t="s">
        <v>750</v>
      </c>
      <c r="B39" s="874">
        <v>42538</v>
      </c>
      <c r="C39" s="874" t="s">
        <v>746</v>
      </c>
      <c r="D39" s="876" t="s">
        <v>747</v>
      </c>
    </row>
    <row r="40" spans="1:4">
      <c r="A40" t="s">
        <v>750</v>
      </c>
      <c r="B40" s="874">
        <v>42538</v>
      </c>
      <c r="C40" s="874" t="s">
        <v>748</v>
      </c>
      <c r="D40" s="875" t="s">
        <v>749</v>
      </c>
    </row>
    <row r="41" spans="1:4">
      <c r="A41" t="s">
        <v>769</v>
      </c>
      <c r="B41" s="874">
        <v>42585</v>
      </c>
      <c r="C41" t="s">
        <v>735</v>
      </c>
      <c r="D41" s="755" t="s">
        <v>740</v>
      </c>
    </row>
    <row r="42" spans="1:4">
      <c r="A42" t="s">
        <v>771</v>
      </c>
      <c r="B42" s="874">
        <v>42877</v>
      </c>
      <c r="C42" s="874" t="s">
        <v>819</v>
      </c>
      <c r="D42" s="755" t="s">
        <v>724</v>
      </c>
    </row>
    <row r="43" spans="1:4">
      <c r="A43" t="s">
        <v>771</v>
      </c>
      <c r="B43" s="874">
        <v>42877</v>
      </c>
      <c r="C43" s="874" t="s">
        <v>820</v>
      </c>
      <c r="D43" s="769" t="s">
        <v>772</v>
      </c>
    </row>
    <row r="44" spans="1:4">
      <c r="A44" t="s">
        <v>771</v>
      </c>
      <c r="B44" s="874">
        <v>42877</v>
      </c>
      <c r="C44" s="874" t="s">
        <v>821</v>
      </c>
      <c r="D44" s="769" t="s">
        <v>773</v>
      </c>
    </row>
    <row r="45" spans="1:4">
      <c r="A45" t="s">
        <v>803</v>
      </c>
      <c r="B45" s="874">
        <v>43165</v>
      </c>
      <c r="C45" s="874" t="s">
        <v>804</v>
      </c>
      <c r="D45" s="769" t="s">
        <v>805</v>
      </c>
    </row>
    <row r="46" spans="1:4">
      <c r="A46" t="s">
        <v>803</v>
      </c>
      <c r="B46" s="874">
        <v>43165</v>
      </c>
      <c r="C46" s="874" t="s">
        <v>806</v>
      </c>
      <c r="D46" s="755" t="s">
        <v>807</v>
      </c>
    </row>
    <row r="47" spans="1:4">
      <c r="A47" t="s">
        <v>803</v>
      </c>
      <c r="B47" s="874">
        <v>43165</v>
      </c>
      <c r="C47" s="874" t="s">
        <v>808</v>
      </c>
      <c r="D47" s="755" t="s">
        <v>809</v>
      </c>
    </row>
    <row r="48" spans="1:4">
      <c r="A48" t="s">
        <v>803</v>
      </c>
      <c r="B48" s="874">
        <v>43165</v>
      </c>
      <c r="C48" s="874" t="s">
        <v>810</v>
      </c>
      <c r="D48" s="755" t="s">
        <v>811</v>
      </c>
    </row>
    <row r="49" spans="1:4">
      <c r="A49" t="s">
        <v>803</v>
      </c>
      <c r="B49" s="874">
        <v>43278</v>
      </c>
      <c r="C49" s="874" t="s">
        <v>846</v>
      </c>
      <c r="D49" s="769"/>
    </row>
    <row r="50" spans="1:4">
      <c r="A50" t="s">
        <v>881</v>
      </c>
      <c r="B50" s="874">
        <v>43424</v>
      </c>
      <c r="C50" s="874" t="s">
        <v>882</v>
      </c>
    </row>
    <row r="51" spans="1:4">
      <c r="A51" t="s">
        <v>894</v>
      </c>
      <c r="B51" s="874">
        <v>43573</v>
      </c>
      <c r="C51" s="874" t="s">
        <v>895</v>
      </c>
    </row>
    <row r="52" spans="1:4">
      <c r="A52" t="s">
        <v>918</v>
      </c>
      <c r="B52" s="874">
        <v>43678</v>
      </c>
      <c r="C52" s="874" t="s">
        <v>917</v>
      </c>
      <c r="D52" s="755" t="s">
        <v>733</v>
      </c>
    </row>
    <row r="53" spans="1:4">
      <c r="A53" t="s">
        <v>919</v>
      </c>
      <c r="B53" s="1033">
        <v>43930</v>
      </c>
      <c r="C53" s="1030" t="s">
        <v>921</v>
      </c>
      <c r="D53" s="1032" t="s">
        <v>674</v>
      </c>
    </row>
    <row r="54" spans="1:4">
      <c r="A54" t="s">
        <v>919</v>
      </c>
      <c r="B54" s="1033">
        <v>43930</v>
      </c>
      <c r="C54" s="1030" t="s">
        <v>920</v>
      </c>
      <c r="D54" s="1032" t="s">
        <v>674</v>
      </c>
    </row>
    <row r="55" spans="1:4">
      <c r="A55" s="1030" t="s">
        <v>919</v>
      </c>
      <c r="B55" s="1033">
        <v>43943</v>
      </c>
      <c r="C55" s="1030" t="s">
        <v>923</v>
      </c>
      <c r="D55" s="1031" t="s">
        <v>724</v>
      </c>
    </row>
    <row r="56" spans="1:4">
      <c r="A56" s="1030" t="s">
        <v>919</v>
      </c>
      <c r="B56" s="1033">
        <v>43943</v>
      </c>
      <c r="C56" s="1030" t="s">
        <v>924</v>
      </c>
      <c r="D56" s="1032" t="s">
        <v>772</v>
      </c>
    </row>
    <row r="57" spans="1:4">
      <c r="A57" s="1030" t="s">
        <v>919</v>
      </c>
      <c r="B57" s="1033">
        <v>43943</v>
      </c>
      <c r="C57" s="1030" t="s">
        <v>925</v>
      </c>
      <c r="D57" s="1032" t="s">
        <v>773</v>
      </c>
    </row>
    <row r="58" spans="1:4">
      <c r="A58" s="1030" t="s">
        <v>919</v>
      </c>
      <c r="B58" s="1033">
        <v>43943</v>
      </c>
      <c r="C58" s="1030" t="s">
        <v>926</v>
      </c>
      <c r="D58" s="1032" t="s">
        <v>927</v>
      </c>
    </row>
    <row r="59" spans="1:4">
      <c r="A59" t="s">
        <v>919</v>
      </c>
      <c r="B59" s="1033">
        <v>43951</v>
      </c>
      <c r="C59" t="s">
        <v>928</v>
      </c>
      <c r="D59" s="1032" t="s">
        <v>929</v>
      </c>
    </row>
    <row r="60" spans="1:4">
      <c r="A60" t="s">
        <v>931</v>
      </c>
      <c r="B60" s="1033">
        <v>44315</v>
      </c>
      <c r="C60" t="s">
        <v>932</v>
      </c>
      <c r="D60" s="1031" t="s">
        <v>740</v>
      </c>
    </row>
    <row r="61" spans="1:4">
      <c r="A61" s="1040" t="s">
        <v>931</v>
      </c>
      <c r="B61" s="1042">
        <v>44326</v>
      </c>
      <c r="C61" t="s">
        <v>950</v>
      </c>
      <c r="D61" s="1043" t="s">
        <v>954</v>
      </c>
    </row>
    <row r="62" spans="1:4">
      <c r="A62" s="1040" t="s">
        <v>931</v>
      </c>
      <c r="B62" s="1042">
        <v>44326</v>
      </c>
      <c r="C62" t="s">
        <v>951</v>
      </c>
      <c r="D62" s="1043" t="s">
        <v>955</v>
      </c>
    </row>
    <row r="63" spans="1:4">
      <c r="A63" s="1040" t="s">
        <v>931</v>
      </c>
      <c r="B63" s="1042">
        <v>44326</v>
      </c>
      <c r="C63" t="s">
        <v>952</v>
      </c>
      <c r="D63" s="1043" t="s">
        <v>772</v>
      </c>
    </row>
    <row r="64" spans="1:4">
      <c r="A64" s="1040" t="s">
        <v>931</v>
      </c>
      <c r="B64" s="1042">
        <v>44326</v>
      </c>
      <c r="C64" t="s">
        <v>953</v>
      </c>
      <c r="D64" s="1044" t="s">
        <v>724</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2021-11-11T13:46:25Z</dcterms:modified>
</cp:coreProperties>
</file>