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586478CE-A2BB-4C28-95D4-40DE7032AB5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I8" i="18"/>
  <c r="I10" i="18" s="1"/>
  <c r="H10" i="18"/>
  <c r="M76" i="14"/>
  <c r="E10" i="18"/>
  <c r="F76" i="14"/>
  <c r="O17" i="18"/>
  <c r="O20" i="18" s="1"/>
  <c r="P9" i="55"/>
  <c r="I76" i="14"/>
  <c r="I8" i="55" s="1"/>
  <c r="I10" i="55" s="1"/>
  <c r="J20" i="18"/>
  <c r="J87" i="14"/>
  <c r="I20" i="18"/>
  <c r="I87" i="14"/>
  <c r="I17" i="55" s="1"/>
  <c r="I20" i="55" s="1"/>
  <c r="O8" i="18"/>
  <c r="O10" i="18" s="1"/>
  <c r="J10" i="18"/>
  <c r="Q87" i="14"/>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<sst xmlns="http://schemas.openxmlformats.org/spreadsheetml/2006/main" count="2574" uniqueCount="980">
  <si>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</si>
  <si>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</si>
  <si>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</si>
  <si>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</si>
  <si>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</si>
  <si>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</si>
  <si>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</si>
  <si>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</si>
  <si>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</si>
  <si>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</si>
  <si>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</si>
  <si>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</si>
  <si>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</si>
  <si>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</si>
  <si>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</si>
  <si>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</si>
  <si>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</si>
  <si>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</si>
  <si>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</si>
  <si>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</si>
  <si>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</si>
  <si>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</si>
  <si>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</si>
  <si>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</si>
  <si>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</si>
  <si>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</si>
  <si>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</si>
  <si>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</si>
  <si>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</si>
  <si>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</si>
  <si>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</si>
  <si>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</si>
  <si>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</si>
  <si>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</si>
  <si>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</si>
  <si>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</si>
  <si>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</si>
  <si>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</si>
  <si>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</si>
  <si>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</si>
  <si>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</si>
  <si>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</si>
  <si>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</si>
  <si>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</si>
  <si>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</si>
  <si>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</si>
  <si>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</si>
  <si>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</si>
  <si>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</si>
  <si>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</si>
  <si>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</si>
  <si>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</si>
  <si>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</si>
  <si>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</si>
  <si>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</si>
  <si>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</si>
  <si>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</si>
  <si>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</si>
  <si>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</si>
  <si>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</si>
  <si>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</si>
  <si>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</si>
  <si>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</si>
  <si>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</si>
  <si>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</si>
  <si>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</si>
  <si>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</si>
  <si>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</si>
  <si>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</si>
  <si>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</si>
  <si>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</si>
  <si>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</si>
  <si>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</si>
  <si>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</si>
  <si>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</si>
  <si>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</si>
  <si>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</si>
  <si>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</si>
  <si>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</si>
  <si>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</si>
  <si>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</si>
  <si>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</si>
  <si>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</si>
  <si>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</si>
  <si>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</si>
  <si>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</si>
  <si>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</si>
  <si>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</si>
  <si>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</si>
  <si>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</si>
  <si>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</si>
  <si>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</si>
  <si>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</si>
  <si>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</si>
  <si>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</si>
  <si>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</si>
  <si>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</si>
  <si>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</si>
  <si>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</si>
  <si>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</si>
  <si>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</si>
  <si>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</si>
  <si>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</si>
  <si>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</si>
  <si>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</si>
  <si>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</si>
  <si>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</si>
  <si>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</si>
  <si>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</si>
  <si>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</si>
  <si>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</si>
  <si>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</si>
  <si>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</si>
  <si>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</si>
  <si>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</si>
  <si>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</si>
  <si>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</si>
  <si>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</si>
  <si>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</si>
  <si>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</si>
  <si>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</si>
  <si>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</si>
  <si>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</si>
  <si>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</si>
  <si>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</si>
  <si>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</si>
  <si>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</si>
  <si>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</si>
  <si>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</si>
  <si>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</si>
  <si>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</si>
  <si>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</si>
  <si>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</si>
  <si>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</si>
  <si>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</si>
  <si>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</si>
  <si>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</si>
  <si>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</si>
  <si>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</si>
  <si>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</si>
  <si>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</si>
  <si>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</si>
  <si>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</si>
  <si>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</si>
  <si>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</si>
  <si>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</si>
  <si>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</si>
  <si>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</si>
  <si>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</si>
  <si>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</si>
  <si>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</si>
  <si>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</si>
  <si>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</si>
  <si>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</si>
  <si>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</si>
  <si>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</si>
  <si>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</si>
  <si>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</si>
  <si>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</si>
  <si>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</si>
  <si>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</si>
  <si>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</si>
  <si>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</si>
  <si>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</si>
  <si>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</si>
  <si>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</si>
  <si>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</si>
  <si>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</si>
  <si>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</si>
  <si>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</si>
  <si>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</si>
  <si>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</si>
  <si>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</si>
  <si>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</si>
  <si>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</si>
  <si>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</si>
  <si>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</si>
  <si>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</si>
  <si>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</si>
  <si>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</si>
  <si>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</si>
  <si>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</si>
  <si>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</si>
  <si>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</si>
  <si>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</si>
  <si>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</si>
  <si>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</si>
  <si>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</si>
  <si>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</si>
  <si>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</si>
  <si>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</si>
  <si>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</si>
  <si>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</si>
  <si>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</si>
  <si>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</si>
  <si>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</si>
  <si>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</si>
  <si>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</si>
  <si>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</si>
  <si>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</si>
  <si>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</si>
  <si>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</si>
  <si>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</si>
  <si>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</si>
  <si>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</si>
  <si>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</si>
  <si>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</si>
  <si>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</si>
  <si>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</si>
  <si>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</si>
  <si>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</si>
  <si>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</si>
  <si>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</si>
  <si>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</si>
  <si>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</si>
  <si>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</si>
  <si>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</si>
  <si>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</si>
  <si>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</si>
  <si>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</si>
  <si>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</si>
  <si>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</si>
  <si>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</si>
  <si>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</si>
  <si>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</si>
  <si>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</si>
  <si>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</si>
  <si>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</si>
  <si>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</si>
  <si>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</si>
  <si>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</si>
  <si>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</si>
  <si>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</si>
  <si>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</si>
  <si>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</si>
  <si>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</si>
  <si>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</si>
  <si>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</si>
  <si>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</si>
  <si>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</si>
  <si>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</si>
  <si>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</si>
  <si>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</si>
  <si>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</si>
  <si>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</si>
  <si>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</si>
  <si>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</si>
  <si>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</si>
  <si>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</si>
  <si>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</si>
  <si>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</si>
  <si>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</si>
  <si>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</si>
  <si>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</si>
  <si>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</si>
  <si>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</si>
  <si>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</si>
  <si>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</si>
  <si>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</si>
  <si>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</si>
  <si>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</si>
  <si>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</si>
  <si>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</si>
  <si>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</si>
  <si>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</si>
  <si>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</si>
  <si>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</si>
  <si>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</si>
  <si>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</si>
  <si>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</si>
  <si>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</si>
  <si>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</si>
  <si>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</si>
  <si>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</si>
  <si>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</si>
  <si>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</si>
  <si>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</si>
  <si>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</si>
  <si>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</si>
  <si>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</si>
  <si>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</si>
  <si>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</si>
  <si>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</si>
  <si>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</si>
  <si>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</si>
  <si>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</si>
  <si>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</si>
  <si>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</si>
  <si>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</si>
  <si>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</si>
  <si>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</si>
  <si>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</si>
  <si>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</si>
  <si>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</si>
  <si>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</si>
  <si>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</si>
  <si>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</si>
  <si>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</si>
  <si>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</si>
  <si>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</si>
  <si>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</si>
  <si>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</si>
  <si>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</si>
  <si>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</si>
  <si>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</si>
  <si>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</si>
  <si>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</si>
  <si>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</si>
  <si>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</si>
  <si>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</si>
  <si>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</si>
  <si>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</si>
  <si>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</si>
  <si>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</si>
  <si>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</si>
  <si>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</si>
  <si>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</si>
  <si>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</si>
  <si>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</si>
  <si>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</si>
  <si>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</si>
  <si>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</si>
  <si>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</si>
  <si>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</si>
  <si>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</si>
  <si>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</si>
  <si>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</si>
  <si>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</si>
  <si>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</si>
  <si>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</si>
  <si>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</si>
  <si>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</si>
  <si>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</si>
  <si>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</si>
  <si>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</si>
  <si>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</si>
  <si>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</si>
  <si>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</si>
  <si>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</si>
  <si>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</si>
  <si>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</si>
  <si>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</si>
  <si>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</si>
  <si>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</si>
  <si>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</si>
  <si>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</si>
  <si>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</si>
  <si>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</si>
  <si>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</si>
  <si>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</si>
  <si>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</si>
  <si>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</si>
  <si>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</si>
  <si>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</si>
  <si>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</si>
  <si>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</si>
  <si>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</si>
  <si>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</si>
  <si>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</si>
  <si>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</si>
  <si>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</si>
  <si>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</si>
  <si>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</si>
  <si>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</si>
  <si>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</si>
  <si>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</si>
  <si>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</si>
  <si>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</si>
  <si>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</si>
  <si>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</si>
  <si>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</si>
  <si>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</si>
  <si>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</si>
  <si>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</si>
  <si>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</si>
  <si>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</si>
  <si>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</si>
  <si>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</si>
  <si>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</si>
  <si>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</si>
  <si>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</si>
  <si>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</si>
  <si>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</si>
  <si>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</si>
  <si>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</si>
  <si>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</si>
  <si>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</si>
  <si>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</si>
  <si>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</si>
  <si>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</si>
  <si>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</si>
  <si>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</si>
  <si>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</si>
  <si>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</si>
  <si>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</si>
  <si>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</si>
  <si>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</si>
  <si>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</si>
  <si>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</si>
  <si>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</si>
  <si>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</si>
  <si>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</si>
  <si>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</si>
  <si>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</si>
  <si>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</si>
  <si>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</si>
  <si>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</si>
  <si>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</si>
  <si>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</si>
  <si>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</si>
  <si>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</si>
  <si>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</si>
  <si>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</si>
  <si>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</si>
  <si>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</si>
  <si>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</si>
  <si>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</si>
  <si>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</si>
  <si>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</si>
  <si>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</si>
  <si>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</si>
  <si>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</si>
  <si>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</si>
  <si>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</si>
  <si>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</si>
  <si>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</si>
  <si>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</si>
  <si>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</si>
  <si>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</si>
  <si>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</si>
  <si>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</si>
  <si>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</si>
  <si>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</si>
  <si>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</si>
  <si>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</si>
  <si>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</si>
  <si>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</si>
  <si>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</si>
  <si>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</si>
  <si>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</si>
  <si>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</si>
  <si>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</si>
  <si>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</si>
  <si>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</si>
  <si>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</si>
  <si>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</si>
  <si>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</si>
  <si>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</si>
  <si>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</si>
  <si>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</si>
  <si>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</si>
  <si>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</si>
  <si>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</si>
  <si>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</si>
  <si>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</si>
  <si>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</si>
  <si>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</si>
  <si>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</si>
  <si>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</si>
  <si>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</si>
  <si>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</si>
  <si>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</si>
  <si>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</si>
  <si>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</si>
  <si>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</si>
  <si>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</si>
  <si>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</si>
  <si>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</si>
  <si>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</si>
  <si>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</si>
  <si>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</si>
  <si>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</si>
  <si>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</si>
  <si>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</si>
  <si>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</si>
  <si>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</si>
  <si>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</si>
  <si>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</si>
  <si>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</si>
  <si>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</si>
  <si>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</si>
  <si>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</si>
  <si>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</si>
  <si>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</si>
  <si>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</si>
  <si>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</si>
  <si>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</si>
  <si>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</si>
  <si>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</si>
  <si>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</si>
  <si>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</si>
  <si>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</si>
  <si>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</si>
  <si>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</si>
  <si>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</si>
  <si>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</si>
  <si>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</si>
  <si>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</si>
  <si>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</si>
  <si>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</si>
  <si>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</si>
  <si>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</si>
  <si>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</si>
  <si>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</si>
  <si>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</si>
  <si>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</si>
  <si>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</si>
  <si>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</si>
  <si>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</si>
  <si>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</si>
  <si>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</si>
  <si>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</si>
  <si>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</si>
  <si>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</si>
  <si>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</si>
  <si>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</si>
  <si>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</si>
  <si>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</si>
  <si>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</si>
  <si>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</si>
  <si>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</si>
  <si>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</si>
  <si>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</si>
  <si>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</si>
  <si>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</si>
  <si>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</si>
  <si>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</si>
  <si>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</si>
  <si>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</si>
  <si>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</si>
  <si>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</si>
  <si>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</si>
  <si>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</si>
  <si>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</si>
  <si>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</si>
  <si>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</si>
  <si>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</si>
  <si>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</si>
  <si>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</si>
  <si>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</si>
  <si>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</si>
  <si>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</si>
  <si>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</si>
  <si>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</si>
  <si>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</si>
  <si>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</si>
  <si>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</si>
  <si>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</si>
  <si>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</si>
  <si>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</si>
  <si>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</si>
  <si>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</si>
  <si>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</si>
  <si>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</si>
  <si>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</si>
  <si>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</si>
  <si>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</si>
  <si>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</si>
  <si>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</si>
  <si>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</si>
  <si>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</si>
  <si>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</si>
  <si>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</si>
  <si>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</si>
  <si>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</si>
  <si>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</si>
  <si>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</si>
  <si>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</si>
  <si>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</si>
  <si>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</si>
  <si>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</si>
  <si>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</si>
  <si>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</si>
  <si>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</si>
  <si>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</si>
  <si>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</si>
  <si>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</si>
  <si>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</si>
  <si>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</si>
  <si>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</si>
  <si>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</si>
  <si>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</si>
  <si>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</si>
  <si>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</si>
  <si>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</si>
  <si>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</si>
  <si>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</si>
  <si>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</si>
  <si>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</si>
  <si>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</si>
  <si>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</si>
  <si>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</si>
  <si>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</si>
  <si>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</si>
  <si>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</si>
  <si>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</si>
  <si>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</si>
  <si>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</si>
  <si>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</si>
  <si>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</si>
  <si>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</si>
  <si>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</si>
  <si>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</si>
  <si>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</si>
  <si>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</si>
  <si>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</si>
  <si>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</si>
  <si>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</si>
  <si>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</si>
  <si>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</si>
  <si>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</si>
  <si>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</si>
  <si>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</si>
  <si>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</si>
  <si>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</si>
  <si>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</si>
  <si>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</si>
  <si>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</si>
  <si>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</si>
  <si>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</si>
  <si>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</si>
  <si>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</si>
  <si>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</si>
  <si>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</si>
  <si>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</si>
  <si>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</si>
  <si>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</si>
  <si>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</si>
  <si>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</si>
  <si>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</si>
  <si>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</si>
  <si>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</si>
  <si>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</si>
  <si>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</si>
  <si>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</si>
  <si>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</si>
  <si>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</si>
  <si>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</si>
  <si>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</si>
  <si>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</si>
  <si>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</si>
  <si>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</si>
  <si>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</si>
  <si>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</si>
  <si>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</si>
  <si>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</si>
  <si>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</si>
  <si>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</si>
  <si>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</si>
  <si>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</si>
  <si>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</si>
  <si>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</si>
  <si>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</si>
  <si>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</si>
  <si>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</si>
  <si>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</si>
  <si>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</si>
  <si>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</si>
  <si>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</si>
  <si>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</si>
  <si>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</si>
  <si>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</si>
  <si>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</si>
  <si>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</si>
  <si>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</si>
  <si>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</si>
  <si>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</si>
  <si>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</si>
  <si>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</si>
  <si>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</si>
  <si>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</si>
  <si>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</si>
  <si>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</si>
  <si>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</si>
  <si>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</si>
  <si>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</si>
  <si>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</si>
  <si>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</si>
  <si>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</si>
  <si>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</si>
  <si>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</si>
  <si>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</si>
  <si>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</si>
  <si>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</si>
  <si>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</si>
  <si>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</si>
  <si>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</si>
  <si>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</si>
  <si>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</si>
  <si>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</si>
  <si>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</si>
  <si>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</si>
  <si>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</si>
  <si>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</si>
  <si>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</si>
  <si>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</si>
  <si>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</si>
  <si>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</si>
  <si>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</si>
  <si>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</si>
  <si>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</si>
  <si>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</si>
  <si>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</si>
  <si>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</si>
  <si>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</si>
  <si>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</si>
  <si>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</si>
  <si>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</si>
  <si>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</si>
  <si>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</si>
  <si>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</si>
  <si>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</si>
  <si>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</si>
  <si>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</si>
  <si>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</si>
  <si>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</si>
  <si>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</si>
  <si>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</si>
  <si>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</si>
  <si>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</si>
  <si>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</si>
  <si>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</si>
  <si>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</si>
  <si>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</si>
  <si>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</si>
  <si>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</si>
  <si>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</si>
  <si>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</si>
  <si>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</si>
  <si>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</si>
  <si>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</si>
  <si>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</si>
  <si>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</si>
  <si>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</si>
  <si>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</si>
  <si>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</si>
  <si>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</si>
  <si>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</si>
  <si>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</si>
  <si>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</si>
  <si>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</si>
  <si>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</si>
  <si>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</si>
  <si>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</si>
  <si>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</si>
  <si>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</si>
  <si>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</si>
  <si>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</si>
  <si>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</si>
  <si>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</si>
  <si>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</si>
  <si>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</si>
  <si>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</si>
  <si>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</si>
  <si>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</si>
  <si>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</si>
  <si>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</si>
  <si>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</si>
  <si>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</si>
  <si>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</si>
  <si>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</si>
  <si>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</si>
  <si>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</si>
  <si>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</si>
  <si>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</si>
  <si>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</si>
  <si>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</si>
  <si>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</si>
  <si>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</si>
  <si>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</si>
  <si>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</si>
  <si>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</si>
  <si>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</si>
  <si>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</si>
  <si>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</si>
  <si>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</si>
  <si>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</si>
  <si>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</si>
  <si>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</si>
  <si>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</si>
  <si>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</si>
  <si>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</si>
  <si>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</si>
  <si>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</si>
  <si>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</si>
  <si>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</si>
  <si>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</si>
  <si>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</si>
  <si>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</si>
  <si>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</si>
  <si>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</si>
  <si>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</si>
  <si>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</si>
  <si>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</si>
  <si>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</si>
  <si>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</si>
  <si>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</si>
  <si>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</si>
  <si>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</si>
  <si>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</si>
  <si>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</si>
  <si>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</si>
  <si>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</si>
  <si>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</si>
  <si>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</si>
  <si>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</si>
  <si>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</si>
  <si>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</si>
  <si>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</si>
  <si>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</si>
  <si>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</si>
  <si>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</si>
  <si>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</si>
  <si>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</si>
  <si>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</si>
  <si>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</si>
  <si>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</si>
  <si>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</si>
  <si>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</si>
  <si>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</si>
  <si>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</si>
  <si>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</si>
  <si>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</si>
  <si>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</si>
  <si>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</si>
  <si>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</si>
  <si>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</si>
  <si>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</si>
  <si>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</si>
  <si>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</si>
  <si>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</si>
  <si>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</si>
  <si>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</si>
  <si>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</si>
  <si>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</si>
  <si>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</si>
  <si>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</si>
  <si>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</si>
  <si>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</si>
  <si>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</si>
  <si>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</si>
  <si>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</si>
  <si>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</si>
  <si>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</si>
  <si>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</si>
  <si>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</si>
  <si>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</si>
  <si>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</si>
  <si>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</si>
  <si>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</si>
  <si>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</si>
  <si>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</si>
  <si>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</si>
  <si>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</si>
  <si>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</si>
  <si>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</si>
  <si>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</si>
  <si>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</si>
  <si>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</si>
  <si>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</si>
  <si>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</si>
  <si>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</si>
  <si>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</si>
  <si>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</si>
  <si>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</si>
  <si>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</si>
  <si>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</si>
  <si>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</si>
  <si>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</si>
  <si>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</si>
  <si>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</si>
  <si>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</si>
  <si>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</si>
  <si>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</si>
  <si>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</si>
  <si>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</si>
  <si>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</si>
  <si>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</si>
  <si>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</si>
  <si>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</si>
  <si>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</si>
  <si>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</si>
  <si>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</si>
  <si>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</si>
  <si>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</si>
  <si>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</si>
  <si>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</si>
  <si>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</si>
  <si>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</si>
  <si>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</si>
  <si>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</si>
  <si>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</si>
  <si>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</si>
  <si>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</si>
  <si>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</si>
  <si>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</si>
  <si>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</si>
  <si>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</si>
  <si>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</si>
  <si>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</si>
  <si>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</si>
  <si>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</si>
  <si>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</si>
  <si>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</si>
  <si>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</si>
  <si>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</si>
  <si>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</si>
  <si>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</si>
  <si>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</si>
  <si>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</si>
  <si>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</si>
  <si>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</si>
  <si>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</si>
  <si>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</si>
  <si>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</si>
  <si>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</si>
  <si>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</si>
  <si>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</si>
  <si>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</si>
  <si>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</si>
  <si>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</si>
  <si>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</si>
  <si>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</si>
  <si>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</si>
  <si>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</si>
  <si>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</si>
  <si>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</si>
  <si>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</si>
  <si>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</si>
  <si>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</si>
  <si>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</si>
  <si>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</si>
  <si>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</si>
  <si>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</si>
  <si>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</si>
  <si>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</si>
  <si>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</si>
  <si>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</si>
  <si>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</si>
  <si>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</si>
  <si>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</si>
  <si>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</si>
  <si>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</si>
  <si>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</si>
  <si>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</si>
  <si>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</si>
  <si>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</si>
  <si>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</si>
  <si>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</si>
  <si>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</si>
  <si>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</si>
  <si>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</si>
  <si>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</si>
  <si>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</si>
  <si>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</si>
  <si>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</si>
  <si>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</si>
  <si>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</si>
  <si>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</si>
  <si>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</si>
  <si>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</si>
  <si>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</si>
  <si>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</si>
  <si>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</si>
  <si>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</si>
  <si>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</si>
  <si>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</si>
  <si>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</si>
  <si>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</si>
  <si>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</si>
  <si>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35006</t>
  </si>
  <si>
    <t>ICHTEGEM</t>
  </si>
  <si>
    <t>Paarden&amp;pony's 200 - 600 kg</t>
  </si>
  <si>
    <t>Paarden&amp;pony's &lt; 200 kg</t>
  </si>
  <si>
    <t>Fluvius</t>
  </si>
  <si>
    <t xml:space="preserve">Bron: </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</si>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</sst>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65270A60-7B6C-4AB3-AB86-0FC8E9F4125F}"/>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35006</v>
      </c>
      <c r="B6" s="384"/>
      <c r="C6" s="385"/>
    </row>
    <row r="7" spans="1:7" s="382" customFormat="1" ht="15.75" customHeight="1">
      <c r="A7" s="386" t="str">
        <f>txtMunicipality</f>
        <v>ICHTEGEM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11358.92071168431</v>
      </c>
      <c r="D10" s="674">
        <f ca="1">tertiair!C16</f>
        <v>0</v>
      </c>
      <c r="E10" s="674">
        <f ca="1">tertiair!D16</f>
        <v>12780.563371535809</v>
      </c>
      <c r="F10" s="674">
        <f>tertiair!E16</f>
        <v>185.79034469054127</v>
      </c>
      <c r="G10" s="674">
        <f ca="1">tertiair!F16</f>
        <v>1921.2135319836445</v>
      </c>
      <c r="H10" s="674">
        <f>tertiair!G16</f>
        <v>0</v>
      </c>
      <c r="I10" s="674">
        <f>tertiair!H16</f>
        <v>0</v>
      </c>
      <c r="J10" s="674">
        <f>tertiair!I16</f>
        <v>0</v>
      </c>
      <c r="K10" s="674">
        <f>tertiair!J16</f>
        <v>0</v>
      </c>
      <c r="L10" s="674">
        <f>tertiair!K16</f>
        <v>0</v>
      </c>
      <c r="M10" s="674">
        <f ca="1">tertiair!L16</f>
        <v>0</v>
      </c>
      <c r="N10" s="674">
        <f>tertiair!M16</f>
        <v>0</v>
      </c>
      <c r="O10" s="674">
        <f ca="1">tertiair!N16</f>
        <v>380.20726773250288</v>
      </c>
      <c r="P10" s="674">
        <f>tertiair!O16</f>
        <v>1.5633333333333335</v>
      </c>
      <c r="Q10" s="675">
        <f>tertiair!P16</f>
        <v>19.066666666666666</v>
      </c>
      <c r="R10" s="677">
        <f ca="1">SUM(C10:Q10)</f>
        <v>26647.325227626803</v>
      </c>
      <c r="S10" s="67"/>
    </row>
    <row r="11" spans="1:19" s="443" customFormat="1">
      <c r="A11" s="789" t="s">
        <v>214</v>
      </c>
      <c r="B11" s="794"/>
      <c r="C11" s="674">
        <f>huishoudens!B8</f>
        <v>24249.266242608683</v>
      </c>
      <c r="D11" s="674">
        <f>huishoudens!C8</f>
        <v>0</v>
      </c>
      <c r="E11" s="674">
        <f>huishoudens!D8</f>
        <v>50489.942469720867</v>
      </c>
      <c r="F11" s="674">
        <f>huishoudens!E8</f>
        <v>1147.7965492838212</v>
      </c>
      <c r="G11" s="674">
        <f>huishoudens!F8</f>
        <v>39179.341529183046</v>
      </c>
      <c r="H11" s="674">
        <f>huishoudens!G8</f>
        <v>0</v>
      </c>
      <c r="I11" s="674">
        <f>huishoudens!H8</f>
        <v>0</v>
      </c>
      <c r="J11" s="674">
        <f>huishoudens!I8</f>
        <v>0</v>
      </c>
      <c r="K11" s="674">
        <f>huishoudens!J8</f>
        <v>882.21944035478555</v>
      </c>
      <c r="L11" s="674">
        <f>huishoudens!K8</f>
        <v>0</v>
      </c>
      <c r="M11" s="674">
        <f>huishoudens!L8</f>
        <v>0</v>
      </c>
      <c r="N11" s="674">
        <f>huishoudens!M8</f>
        <v>0</v>
      </c>
      <c r="O11" s="674">
        <f>huishoudens!N8</f>
        <v>6843.502956588597</v>
      </c>
      <c r="P11" s="674">
        <f>huishoudens!O8</f>
        <v>60.970000000000006</v>
      </c>
      <c r="Q11" s="675">
        <f>huishoudens!P8</f>
        <v>57.2</v>
      </c>
      <c r="R11" s="677">
        <f>SUM(C11:Q11)</f>
        <v>122910.2391877398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9649.3378039563377</v>
      </c>
      <c r="D13" s="674">
        <f>industrie!C18</f>
        <v>0</v>
      </c>
      <c r="E13" s="674">
        <f>industrie!D18</f>
        <v>73665.861895388429</v>
      </c>
      <c r="F13" s="674">
        <f>industrie!E18</f>
        <v>102.10024142719898</v>
      </c>
      <c r="G13" s="674">
        <f>industrie!F18</f>
        <v>2667.986948294285</v>
      </c>
      <c r="H13" s="674">
        <f>industrie!G18</f>
        <v>0</v>
      </c>
      <c r="I13" s="674">
        <f>industrie!H18</f>
        <v>0</v>
      </c>
      <c r="J13" s="674">
        <f>industrie!I18</f>
        <v>0</v>
      </c>
      <c r="K13" s="674">
        <f>industrie!J18</f>
        <v>39.543765629792645</v>
      </c>
      <c r="L13" s="674">
        <f>industrie!K18</f>
        <v>0</v>
      </c>
      <c r="M13" s="674">
        <f>industrie!L18</f>
        <v>0</v>
      </c>
      <c r="N13" s="674">
        <f>industrie!M18</f>
        <v>0</v>
      </c>
      <c r="O13" s="674">
        <f>industrie!N18</f>
        <v>244.51356942019845</v>
      </c>
      <c r="P13" s="674">
        <f>industrie!O18</f>
        <v>0</v>
      </c>
      <c r="Q13" s="675">
        <f>industrie!P18</f>
        <v>0</v>
      </c>
      <c r="R13" s="677">
        <f>SUM(C13:Q13)</f>
        <v>86369.344224116241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45257.524758249332</v>
      </c>
      <c r="D16" s="707">
        <f t="shared" ref="D16:R16" ca="1" si="0">SUM(D9:D15)</f>
        <v>0</v>
      </c>
      <c r="E16" s="707">
        <f t="shared" ca="1" si="0"/>
        <v>136936.3677366451</v>
      </c>
      <c r="F16" s="707">
        <f t="shared" si="0"/>
        <v>1435.6871354015616</v>
      </c>
      <c r="G16" s="707">
        <f t="shared" ca="1" si="0"/>
        <v>43768.542009460973</v>
      </c>
      <c r="H16" s="707">
        <f t="shared" si="0"/>
        <v>0</v>
      </c>
      <c r="I16" s="707">
        <f t="shared" si="0"/>
        <v>0</v>
      </c>
      <c r="J16" s="707">
        <f t="shared" si="0"/>
        <v>0</v>
      </c>
      <c r="K16" s="707">
        <f t="shared" si="0"/>
        <v>921.76320598457824</v>
      </c>
      <c r="L16" s="707">
        <f t="shared" si="0"/>
        <v>0</v>
      </c>
      <c r="M16" s="707">
        <f t="shared" ca="1" si="0"/>
        <v>0</v>
      </c>
      <c r="N16" s="707">
        <f t="shared" si="0"/>
        <v>0</v>
      </c>
      <c r="O16" s="707">
        <f t="shared" ca="1" si="0"/>
        <v>7468.2237937412983</v>
      </c>
      <c r="P16" s="707">
        <f t="shared" si="0"/>
        <v>62.533333333333339</v>
      </c>
      <c r="Q16" s="707">
        <f t="shared" si="0"/>
        <v>76.266666666666666</v>
      </c>
      <c r="R16" s="707">
        <f t="shared" ca="1" si="0"/>
        <v>235926.90863948286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5.8243811466770543</v>
      </c>
      <c r="D19" s="674">
        <f>transport!C54</f>
        <v>0</v>
      </c>
      <c r="E19" s="674">
        <f>transport!D54</f>
        <v>0</v>
      </c>
      <c r="F19" s="674">
        <f>transport!E54</f>
        <v>0</v>
      </c>
      <c r="G19" s="674">
        <f>transport!F54</f>
        <v>0</v>
      </c>
      <c r="H19" s="674">
        <f>transport!G54</f>
        <v>1263.541013809873</v>
      </c>
      <c r="I19" s="674">
        <f>transport!H54</f>
        <v>0</v>
      </c>
      <c r="J19" s="674">
        <f>transport!I54</f>
        <v>0</v>
      </c>
      <c r="K19" s="674">
        <f>transport!J54</f>
        <v>0</v>
      </c>
      <c r="L19" s="674">
        <f>transport!K54</f>
        <v>0</v>
      </c>
      <c r="M19" s="674">
        <f>transport!L54</f>
        <v>0</v>
      </c>
      <c r="N19" s="674">
        <f>transport!M54</f>
        <v>54.099972635647973</v>
      </c>
      <c r="O19" s="674">
        <f>transport!N54</f>
        <v>0</v>
      </c>
      <c r="P19" s="674">
        <f>transport!O54</f>
        <v>0</v>
      </c>
      <c r="Q19" s="675">
        <f>transport!P54</f>
        <v>0</v>
      </c>
      <c r="R19" s="677">
        <f>SUM(C19:Q19)</f>
        <v>1323.4653675921979</v>
      </c>
      <c r="S19" s="67"/>
    </row>
    <row r="20" spans="1:19" s="443" customFormat="1">
      <c r="A20" s="789" t="s">
        <v>296</v>
      </c>
      <c r="B20" s="794"/>
      <c r="C20" s="674">
        <f>transport!B14</f>
        <v>0.77085687937815428</v>
      </c>
      <c r="D20" s="674">
        <f>transport!C14</f>
        <v>0</v>
      </c>
      <c r="E20" s="674">
        <f>transport!D14</f>
        <v>2.9145136860858125</v>
      </c>
      <c r="F20" s="674">
        <f>transport!E14</f>
        <v>295.63849725794358</v>
      </c>
      <c r="G20" s="674">
        <f>transport!F14</f>
        <v>0</v>
      </c>
      <c r="H20" s="674">
        <f>transport!G14</f>
        <v>52582.995580037634</v>
      </c>
      <c r="I20" s="674">
        <f>transport!H14</f>
        <v>9455.8893018237286</v>
      </c>
      <c r="J20" s="674">
        <f>transport!I14</f>
        <v>0</v>
      </c>
      <c r="K20" s="674">
        <f>transport!J14</f>
        <v>0</v>
      </c>
      <c r="L20" s="674">
        <f>transport!K14</f>
        <v>0</v>
      </c>
      <c r="M20" s="674">
        <f>transport!L14</f>
        <v>0</v>
      </c>
      <c r="N20" s="674">
        <f>transport!M14</f>
        <v>2700.4400846252311</v>
      </c>
      <c r="O20" s="674">
        <f>transport!N14</f>
        <v>0</v>
      </c>
      <c r="P20" s="674">
        <f>transport!O14</f>
        <v>0</v>
      </c>
      <c r="Q20" s="675">
        <f>transport!P14</f>
        <v>0</v>
      </c>
      <c r="R20" s="677">
        <f>SUM(C20:Q20)</f>
        <v>65038.648834309999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6.5952380260552088</v>
      </c>
      <c r="D22" s="792">
        <f t="shared" ref="D22:R22" si="1">SUM(D18:D21)</f>
        <v>0</v>
      </c>
      <c r="E22" s="792">
        <f t="shared" si="1"/>
        <v>2.9145136860858125</v>
      </c>
      <c r="F22" s="792">
        <f t="shared" si="1"/>
        <v>295.63849725794358</v>
      </c>
      <c r="G22" s="792">
        <f t="shared" si="1"/>
        <v>0</v>
      </c>
      <c r="H22" s="792">
        <f t="shared" si="1"/>
        <v>53846.536593847508</v>
      </c>
      <c r="I22" s="792">
        <f t="shared" si="1"/>
        <v>9455.8893018237286</v>
      </c>
      <c r="J22" s="792">
        <f t="shared" si="1"/>
        <v>0</v>
      </c>
      <c r="K22" s="792">
        <f t="shared" si="1"/>
        <v>0</v>
      </c>
      <c r="L22" s="792">
        <f t="shared" si="1"/>
        <v>0</v>
      </c>
      <c r="M22" s="792">
        <f t="shared" si="1"/>
        <v>0</v>
      </c>
      <c r="N22" s="792">
        <f t="shared" si="1"/>
        <v>2754.5400572608792</v>
      </c>
      <c r="O22" s="792">
        <f t="shared" si="1"/>
        <v>0</v>
      </c>
      <c r="P22" s="792">
        <f t="shared" si="1"/>
        <v>0</v>
      </c>
      <c r="Q22" s="792">
        <f t="shared" si="1"/>
        <v>0</v>
      </c>
      <c r="R22" s="792">
        <f t="shared" si="1"/>
        <v>66362.114201902194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3391.9366051350057</v>
      </c>
      <c r="D24" s="674">
        <f>+landbouw!C8</f>
        <v>27392.142857142859</v>
      </c>
      <c r="E24" s="674">
        <f>+landbouw!D8</f>
        <v>0</v>
      </c>
      <c r="F24" s="674">
        <f>+landbouw!E8</f>
        <v>35.52109445330322</v>
      </c>
      <c r="G24" s="674">
        <f>+landbouw!F8</f>
        <v>14520.065994427354</v>
      </c>
      <c r="H24" s="674">
        <f>+landbouw!G8</f>
        <v>0</v>
      </c>
      <c r="I24" s="674">
        <f>+landbouw!H8</f>
        <v>0</v>
      </c>
      <c r="J24" s="674">
        <f>+landbouw!I8</f>
        <v>0</v>
      </c>
      <c r="K24" s="674">
        <f>+landbouw!J8</f>
        <v>302.93034128500324</v>
      </c>
      <c r="L24" s="674">
        <f>+landbouw!K8</f>
        <v>0</v>
      </c>
      <c r="M24" s="674">
        <f>+landbouw!L8</f>
        <v>0</v>
      </c>
      <c r="N24" s="674">
        <f>+landbouw!M8</f>
        <v>0</v>
      </c>
      <c r="O24" s="674">
        <f>+landbouw!N8</f>
        <v>0</v>
      </c>
      <c r="P24" s="674">
        <f>+landbouw!O8</f>
        <v>0</v>
      </c>
      <c r="Q24" s="675">
        <f>+landbouw!P8</f>
        <v>0</v>
      </c>
      <c r="R24" s="677">
        <f>SUM(C24:Q24)</f>
        <v>45642.596892443522</v>
      </c>
      <c r="S24" s="67"/>
    </row>
    <row r="25" spans="1:19" s="443" customFormat="1" ht="15" thickBot="1">
      <c r="A25" s="811" t="s">
        <v>889</v>
      </c>
      <c r="B25" s="966"/>
      <c r="C25" s="967">
        <f>IF(Onbekend_ele_kWh="---",0,Onbekend_ele_kWh)/1000+IF(REST_rest_ele_kWh="---",0,REST_rest_ele_kWh)/1000</f>
        <v>1452.1914461899501</v>
      </c>
      <c r="D25" s="967"/>
      <c r="E25" s="967">
        <f>IF(onbekend_gas_kWh="---",0,onbekend_gas_kWh)/1000+IF(REST_rest_gas_kWh="---",0,REST_rest_gas_kWh)/1000</f>
        <v>3560.7876558810299</v>
      </c>
      <c r="F25" s="967"/>
      <c r="G25" s="967"/>
      <c r="H25" s="967"/>
      <c r="I25" s="967"/>
      <c r="J25" s="967"/>
      <c r="K25" s="967"/>
      <c r="L25" s="967"/>
      <c r="M25" s="967"/>
      <c r="N25" s="967"/>
      <c r="O25" s="967"/>
      <c r="P25" s="967"/>
      <c r="Q25" s="968"/>
      <c r="R25" s="677">
        <f>SUM(C25:Q25)</f>
        <v>5012.9791020709799</v>
      </c>
      <c r="S25" s="67"/>
    </row>
    <row r="26" spans="1:19" s="443" customFormat="1" ht="15.75" thickBot="1">
      <c r="A26" s="680" t="s">
        <v>890</v>
      </c>
      <c r="B26" s="797"/>
      <c r="C26" s="792">
        <f>SUM(C24:C25)</f>
        <v>4844.1280513249558</v>
      </c>
      <c r="D26" s="792">
        <f t="shared" ref="D26:R26" si="2">SUM(D24:D25)</f>
        <v>27392.142857142859</v>
      </c>
      <c r="E26" s="792">
        <f t="shared" si="2"/>
        <v>3560.7876558810299</v>
      </c>
      <c r="F26" s="792">
        <f t="shared" si="2"/>
        <v>35.52109445330322</v>
      </c>
      <c r="G26" s="792">
        <f t="shared" si="2"/>
        <v>14520.065994427354</v>
      </c>
      <c r="H26" s="792">
        <f t="shared" si="2"/>
        <v>0</v>
      </c>
      <c r="I26" s="792">
        <f t="shared" si="2"/>
        <v>0</v>
      </c>
      <c r="J26" s="792">
        <f t="shared" si="2"/>
        <v>0</v>
      </c>
      <c r="K26" s="792">
        <f t="shared" si="2"/>
        <v>302.93034128500324</v>
      </c>
      <c r="L26" s="792">
        <f t="shared" si="2"/>
        <v>0</v>
      </c>
      <c r="M26" s="792">
        <f t="shared" si="2"/>
        <v>0</v>
      </c>
      <c r="N26" s="792">
        <f t="shared" si="2"/>
        <v>0</v>
      </c>
      <c r="O26" s="792">
        <f t="shared" si="2"/>
        <v>0</v>
      </c>
      <c r="P26" s="792">
        <f t="shared" si="2"/>
        <v>0</v>
      </c>
      <c r="Q26" s="792">
        <f t="shared" si="2"/>
        <v>0</v>
      </c>
      <c r="R26" s="792">
        <f t="shared" si="2"/>
        <v>50655.575994514504</v>
      </c>
      <c r="S26" s="67"/>
    </row>
    <row r="27" spans="1:19" s="443" customFormat="1" ht="17.25" thickTop="1" thickBot="1">
      <c r="A27" s="681" t="s">
        <v>109</v>
      </c>
      <c r="B27" s="784"/>
      <c r="C27" s="682">
        <f ca="1">C22+C16+C26</f>
        <v>50108.248047600347</v>
      </c>
      <c r="D27" s="682">
        <f t="shared" ref="D27:R27" ca="1" si="3">D22+D16+D26</f>
        <v>27392.142857142859</v>
      </c>
      <c r="E27" s="682">
        <f t="shared" ca="1" si="3"/>
        <v>140500.06990621221</v>
      </c>
      <c r="F27" s="682">
        <f t="shared" si="3"/>
        <v>1766.8467271128084</v>
      </c>
      <c r="G27" s="682">
        <f t="shared" ca="1" si="3"/>
        <v>58288.608003888323</v>
      </c>
      <c r="H27" s="682">
        <f t="shared" si="3"/>
        <v>53846.536593847508</v>
      </c>
      <c r="I27" s="682">
        <f t="shared" si="3"/>
        <v>9455.8893018237286</v>
      </c>
      <c r="J27" s="682">
        <f t="shared" si="3"/>
        <v>0</v>
      </c>
      <c r="K27" s="682">
        <f t="shared" si="3"/>
        <v>1224.6935472695814</v>
      </c>
      <c r="L27" s="682">
        <f t="shared" si="3"/>
        <v>0</v>
      </c>
      <c r="M27" s="682">
        <f t="shared" ca="1" si="3"/>
        <v>0</v>
      </c>
      <c r="N27" s="682">
        <f t="shared" si="3"/>
        <v>2754.5400572608792</v>
      </c>
      <c r="O27" s="682">
        <f t="shared" ca="1" si="3"/>
        <v>7468.2237937412983</v>
      </c>
      <c r="P27" s="682">
        <f t="shared" si="3"/>
        <v>62.533333333333339</v>
      </c>
      <c r="Q27" s="682">
        <f t="shared" si="3"/>
        <v>76.266666666666666</v>
      </c>
      <c r="R27" s="682">
        <f t="shared" ca="1" si="3"/>
        <v>352944.59883589955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2459.0988970059425</v>
      </c>
      <c r="D40" s="674">
        <f ca="1">tertiair!C20</f>
        <v>0</v>
      </c>
      <c r="E40" s="674">
        <f ca="1">tertiair!D20</f>
        <v>2581.6738010502336</v>
      </c>
      <c r="F40" s="674">
        <f>tertiair!E20</f>
        <v>42.174408244752868</v>
      </c>
      <c r="G40" s="674">
        <f ca="1">tertiair!F20</f>
        <v>512.96401303963307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5595.9111193405624</v>
      </c>
    </row>
    <row r="41" spans="1:18">
      <c r="A41" s="802" t="s">
        <v>214</v>
      </c>
      <c r="B41" s="809"/>
      <c r="C41" s="674">
        <f ca="1">huishoudens!B12</f>
        <v>5249.7367825679848</v>
      </c>
      <c r="D41" s="674">
        <f ca="1">huishoudens!C12</f>
        <v>0</v>
      </c>
      <c r="E41" s="674">
        <f>huishoudens!D12</f>
        <v>10198.968378883616</v>
      </c>
      <c r="F41" s="674">
        <f>huishoudens!E12</f>
        <v>260.54981668742744</v>
      </c>
      <c r="G41" s="674">
        <f>huishoudens!F12</f>
        <v>10460.884188291873</v>
      </c>
      <c r="H41" s="674">
        <f>huishoudens!G12</f>
        <v>0</v>
      </c>
      <c r="I41" s="674">
        <f>huishoudens!H12</f>
        <v>0</v>
      </c>
      <c r="J41" s="674">
        <f>huishoudens!I12</f>
        <v>0</v>
      </c>
      <c r="K41" s="674">
        <f>huishoudens!J12</f>
        <v>312.30568188559408</v>
      </c>
      <c r="L41" s="674">
        <f>huishoudens!K12</f>
        <v>0</v>
      </c>
      <c r="M41" s="674">
        <f>huishoudens!L12</f>
        <v>0</v>
      </c>
      <c r="N41" s="674">
        <f>huishoudens!M12</f>
        <v>0</v>
      </c>
      <c r="O41" s="674">
        <f>huishoudens!N12</f>
        <v>0</v>
      </c>
      <c r="P41" s="674">
        <f>huishoudens!O12</f>
        <v>0</v>
      </c>
      <c r="Q41" s="749">
        <f>huishoudens!P12</f>
        <v>0</v>
      </c>
      <c r="R41" s="830">
        <f t="shared" ca="1" si="4"/>
        <v>26482.444848316496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2088.9903673804465</v>
      </c>
      <c r="D43" s="674">
        <f ca="1">industrie!C22</f>
        <v>0</v>
      </c>
      <c r="E43" s="674">
        <f>industrie!D22</f>
        <v>14880.504102868463</v>
      </c>
      <c r="F43" s="674">
        <f>industrie!E22</f>
        <v>23.17675480397417</v>
      </c>
      <c r="G43" s="674">
        <f>industrie!F22</f>
        <v>712.35251519457415</v>
      </c>
      <c r="H43" s="674">
        <f>industrie!G22</f>
        <v>0</v>
      </c>
      <c r="I43" s="674">
        <f>industrie!H22</f>
        <v>0</v>
      </c>
      <c r="J43" s="674">
        <f>industrie!I22</f>
        <v>0</v>
      </c>
      <c r="K43" s="674">
        <f>industrie!J22</f>
        <v>13.998493032946596</v>
      </c>
      <c r="L43" s="674">
        <f>industrie!K22</f>
        <v>0</v>
      </c>
      <c r="M43" s="674">
        <f>industrie!L22</f>
        <v>0</v>
      </c>
      <c r="N43" s="674">
        <f>industrie!M22</f>
        <v>0</v>
      </c>
      <c r="O43" s="674">
        <f>industrie!N22</f>
        <v>0</v>
      </c>
      <c r="P43" s="674">
        <f>industrie!O22</f>
        <v>0</v>
      </c>
      <c r="Q43" s="749">
        <f>industrie!P22</f>
        <v>0</v>
      </c>
      <c r="R43" s="829">
        <f t="shared" ca="1" si="4"/>
        <v>17719.022233280408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9797.8260469543748</v>
      </c>
      <c r="D46" s="707">
        <f t="shared" ref="D46:Q46" ca="1" si="5">SUM(D39:D45)</f>
        <v>0</v>
      </c>
      <c r="E46" s="707">
        <f t="shared" ca="1" si="5"/>
        <v>27661.146282802314</v>
      </c>
      <c r="F46" s="707">
        <f t="shared" si="5"/>
        <v>325.90097973615445</v>
      </c>
      <c r="G46" s="707">
        <f t="shared" ca="1" si="5"/>
        <v>11686.20071652608</v>
      </c>
      <c r="H46" s="707">
        <f t="shared" si="5"/>
        <v>0</v>
      </c>
      <c r="I46" s="707">
        <f t="shared" si="5"/>
        <v>0</v>
      </c>
      <c r="J46" s="707">
        <f t="shared" si="5"/>
        <v>0</v>
      </c>
      <c r="K46" s="707">
        <f t="shared" si="5"/>
        <v>326.3041749185407</v>
      </c>
      <c r="L46" s="707">
        <f t="shared" si="5"/>
        <v>0</v>
      </c>
      <c r="M46" s="707">
        <f t="shared" ca="1" si="5"/>
        <v>0</v>
      </c>
      <c r="N46" s="707">
        <f t="shared" si="5"/>
        <v>0</v>
      </c>
      <c r="O46" s="707">
        <f t="shared" ca="1" si="5"/>
        <v>0</v>
      </c>
      <c r="P46" s="707">
        <f t="shared" si="5"/>
        <v>0</v>
      </c>
      <c r="Q46" s="707">
        <f t="shared" si="5"/>
        <v>0</v>
      </c>
      <c r="R46" s="707">
        <f ca="1">SUM(R39:R45)</f>
        <v>49797.37820093747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1.2609234290017297</v>
      </c>
      <c r="D49" s="674">
        <f ca="1">transport!C58</f>
        <v>0</v>
      </c>
      <c r="E49" s="674">
        <f>transport!D58</f>
        <v>0</v>
      </c>
      <c r="F49" s="674">
        <f>transport!E58</f>
        <v>0</v>
      </c>
      <c r="G49" s="674">
        <f>transport!F58</f>
        <v>0</v>
      </c>
      <c r="H49" s="674">
        <f>transport!G58</f>
        <v>337.36545068723609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338.6263741162378</v>
      </c>
    </row>
    <row r="50" spans="1:18">
      <c r="A50" s="805" t="s">
        <v>296</v>
      </c>
      <c r="B50" s="815"/>
      <c r="C50" s="973">
        <f ca="1">transport!B18</f>
        <v>0.1668832233222956</v>
      </c>
      <c r="D50" s="973">
        <f>transport!C18</f>
        <v>0</v>
      </c>
      <c r="E50" s="973">
        <f>transport!D18</f>
        <v>0.58873176458933418</v>
      </c>
      <c r="F50" s="973">
        <f>transport!E18</f>
        <v>67.109938877553191</v>
      </c>
      <c r="G50" s="973">
        <f>transport!F18</f>
        <v>0</v>
      </c>
      <c r="H50" s="973">
        <f>transport!G18</f>
        <v>14039.659819870049</v>
      </c>
      <c r="I50" s="973">
        <f>transport!H18</f>
        <v>2354.5164361541083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16462.041809889623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1.4278066523240254</v>
      </c>
      <c r="D52" s="707">
        <f t="shared" ref="D52:Q52" ca="1" si="6">SUM(D48:D51)</f>
        <v>0</v>
      </c>
      <c r="E52" s="707">
        <f t="shared" si="6"/>
        <v>0.58873176458933418</v>
      </c>
      <c r="F52" s="707">
        <f t="shared" si="6"/>
        <v>67.109938877553191</v>
      </c>
      <c r="G52" s="707">
        <f t="shared" si="6"/>
        <v>0</v>
      </c>
      <c r="H52" s="707">
        <f t="shared" si="6"/>
        <v>14377.025270557284</v>
      </c>
      <c r="I52" s="707">
        <f t="shared" si="6"/>
        <v>2354.5164361541083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16800.668184005859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734.32219276093053</v>
      </c>
      <c r="D54" s="973">
        <f ca="1">+landbouw!C12</f>
        <v>6509.6621848739505</v>
      </c>
      <c r="E54" s="973">
        <f>+landbouw!D12</f>
        <v>0</v>
      </c>
      <c r="F54" s="973">
        <f>+landbouw!E12</f>
        <v>8.0632884408998304</v>
      </c>
      <c r="G54" s="973">
        <f>+landbouw!F12</f>
        <v>3876.8576205121035</v>
      </c>
      <c r="H54" s="973">
        <f>+landbouw!G12</f>
        <v>0</v>
      </c>
      <c r="I54" s="973">
        <f>+landbouw!H12</f>
        <v>0</v>
      </c>
      <c r="J54" s="973">
        <f>+landbouw!I12</f>
        <v>0</v>
      </c>
      <c r="K54" s="973">
        <f>+landbouw!J12</f>
        <v>107.23734081489114</v>
      </c>
      <c r="L54" s="973">
        <f>+landbouw!K12</f>
        <v>0</v>
      </c>
      <c r="M54" s="973">
        <f>+landbouw!L12</f>
        <v>0</v>
      </c>
      <c r="N54" s="973">
        <f>+landbouw!M12</f>
        <v>0</v>
      </c>
      <c r="O54" s="973">
        <f>+landbouw!N12</f>
        <v>0</v>
      </c>
      <c r="P54" s="973">
        <f>+landbouw!O12</f>
        <v>0</v>
      </c>
      <c r="Q54" s="974">
        <f>+landbouw!P12</f>
        <v>0</v>
      </c>
      <c r="R54" s="706">
        <f ca="1">SUM(C54:Q54)</f>
        <v>11236.142627402774</v>
      </c>
    </row>
    <row r="55" spans="1:18" ht="15" thickBot="1">
      <c r="A55" s="805" t="s">
        <v>889</v>
      </c>
      <c r="B55" s="815"/>
      <c r="C55" s="973">
        <f ca="1">C25*'EF ele_warmte'!B12</f>
        <v>314.38571271069708</v>
      </c>
      <c r="D55" s="973"/>
      <c r="E55" s="973">
        <f>E25*EF_CO2_aardgas</f>
        <v>719.27910648796808</v>
      </c>
      <c r="F55" s="973"/>
      <c r="G55" s="973"/>
      <c r="H55" s="973"/>
      <c r="I55" s="973"/>
      <c r="J55" s="973"/>
      <c r="K55" s="973"/>
      <c r="L55" s="973"/>
      <c r="M55" s="973"/>
      <c r="N55" s="973"/>
      <c r="O55" s="973"/>
      <c r="P55" s="973"/>
      <c r="Q55" s="974"/>
      <c r="R55" s="706">
        <f ca="1">SUM(C55:Q55)</f>
        <v>1033.6648191986651</v>
      </c>
    </row>
    <row r="56" spans="1:18" ht="15.75" thickBot="1">
      <c r="A56" s="803" t="s">
        <v>890</v>
      </c>
      <c r="B56" s="816"/>
      <c r="C56" s="707">
        <f ca="1">SUM(C54:C55)</f>
        <v>1048.7079054716276</v>
      </c>
      <c r="D56" s="707">
        <f t="shared" ref="D56:Q56" ca="1" si="7">SUM(D54:D55)</f>
        <v>6509.6621848739505</v>
      </c>
      <c r="E56" s="707">
        <f t="shared" si="7"/>
        <v>719.27910648796808</v>
      </c>
      <c r="F56" s="707">
        <f t="shared" si="7"/>
        <v>8.0632884408998304</v>
      </c>
      <c r="G56" s="707">
        <f t="shared" si="7"/>
        <v>3876.8576205121035</v>
      </c>
      <c r="H56" s="707">
        <f t="shared" si="7"/>
        <v>0</v>
      </c>
      <c r="I56" s="707">
        <f t="shared" si="7"/>
        <v>0</v>
      </c>
      <c r="J56" s="707">
        <f t="shared" si="7"/>
        <v>0</v>
      </c>
      <c r="K56" s="707">
        <f t="shared" si="7"/>
        <v>107.23734081489114</v>
      </c>
      <c r="L56" s="707">
        <f t="shared" si="7"/>
        <v>0</v>
      </c>
      <c r="M56" s="707">
        <f t="shared" si="7"/>
        <v>0</v>
      </c>
      <c r="N56" s="707">
        <f t="shared" si="7"/>
        <v>0</v>
      </c>
      <c r="O56" s="707">
        <f t="shared" si="7"/>
        <v>0</v>
      </c>
      <c r="P56" s="707">
        <f t="shared" si="7"/>
        <v>0</v>
      </c>
      <c r="Q56" s="708">
        <f t="shared" si="7"/>
        <v>0</v>
      </c>
      <c r="R56" s="709">
        <f ca="1">SUM(R54:R55)</f>
        <v>12269.80744660144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10847.961759078325</v>
      </c>
      <c r="D61" s="715">
        <f t="shared" ref="D61:Q61" ca="1" si="8">D46+D52+D56</f>
        <v>6509.6621848739505</v>
      </c>
      <c r="E61" s="715">
        <f t="shared" ca="1" si="8"/>
        <v>28381.014121054872</v>
      </c>
      <c r="F61" s="715">
        <f t="shared" si="8"/>
        <v>401.07420705460748</v>
      </c>
      <c r="G61" s="715">
        <f t="shared" ca="1" si="8"/>
        <v>15563.058337038183</v>
      </c>
      <c r="H61" s="715">
        <f t="shared" si="8"/>
        <v>14377.025270557284</v>
      </c>
      <c r="I61" s="715">
        <f t="shared" si="8"/>
        <v>2354.5164361541083</v>
      </c>
      <c r="J61" s="715">
        <f t="shared" si="8"/>
        <v>0</v>
      </c>
      <c r="K61" s="715">
        <f t="shared" si="8"/>
        <v>433.54151573343182</v>
      </c>
      <c r="L61" s="715">
        <f t="shared" si="8"/>
        <v>0</v>
      </c>
      <c r="M61" s="715">
        <f t="shared" ca="1" si="8"/>
        <v>0</v>
      </c>
      <c r="N61" s="715">
        <f t="shared" si="8"/>
        <v>0</v>
      </c>
      <c r="O61" s="715">
        <f t="shared" ca="1" si="8"/>
        <v>0</v>
      </c>
      <c r="P61" s="715">
        <f t="shared" si="8"/>
        <v>0</v>
      </c>
      <c r="Q61" s="715">
        <f t="shared" si="8"/>
        <v>0</v>
      </c>
      <c r="R61" s="715">
        <f ca="1">R46+R52+R56</f>
        <v>78867.853831544766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0.21649054161249662</v>
      </c>
      <c r="D63" s="759">
        <f t="shared" ca="1" si="9"/>
        <v>0.23764705882352943</v>
      </c>
      <c r="E63" s="975">
        <f t="shared" ca="1" si="9"/>
        <v>0.20200000000000004</v>
      </c>
      <c r="F63" s="759">
        <f t="shared" si="9"/>
        <v>0.22699999999999998</v>
      </c>
      <c r="G63" s="759">
        <f t="shared" ca="1" si="9"/>
        <v>0.26700000000000002</v>
      </c>
      <c r="H63" s="759">
        <f t="shared" si="9"/>
        <v>0.26699999999999996</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2466.7877323670405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19174.5</v>
      </c>
      <c r="D76" s="985">
        <f>'lokale energieproductie'!C8</f>
        <v>22558.23529411765</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4556.7635294117654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2466.7877323670405</v>
      </c>
      <c r="C78" s="730">
        <f>SUM(C72:C77)</f>
        <v>19174.5</v>
      </c>
      <c r="D78" s="731">
        <f t="shared" ref="D78:H78" si="10">SUM(D76:D77)</f>
        <v>22558.23529411765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4556.7635294117654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27392.142857142859</v>
      </c>
      <c r="D87" s="752">
        <f>'lokale energieproductie'!C17</f>
        <v>32226.050420168071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6509.6621848739505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27392.142857142859</v>
      </c>
      <c r="D90" s="730">
        <f t="shared" ref="D90:H90" si="12">SUM(D87:D89)</f>
        <v>32226.050420168071</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6509.6621848739505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24249.266242608683</v>
      </c>
      <c r="C4" s="447">
        <f>huishoudens!C8</f>
        <v>0</v>
      </c>
      <c r="D4" s="447">
        <f>huishoudens!D8</f>
        <v>50489.942469720867</v>
      </c>
      <c r="E4" s="447">
        <f>huishoudens!E8</f>
        <v>1147.7965492838212</v>
      </c>
      <c r="F4" s="447">
        <f>huishoudens!F8</f>
        <v>39179.341529183046</v>
      </c>
      <c r="G4" s="447">
        <f>huishoudens!G8</f>
        <v>0</v>
      </c>
      <c r="H4" s="447">
        <f>huishoudens!H8</f>
        <v>0</v>
      </c>
      <c r="I4" s="447">
        <f>huishoudens!I8</f>
        <v>0</v>
      </c>
      <c r="J4" s="447">
        <f>huishoudens!J8</f>
        <v>882.21944035478555</v>
      </c>
      <c r="K4" s="447">
        <f>huishoudens!K8</f>
        <v>0</v>
      </c>
      <c r="L4" s="447">
        <f>huishoudens!L8</f>
        <v>0</v>
      </c>
      <c r="M4" s="447">
        <f>huishoudens!M8</f>
        <v>0</v>
      </c>
      <c r="N4" s="447">
        <f>huishoudens!N8</f>
        <v>6843.502956588597</v>
      </c>
      <c r="O4" s="447">
        <f>huishoudens!O8</f>
        <v>60.970000000000006</v>
      </c>
      <c r="P4" s="448">
        <f>huishoudens!P8</f>
        <v>57.2</v>
      </c>
      <c r="Q4" s="449">
        <f>SUM(B4:P4)</f>
        <v>122910.2391877398</v>
      </c>
    </row>
    <row r="5" spans="1:17">
      <c r="A5" s="446" t="s">
        <v>149</v>
      </c>
      <c r="B5" s="447">
        <f ca="1">tertiair!B16</f>
        <v>10350.905711684311</v>
      </c>
      <c r="C5" s="447">
        <f ca="1">tertiair!C16</f>
        <v>0</v>
      </c>
      <c r="D5" s="447">
        <f ca="1">tertiair!D16</f>
        <v>12780.563371535809</v>
      </c>
      <c r="E5" s="447">
        <f>tertiair!E16</f>
        <v>185.79034469054127</v>
      </c>
      <c r="F5" s="447">
        <f ca="1">tertiair!F16</f>
        <v>1921.2135319836445</v>
      </c>
      <c r="G5" s="447">
        <f>tertiair!G16</f>
        <v>0</v>
      </c>
      <c r="H5" s="447">
        <f>tertiair!H16</f>
        <v>0</v>
      </c>
      <c r="I5" s="447">
        <f>tertiair!I16</f>
        <v>0</v>
      </c>
      <c r="J5" s="447">
        <f>tertiair!J16</f>
        <v>0</v>
      </c>
      <c r="K5" s="447">
        <f>tertiair!K16</f>
        <v>0</v>
      </c>
      <c r="L5" s="447">
        <f ca="1">tertiair!L16</f>
        <v>0</v>
      </c>
      <c r="M5" s="447">
        <f>tertiair!M16</f>
        <v>0</v>
      </c>
      <c r="N5" s="447">
        <f ca="1">tertiair!N16</f>
        <v>380.20726773250288</v>
      </c>
      <c r="O5" s="447">
        <f>tertiair!O16</f>
        <v>1.5633333333333335</v>
      </c>
      <c r="P5" s="448">
        <f>tertiair!P16</f>
        <v>19.066666666666666</v>
      </c>
      <c r="Q5" s="446">
        <f t="shared" ref="Q5:Q14" ca="1" si="0">SUM(B5:P5)</f>
        <v>25639.310227626804</v>
      </c>
    </row>
    <row r="6" spans="1:17">
      <c r="A6" s="446" t="s">
        <v>187</v>
      </c>
      <c r="B6" s="447">
        <f>'openbare verlichting'!B8</f>
        <v>1008.015</v>
      </c>
      <c r="C6" s="447"/>
      <c r="D6" s="447"/>
      <c r="E6" s="447"/>
      <c r="F6" s="447"/>
      <c r="G6" s="447"/>
      <c r="H6" s="447"/>
      <c r="I6" s="447"/>
      <c r="J6" s="447"/>
      <c r="K6" s="447"/>
      <c r="L6" s="447"/>
      <c r="M6" s="447"/>
      <c r="N6" s="447"/>
      <c r="O6" s="447"/>
      <c r="P6" s="448"/>
      <c r="Q6" s="446">
        <f t="shared" si="0"/>
        <v>1008.015</v>
      </c>
    </row>
    <row r="7" spans="1:17">
      <c r="A7" s="446" t="s">
        <v>105</v>
      </c>
      <c r="B7" s="447">
        <f>landbouw!B8</f>
        <v>3391.9366051350057</v>
      </c>
      <c r="C7" s="447">
        <f>landbouw!C8</f>
        <v>27392.142857142859</v>
      </c>
      <c r="D7" s="447">
        <f>landbouw!D8</f>
        <v>0</v>
      </c>
      <c r="E7" s="447">
        <f>landbouw!E8</f>
        <v>35.52109445330322</v>
      </c>
      <c r="F7" s="447">
        <f>landbouw!F8</f>
        <v>14520.065994427354</v>
      </c>
      <c r="G7" s="447">
        <f>landbouw!G8</f>
        <v>0</v>
      </c>
      <c r="H7" s="447">
        <f>landbouw!H8</f>
        <v>0</v>
      </c>
      <c r="I7" s="447">
        <f>landbouw!I8</f>
        <v>0</v>
      </c>
      <c r="J7" s="447">
        <f>landbouw!J8</f>
        <v>302.93034128500324</v>
      </c>
      <c r="K7" s="447">
        <f>landbouw!K8</f>
        <v>0</v>
      </c>
      <c r="L7" s="447">
        <f>landbouw!L8</f>
        <v>0</v>
      </c>
      <c r="M7" s="447">
        <f>landbouw!M8</f>
        <v>0</v>
      </c>
      <c r="N7" s="447">
        <f>landbouw!N8</f>
        <v>0</v>
      </c>
      <c r="O7" s="447">
        <f>landbouw!O8</f>
        <v>0</v>
      </c>
      <c r="P7" s="448">
        <f>landbouw!P8</f>
        <v>0</v>
      </c>
      <c r="Q7" s="446">
        <f t="shared" si="0"/>
        <v>45642.596892443522</v>
      </c>
    </row>
    <row r="8" spans="1:17">
      <c r="A8" s="446" t="s">
        <v>637</v>
      </c>
      <c r="B8" s="447">
        <f>industrie!B18</f>
        <v>9649.3378039563377</v>
      </c>
      <c r="C8" s="447">
        <f>industrie!C18</f>
        <v>0</v>
      </c>
      <c r="D8" s="447">
        <f>industrie!D18</f>
        <v>73665.861895388429</v>
      </c>
      <c r="E8" s="447">
        <f>industrie!E18</f>
        <v>102.10024142719898</v>
      </c>
      <c r="F8" s="447">
        <f>industrie!F18</f>
        <v>2667.986948294285</v>
      </c>
      <c r="G8" s="447">
        <f>industrie!G18</f>
        <v>0</v>
      </c>
      <c r="H8" s="447">
        <f>industrie!H18</f>
        <v>0</v>
      </c>
      <c r="I8" s="447">
        <f>industrie!I18</f>
        <v>0</v>
      </c>
      <c r="J8" s="447">
        <f>industrie!J18</f>
        <v>39.543765629792645</v>
      </c>
      <c r="K8" s="447">
        <f>industrie!K18</f>
        <v>0</v>
      </c>
      <c r="L8" s="447">
        <f>industrie!L18</f>
        <v>0</v>
      </c>
      <c r="M8" s="447">
        <f>industrie!M18</f>
        <v>0</v>
      </c>
      <c r="N8" s="447">
        <f>industrie!N18</f>
        <v>244.51356942019845</v>
      </c>
      <c r="O8" s="447">
        <f>industrie!O18</f>
        <v>0</v>
      </c>
      <c r="P8" s="448">
        <f>industrie!P18</f>
        <v>0</v>
      </c>
      <c r="Q8" s="446">
        <f t="shared" si="0"/>
        <v>86369.344224116241</v>
      </c>
    </row>
    <row r="9" spans="1:17" s="452" customFormat="1">
      <c r="A9" s="450" t="s">
        <v>556</v>
      </c>
      <c r="B9" s="451">
        <f>transport!B14</f>
        <v>0.77085687937815428</v>
      </c>
      <c r="C9" s="451">
        <f>transport!C14</f>
        <v>0</v>
      </c>
      <c r="D9" s="451">
        <f>transport!D14</f>
        <v>2.9145136860858125</v>
      </c>
      <c r="E9" s="451">
        <f>transport!E14</f>
        <v>295.63849725794358</v>
      </c>
      <c r="F9" s="451">
        <f>transport!F14</f>
        <v>0</v>
      </c>
      <c r="G9" s="451">
        <f>transport!G14</f>
        <v>52582.995580037634</v>
      </c>
      <c r="H9" s="451">
        <f>transport!H14</f>
        <v>9455.8893018237286</v>
      </c>
      <c r="I9" s="451">
        <f>transport!I14</f>
        <v>0</v>
      </c>
      <c r="J9" s="451">
        <f>transport!J14</f>
        <v>0</v>
      </c>
      <c r="K9" s="451">
        <f>transport!K14</f>
        <v>0</v>
      </c>
      <c r="L9" s="451">
        <f>transport!L14</f>
        <v>0</v>
      </c>
      <c r="M9" s="451">
        <f>transport!M14</f>
        <v>2700.4400846252311</v>
      </c>
      <c r="N9" s="451">
        <f>transport!N14</f>
        <v>0</v>
      </c>
      <c r="O9" s="451">
        <f>transport!O14</f>
        <v>0</v>
      </c>
      <c r="P9" s="451">
        <f>transport!P14</f>
        <v>0</v>
      </c>
      <c r="Q9" s="450">
        <f>SUM(B9:P9)</f>
        <v>65038.648834309999</v>
      </c>
    </row>
    <row r="10" spans="1:17">
      <c r="A10" s="446" t="s">
        <v>546</v>
      </c>
      <c r="B10" s="447">
        <f>transport!B54</f>
        <v>5.8243811466770543</v>
      </c>
      <c r="C10" s="447">
        <f>transport!C54</f>
        <v>0</v>
      </c>
      <c r="D10" s="447">
        <f>transport!D54</f>
        <v>0</v>
      </c>
      <c r="E10" s="447">
        <f>transport!E54</f>
        <v>0</v>
      </c>
      <c r="F10" s="447">
        <f>transport!F54</f>
        <v>0</v>
      </c>
      <c r="G10" s="447">
        <f>transport!G54</f>
        <v>1263.541013809873</v>
      </c>
      <c r="H10" s="447">
        <f>transport!H54</f>
        <v>0</v>
      </c>
      <c r="I10" s="447">
        <f>transport!I54</f>
        <v>0</v>
      </c>
      <c r="J10" s="447">
        <f>transport!J54</f>
        <v>0</v>
      </c>
      <c r="K10" s="447">
        <f>transport!K54</f>
        <v>0</v>
      </c>
      <c r="L10" s="447">
        <f>transport!L54</f>
        <v>0</v>
      </c>
      <c r="M10" s="447">
        <f>transport!M54</f>
        <v>54.099972635647973</v>
      </c>
      <c r="N10" s="447">
        <f>transport!N54</f>
        <v>0</v>
      </c>
      <c r="O10" s="447">
        <f>transport!O54</f>
        <v>0</v>
      </c>
      <c r="P10" s="448">
        <f>transport!P54</f>
        <v>0</v>
      </c>
      <c r="Q10" s="446">
        <f t="shared" si="0"/>
        <v>1323.4653675921979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1452.1914461899501</v>
      </c>
      <c r="C14" s="454"/>
      <c r="D14" s="454">
        <f>'SEAP template'!E25</f>
        <v>3560.7876558810299</v>
      </c>
      <c r="E14" s="454"/>
      <c r="F14" s="454"/>
      <c r="G14" s="454"/>
      <c r="H14" s="454"/>
      <c r="I14" s="454"/>
      <c r="J14" s="454"/>
      <c r="K14" s="454"/>
      <c r="L14" s="454"/>
      <c r="M14" s="454"/>
      <c r="N14" s="454"/>
      <c r="O14" s="454"/>
      <c r="P14" s="455"/>
      <c r="Q14" s="446">
        <f t="shared" si="0"/>
        <v>5012.9791020709799</v>
      </c>
    </row>
    <row r="15" spans="1:17" s="459" customFormat="1">
      <c r="A15" s="456" t="s">
        <v>550</v>
      </c>
      <c r="B15" s="457">
        <f ca="1">SUM(B4:B14)</f>
        <v>50108.24804760034</v>
      </c>
      <c r="C15" s="457">
        <f t="shared" ref="C15:Q15" ca="1" si="1">SUM(C4:C14)</f>
        <v>27392.142857142859</v>
      </c>
      <c r="D15" s="457">
        <f t="shared" ca="1" si="1"/>
        <v>140500.06990621221</v>
      </c>
      <c r="E15" s="457">
        <f t="shared" si="1"/>
        <v>1766.8467271128084</v>
      </c>
      <c r="F15" s="457">
        <f t="shared" ca="1" si="1"/>
        <v>58288.608003888337</v>
      </c>
      <c r="G15" s="457">
        <f t="shared" si="1"/>
        <v>53846.536593847508</v>
      </c>
      <c r="H15" s="457">
        <f t="shared" si="1"/>
        <v>9455.8893018237286</v>
      </c>
      <c r="I15" s="457">
        <f t="shared" si="1"/>
        <v>0</v>
      </c>
      <c r="J15" s="457">
        <f t="shared" si="1"/>
        <v>1224.6935472695814</v>
      </c>
      <c r="K15" s="457">
        <f t="shared" si="1"/>
        <v>0</v>
      </c>
      <c r="L15" s="457">
        <f t="shared" ca="1" si="1"/>
        <v>0</v>
      </c>
      <c r="M15" s="457">
        <f t="shared" si="1"/>
        <v>2754.5400572608792</v>
      </c>
      <c r="N15" s="457">
        <f t="shared" ca="1" si="1"/>
        <v>7468.2237937412983</v>
      </c>
      <c r="O15" s="457">
        <f t="shared" si="1"/>
        <v>62.533333333333339</v>
      </c>
      <c r="P15" s="457">
        <f t="shared" si="1"/>
        <v>76.266666666666666</v>
      </c>
      <c r="Q15" s="457">
        <f t="shared" ca="1" si="1"/>
        <v>352944.59883589955</v>
      </c>
    </row>
    <row r="17" spans="1:17">
      <c r="A17" s="460" t="s">
        <v>551</v>
      </c>
      <c r="B17" s="764">
        <f ca="1">huishoudens!B10</f>
        <v>0.21649054161249665</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5249.7367825679848</v>
      </c>
      <c r="C22" s="447">
        <f t="shared" ref="C22:C32" ca="1" si="3">C4*$C$17</f>
        <v>0</v>
      </c>
      <c r="D22" s="447">
        <f t="shared" ref="D22:D32" si="4">D4*$D$17</f>
        <v>10198.968378883616</v>
      </c>
      <c r="E22" s="447">
        <f t="shared" ref="E22:E32" si="5">E4*$E$17</f>
        <v>260.54981668742744</v>
      </c>
      <c r="F22" s="447">
        <f t="shared" ref="F22:F32" si="6">F4*$F$17</f>
        <v>10460.884188291873</v>
      </c>
      <c r="G22" s="447">
        <f t="shared" ref="G22:G32" si="7">G4*$G$17</f>
        <v>0</v>
      </c>
      <c r="H22" s="447">
        <f t="shared" ref="H22:H32" si="8">H4*$H$17</f>
        <v>0</v>
      </c>
      <c r="I22" s="447">
        <f t="shared" ref="I22:I32" si="9">I4*$I$17</f>
        <v>0</v>
      </c>
      <c r="J22" s="447">
        <f t="shared" ref="J22:J32" si="10">J4*$J$17</f>
        <v>312.30568188559408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26482.444848316496</v>
      </c>
    </row>
    <row r="23" spans="1:17">
      <c r="A23" s="446" t="s">
        <v>149</v>
      </c>
      <c r="B23" s="447">
        <f t="shared" ca="1" si="2"/>
        <v>2240.8731837024216</v>
      </c>
      <c r="C23" s="447">
        <f t="shared" ca="1" si="3"/>
        <v>0</v>
      </c>
      <c r="D23" s="447">
        <f t="shared" ca="1" si="4"/>
        <v>2581.6738010502336</v>
      </c>
      <c r="E23" s="447">
        <f t="shared" si="5"/>
        <v>42.174408244752868</v>
      </c>
      <c r="F23" s="447">
        <f t="shared" ca="1" si="6"/>
        <v>512.96401303963307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5377.6854060370406</v>
      </c>
    </row>
    <row r="24" spans="1:17">
      <c r="A24" s="446" t="s">
        <v>187</v>
      </c>
      <c r="B24" s="447">
        <f t="shared" ca="1" si="2"/>
        <v>218.22571330352079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218.22571330352079</v>
      </c>
    </row>
    <row r="25" spans="1:17">
      <c r="A25" s="446" t="s">
        <v>105</v>
      </c>
      <c r="B25" s="447">
        <f t="shared" ca="1" si="2"/>
        <v>734.32219276093053</v>
      </c>
      <c r="C25" s="447">
        <f t="shared" ca="1" si="3"/>
        <v>6509.6621848739505</v>
      </c>
      <c r="D25" s="447">
        <f t="shared" si="4"/>
        <v>0</v>
      </c>
      <c r="E25" s="447">
        <f t="shared" si="5"/>
        <v>8.0632884408998304</v>
      </c>
      <c r="F25" s="447">
        <f t="shared" si="6"/>
        <v>3876.8576205121035</v>
      </c>
      <c r="G25" s="447">
        <f t="shared" si="7"/>
        <v>0</v>
      </c>
      <c r="H25" s="447">
        <f t="shared" si="8"/>
        <v>0</v>
      </c>
      <c r="I25" s="447">
        <f t="shared" si="9"/>
        <v>0</v>
      </c>
      <c r="J25" s="447">
        <f t="shared" si="10"/>
        <v>107.23734081489114</v>
      </c>
      <c r="K25" s="447">
        <f t="shared" si="11"/>
        <v>0</v>
      </c>
      <c r="L25" s="447">
        <f t="shared" si="12"/>
        <v>0</v>
      </c>
      <c r="M25" s="447">
        <f t="shared" si="13"/>
        <v>0</v>
      </c>
      <c r="N25" s="447">
        <f t="shared" si="14"/>
        <v>0</v>
      </c>
      <c r="O25" s="447">
        <f t="shared" si="15"/>
        <v>0</v>
      </c>
      <c r="P25" s="448">
        <f t="shared" si="16"/>
        <v>0</v>
      </c>
      <c r="Q25" s="446">
        <f t="shared" ca="1" si="17"/>
        <v>11236.142627402774</v>
      </c>
    </row>
    <row r="26" spans="1:17">
      <c r="A26" s="446" t="s">
        <v>637</v>
      </c>
      <c r="B26" s="447">
        <f t="shared" ca="1" si="2"/>
        <v>2088.9903673804465</v>
      </c>
      <c r="C26" s="447">
        <f t="shared" ca="1" si="3"/>
        <v>0</v>
      </c>
      <c r="D26" s="447">
        <f t="shared" si="4"/>
        <v>14880.504102868463</v>
      </c>
      <c r="E26" s="447">
        <f t="shared" si="5"/>
        <v>23.17675480397417</v>
      </c>
      <c r="F26" s="447">
        <f t="shared" si="6"/>
        <v>712.35251519457415</v>
      </c>
      <c r="G26" s="447">
        <f t="shared" si="7"/>
        <v>0</v>
      </c>
      <c r="H26" s="447">
        <f t="shared" si="8"/>
        <v>0</v>
      </c>
      <c r="I26" s="447">
        <f t="shared" si="9"/>
        <v>0</v>
      </c>
      <c r="J26" s="447">
        <f t="shared" si="10"/>
        <v>13.998493032946596</v>
      </c>
      <c r="K26" s="447">
        <f t="shared" si="11"/>
        <v>0</v>
      </c>
      <c r="L26" s="447">
        <f t="shared" si="12"/>
        <v>0</v>
      </c>
      <c r="M26" s="447">
        <f t="shared" si="13"/>
        <v>0</v>
      </c>
      <c r="N26" s="447">
        <f t="shared" si="14"/>
        <v>0</v>
      </c>
      <c r="O26" s="447">
        <f t="shared" si="15"/>
        <v>0</v>
      </c>
      <c r="P26" s="448">
        <f t="shared" si="16"/>
        <v>0</v>
      </c>
      <c r="Q26" s="446">
        <f t="shared" ca="1" si="17"/>
        <v>17719.022233280408</v>
      </c>
    </row>
    <row r="27" spans="1:17" s="452" customFormat="1">
      <c r="A27" s="450" t="s">
        <v>556</v>
      </c>
      <c r="B27" s="758">
        <f t="shared" ca="1" si="2"/>
        <v>0.1668832233222956</v>
      </c>
      <c r="C27" s="451">
        <f t="shared" ca="1" si="3"/>
        <v>0</v>
      </c>
      <c r="D27" s="451">
        <f t="shared" si="4"/>
        <v>0.58873176458933418</v>
      </c>
      <c r="E27" s="451">
        <f t="shared" si="5"/>
        <v>67.109938877553191</v>
      </c>
      <c r="F27" s="451">
        <f t="shared" si="6"/>
        <v>0</v>
      </c>
      <c r="G27" s="451">
        <f t="shared" si="7"/>
        <v>14039.659819870049</v>
      </c>
      <c r="H27" s="451">
        <f t="shared" si="8"/>
        <v>2354.5164361541083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16462.041809889623</v>
      </c>
    </row>
    <row r="28" spans="1:17">
      <c r="A28" s="446" t="s">
        <v>546</v>
      </c>
      <c r="B28" s="447">
        <f t="shared" ca="1" si="2"/>
        <v>1.2609234290017297</v>
      </c>
      <c r="C28" s="447">
        <f t="shared" ca="1" si="3"/>
        <v>0</v>
      </c>
      <c r="D28" s="447">
        <f t="shared" si="4"/>
        <v>0</v>
      </c>
      <c r="E28" s="447">
        <f t="shared" si="5"/>
        <v>0</v>
      </c>
      <c r="F28" s="447">
        <f t="shared" si="6"/>
        <v>0</v>
      </c>
      <c r="G28" s="447">
        <f t="shared" si="7"/>
        <v>337.36545068723609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338.6263741162378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314.38571271069708</v>
      </c>
      <c r="C32" s="447">
        <f t="shared" ca="1" si="3"/>
        <v>0</v>
      </c>
      <c r="D32" s="447">
        <f t="shared" si="4"/>
        <v>719.27910648796808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1033.6648191986651</v>
      </c>
    </row>
    <row r="33" spans="1:17" s="459" customFormat="1">
      <c r="A33" s="456" t="s">
        <v>550</v>
      </c>
      <c r="B33" s="457">
        <f ca="1">SUM(B22:B32)</f>
        <v>10847.961759078325</v>
      </c>
      <c r="C33" s="457">
        <f t="shared" ref="C33:Q33" ca="1" si="19">SUM(C22:C32)</f>
        <v>6509.6621848739505</v>
      </c>
      <c r="D33" s="457">
        <f t="shared" ca="1" si="19"/>
        <v>28381.014121054872</v>
      </c>
      <c r="E33" s="457">
        <f t="shared" si="19"/>
        <v>401.07420705460748</v>
      </c>
      <c r="F33" s="457">
        <f t="shared" ca="1" si="19"/>
        <v>15563.058337038185</v>
      </c>
      <c r="G33" s="457">
        <f t="shared" si="19"/>
        <v>14377.025270557284</v>
      </c>
      <c r="H33" s="457">
        <f t="shared" si="19"/>
        <v>2354.5164361541083</v>
      </c>
      <c r="I33" s="457">
        <f t="shared" si="19"/>
        <v>0</v>
      </c>
      <c r="J33" s="457">
        <f t="shared" si="19"/>
        <v>433.54151573343182</v>
      </c>
      <c r="K33" s="457">
        <f t="shared" si="19"/>
        <v>0</v>
      </c>
      <c r="L33" s="457">
        <f t="shared" ca="1" si="19"/>
        <v>0</v>
      </c>
      <c r="M33" s="457">
        <f t="shared" si="19"/>
        <v>0</v>
      </c>
      <c r="N33" s="457">
        <f t="shared" ca="1" si="19"/>
        <v>0</v>
      </c>
      <c r="O33" s="457">
        <f t="shared" si="19"/>
        <v>0</v>
      </c>
      <c r="P33" s="457">
        <f t="shared" si="19"/>
        <v>0</v>
      </c>
      <c r="Q33" s="457">
        <f t="shared" ca="1" si="19"/>
        <v>78867.853831544751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2466.7877323670405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19174.5</v>
      </c>
      <c r="D8" s="1006">
        <f>'SEAP template'!D76</f>
        <v>22558.23529411765</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4556.7635294117654</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2466.7877323670405</v>
      </c>
      <c r="C10" s="1010">
        <f>SUM(C4:C9)</f>
        <v>19174.5</v>
      </c>
      <c r="D10" s="1010">
        <f t="shared" ref="D10:H10" si="0">SUM(D8:D9)</f>
        <v>22558.23529411765</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4556.7635294117654</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0.21649054161249665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27392.142857142859</v>
      </c>
      <c r="D17" s="1007">
        <f>'SEAP template'!D87</f>
        <v>32226.050420168071</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6509.6621848739505</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27392.142857142859</v>
      </c>
      <c r="D20" s="1010">
        <f t="shared" ref="D20:H20" si="2">SUM(D17:D19)</f>
        <v>32226.050420168071</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6509.6621848739505</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0.21649054161249665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0.21649054161249665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0.21649054161249665</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5667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3068</v>
      </c>
      <c r="C14" s="326"/>
      <c r="D14" s="326"/>
      <c r="E14" s="326"/>
      <c r="F14" s="326"/>
    </row>
    <row r="15" spans="1:6">
      <c r="A15" s="1280" t="s">
        <v>177</v>
      </c>
      <c r="B15" s="1281">
        <v>992</v>
      </c>
      <c r="C15" s="326"/>
      <c r="D15" s="326"/>
      <c r="E15" s="326"/>
      <c r="F15" s="326"/>
    </row>
    <row r="16" spans="1:6">
      <c r="A16" s="1280" t="s">
        <v>6</v>
      </c>
      <c r="B16" s="1281">
        <v>1579</v>
      </c>
      <c r="C16" s="326"/>
      <c r="D16" s="326"/>
      <c r="E16" s="326"/>
      <c r="F16" s="326"/>
    </row>
    <row r="17" spans="1:6">
      <c r="A17" s="1280" t="s">
        <v>7</v>
      </c>
      <c r="B17" s="1281">
        <v>911</v>
      </c>
      <c r="C17" s="326"/>
      <c r="D17" s="326"/>
      <c r="E17" s="326"/>
      <c r="F17" s="326"/>
    </row>
    <row r="18" spans="1:6">
      <c r="A18" s="1280" t="s">
        <v>8</v>
      </c>
      <c r="B18" s="1281">
        <v>1519</v>
      </c>
      <c r="C18" s="326"/>
      <c r="D18" s="326"/>
      <c r="E18" s="326"/>
      <c r="F18" s="326"/>
    </row>
    <row r="19" spans="1:6">
      <c r="A19" s="1280" t="s">
        <v>9</v>
      </c>
      <c r="B19" s="1281">
        <v>1468</v>
      </c>
      <c r="C19" s="326"/>
      <c r="D19" s="326"/>
      <c r="E19" s="326"/>
      <c r="F19" s="326"/>
    </row>
    <row r="20" spans="1:6">
      <c r="A20" s="1280" t="s">
        <v>10</v>
      </c>
      <c r="B20" s="1281">
        <v>1101</v>
      </c>
      <c r="C20" s="326"/>
      <c r="D20" s="326"/>
      <c r="E20" s="326"/>
      <c r="F20" s="326"/>
    </row>
    <row r="21" spans="1:6">
      <c r="A21" s="1280" t="s">
        <v>11</v>
      </c>
      <c r="B21" s="1281">
        <v>12939</v>
      </c>
      <c r="C21" s="326"/>
      <c r="D21" s="326"/>
      <c r="E21" s="326"/>
      <c r="F21" s="326"/>
    </row>
    <row r="22" spans="1:6">
      <c r="A22" s="1280" t="s">
        <v>12</v>
      </c>
      <c r="B22" s="1281">
        <v>54434</v>
      </c>
      <c r="C22" s="326"/>
      <c r="D22" s="326"/>
      <c r="E22" s="326"/>
      <c r="F22" s="326"/>
    </row>
    <row r="23" spans="1:6">
      <c r="A23" s="1280" t="s">
        <v>13</v>
      </c>
      <c r="B23" s="1281">
        <v>700</v>
      </c>
      <c r="C23" s="326"/>
      <c r="D23" s="326"/>
      <c r="E23" s="326"/>
      <c r="F23" s="326"/>
    </row>
    <row r="24" spans="1:6">
      <c r="A24" s="1280" t="s">
        <v>14</v>
      </c>
      <c r="B24" s="1281">
        <v>38</v>
      </c>
      <c r="C24" s="326"/>
      <c r="D24" s="326"/>
      <c r="E24" s="326"/>
      <c r="F24" s="326"/>
    </row>
    <row r="25" spans="1:6">
      <c r="A25" s="1280" t="s">
        <v>15</v>
      </c>
      <c r="B25" s="1281">
        <v>3804</v>
      </c>
      <c r="C25" s="326"/>
      <c r="D25" s="326"/>
      <c r="E25" s="326"/>
      <c r="F25" s="326"/>
    </row>
    <row r="26" spans="1:6">
      <c r="A26" s="1280" t="s">
        <v>16</v>
      </c>
      <c r="B26" s="1281">
        <v>423</v>
      </c>
      <c r="C26" s="326"/>
      <c r="D26" s="326"/>
      <c r="E26" s="326"/>
      <c r="F26" s="326"/>
    </row>
    <row r="27" spans="1:6">
      <c r="A27" s="1280" t="s">
        <v>17</v>
      </c>
      <c r="B27" s="1281">
        <v>8</v>
      </c>
      <c r="C27" s="326"/>
      <c r="D27" s="326"/>
      <c r="E27" s="326"/>
      <c r="F27" s="326"/>
    </row>
    <row r="28" spans="1:6">
      <c r="A28" s="1280" t="s">
        <v>18</v>
      </c>
      <c r="B28" s="1282">
        <v>177763</v>
      </c>
      <c r="C28" s="326"/>
      <c r="D28" s="326"/>
      <c r="E28" s="326"/>
      <c r="F28" s="326"/>
    </row>
    <row r="29" spans="1:6">
      <c r="A29" s="1280" t="s">
        <v>972</v>
      </c>
      <c r="B29" s="1282">
        <v>149</v>
      </c>
      <c r="C29" s="326"/>
      <c r="D29" s="326"/>
      <c r="E29" s="326"/>
      <c r="F29" s="326"/>
    </row>
    <row r="30" spans="1:6">
      <c r="A30" s="1275" t="s">
        <v>973</v>
      </c>
      <c r="B30" s="1283">
        <v>42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6</v>
      </c>
      <c r="F36" s="1281">
        <v>7108.661578145</v>
      </c>
    </row>
    <row r="37" spans="1:6">
      <c r="A37" s="1280" t="s">
        <v>24</v>
      </c>
      <c r="B37" s="1280" t="s">
        <v>27</v>
      </c>
      <c r="C37" s="1281">
        <v>0</v>
      </c>
      <c r="D37" s="1281">
        <v>0</v>
      </c>
      <c r="E37" s="1281">
        <v>0</v>
      </c>
      <c r="F37" s="1281">
        <v>0</v>
      </c>
    </row>
    <row r="38" spans="1:6">
      <c r="A38" s="1280" t="s">
        <v>24</v>
      </c>
      <c r="B38" s="1280" t="s">
        <v>28</v>
      </c>
      <c r="C38" s="1281">
        <v>1</v>
      </c>
      <c r="D38" s="1281">
        <v>67289717.875799999</v>
      </c>
      <c r="E38" s="1281">
        <v>3</v>
      </c>
      <c r="F38" s="1281">
        <v>155263.660855614</v>
      </c>
    </row>
    <row r="39" spans="1:6">
      <c r="A39" s="1280" t="s">
        <v>29</v>
      </c>
      <c r="B39" s="1280" t="s">
        <v>30</v>
      </c>
      <c r="C39" s="1281">
        <v>3459</v>
      </c>
      <c r="D39" s="1281">
        <v>55975545.975300297</v>
      </c>
      <c r="E39" s="1281">
        <v>5126</v>
      </c>
      <c r="F39" s="1281">
        <v>22425404.889100902</v>
      </c>
    </row>
    <row r="40" spans="1:6">
      <c r="A40" s="1280" t="s">
        <v>29</v>
      </c>
      <c r="B40" s="1280" t="s">
        <v>28</v>
      </c>
      <c r="C40" s="1281">
        <v>0</v>
      </c>
      <c r="D40" s="1281">
        <v>0</v>
      </c>
      <c r="E40" s="1281">
        <v>0</v>
      </c>
      <c r="F40" s="1281">
        <v>0</v>
      </c>
    </row>
    <row r="41" spans="1:6">
      <c r="A41" s="1280" t="s">
        <v>31</v>
      </c>
      <c r="B41" s="1280" t="s">
        <v>32</v>
      </c>
      <c r="C41" s="1281">
        <v>58</v>
      </c>
      <c r="D41" s="1281">
        <v>1440125.3710883399</v>
      </c>
      <c r="E41" s="1281">
        <v>128</v>
      </c>
      <c r="F41" s="1281">
        <v>1757303.2304591001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4</v>
      </c>
      <c r="F44" s="1281">
        <v>295267.25528410199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4</v>
      </c>
      <c r="D47" s="1281">
        <v>179883.409152051</v>
      </c>
      <c r="E47" s="1281">
        <v>3</v>
      </c>
      <c r="F47" s="1281">
        <v>59354.8382516524</v>
      </c>
    </row>
    <row r="48" spans="1:6">
      <c r="A48" s="1280" t="s">
        <v>31</v>
      </c>
      <c r="B48" s="1280" t="s">
        <v>28</v>
      </c>
      <c r="C48" s="1281">
        <v>25</v>
      </c>
      <c r="D48" s="1281">
        <v>15291890.690710099</v>
      </c>
      <c r="E48" s="1281">
        <v>30</v>
      </c>
      <c r="F48" s="1281">
        <v>860239.82513608295</v>
      </c>
    </row>
    <row r="49" spans="1:6">
      <c r="A49" s="1280" t="s">
        <v>31</v>
      </c>
      <c r="B49" s="1280" t="s">
        <v>39</v>
      </c>
      <c r="C49" s="1281">
        <v>0</v>
      </c>
      <c r="D49" s="1281">
        <v>0</v>
      </c>
      <c r="E49" s="1281">
        <v>0</v>
      </c>
      <c r="F49" s="1281">
        <v>0</v>
      </c>
    </row>
    <row r="50" spans="1:6">
      <c r="A50" s="1280" t="s">
        <v>31</v>
      </c>
      <c r="B50" s="1280" t="s">
        <v>40</v>
      </c>
      <c r="C50" s="1281">
        <v>16</v>
      </c>
      <c r="D50" s="1281">
        <v>64757570.479590997</v>
      </c>
      <c r="E50" s="1281">
        <v>26</v>
      </c>
      <c r="F50" s="1281">
        <v>6677172.6548253996</v>
      </c>
    </row>
    <row r="51" spans="1:6">
      <c r="A51" s="1280" t="s">
        <v>41</v>
      </c>
      <c r="B51" s="1280" t="s">
        <v>42</v>
      </c>
      <c r="C51" s="1281">
        <v>14</v>
      </c>
      <c r="D51" s="1281">
        <v>231333.51163345401</v>
      </c>
      <c r="E51" s="1281">
        <v>167</v>
      </c>
      <c r="F51" s="1281">
        <v>3189664.7798939198</v>
      </c>
    </row>
    <row r="52" spans="1:6">
      <c r="A52" s="1280" t="s">
        <v>41</v>
      </c>
      <c r="B52" s="1280" t="s">
        <v>28</v>
      </c>
      <c r="C52" s="1281">
        <v>1</v>
      </c>
      <c r="D52" s="1281">
        <v>0</v>
      </c>
      <c r="E52" s="1281">
        <v>8</v>
      </c>
      <c r="F52" s="1281">
        <v>202271.82524108599</v>
      </c>
    </row>
    <row r="53" spans="1:6">
      <c r="A53" s="1280" t="s">
        <v>43</v>
      </c>
      <c r="B53" s="1280" t="s">
        <v>44</v>
      </c>
      <c r="C53" s="1281">
        <v>194</v>
      </c>
      <c r="D53" s="1281">
        <v>3560787.65588103</v>
      </c>
      <c r="E53" s="1281">
        <v>301</v>
      </c>
      <c r="F53" s="1281">
        <v>1452191.44618995</v>
      </c>
    </row>
    <row r="54" spans="1:6">
      <c r="A54" s="1280" t="s">
        <v>45</v>
      </c>
      <c r="B54" s="1280" t="s">
        <v>46</v>
      </c>
      <c r="C54" s="1281">
        <v>0</v>
      </c>
      <c r="D54" s="1281">
        <v>0</v>
      </c>
      <c r="E54" s="1281">
        <v>1</v>
      </c>
      <c r="F54" s="1281">
        <v>1008015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30</v>
      </c>
      <c r="D57" s="1281">
        <v>747938.48392078199</v>
      </c>
      <c r="E57" s="1281">
        <v>90</v>
      </c>
      <c r="F57" s="1281">
        <v>1296141.6747723101</v>
      </c>
    </row>
    <row r="58" spans="1:6">
      <c r="A58" s="1280" t="s">
        <v>48</v>
      </c>
      <c r="B58" s="1280" t="s">
        <v>50</v>
      </c>
      <c r="C58" s="1281">
        <v>0</v>
      </c>
      <c r="D58" s="1281">
        <v>0</v>
      </c>
      <c r="E58" s="1281">
        <v>6</v>
      </c>
      <c r="F58" s="1281">
        <v>330772.52049205202</v>
      </c>
    </row>
    <row r="59" spans="1:6">
      <c r="A59" s="1280" t="s">
        <v>48</v>
      </c>
      <c r="B59" s="1280" t="s">
        <v>51</v>
      </c>
      <c r="C59" s="1281">
        <v>79</v>
      </c>
      <c r="D59" s="1281">
        <v>2850123.3730848199</v>
      </c>
      <c r="E59" s="1281">
        <v>189</v>
      </c>
      <c r="F59" s="1281">
        <v>3983959.7468039999</v>
      </c>
    </row>
    <row r="60" spans="1:6">
      <c r="A60" s="1280" t="s">
        <v>48</v>
      </c>
      <c r="B60" s="1280" t="s">
        <v>52</v>
      </c>
      <c r="C60" s="1281">
        <v>41</v>
      </c>
      <c r="D60" s="1281">
        <v>1940503.7076594301</v>
      </c>
      <c r="E60" s="1281">
        <v>50</v>
      </c>
      <c r="F60" s="1281">
        <v>1192105.7423852</v>
      </c>
    </row>
    <row r="61" spans="1:6">
      <c r="A61" s="1280" t="s">
        <v>48</v>
      </c>
      <c r="B61" s="1280" t="s">
        <v>53</v>
      </c>
      <c r="C61" s="1281">
        <v>55</v>
      </c>
      <c r="D61" s="1281">
        <v>3429288.1779994499</v>
      </c>
      <c r="E61" s="1281">
        <v>123</v>
      </c>
      <c r="F61" s="1281">
        <v>1100107.25517253</v>
      </c>
    </row>
    <row r="62" spans="1:6">
      <c r="A62" s="1280" t="s">
        <v>48</v>
      </c>
      <c r="B62" s="1280" t="s">
        <v>54</v>
      </c>
      <c r="C62" s="1281">
        <v>5</v>
      </c>
      <c r="D62" s="1281">
        <v>658507.18392964802</v>
      </c>
      <c r="E62" s="1281">
        <v>3</v>
      </c>
      <c r="F62" s="1281">
        <v>46338.47651742</v>
      </c>
    </row>
    <row r="63" spans="1:6">
      <c r="A63" s="1280" t="s">
        <v>48</v>
      </c>
      <c r="B63" s="1280" t="s">
        <v>28</v>
      </c>
      <c r="C63" s="1281">
        <v>85</v>
      </c>
      <c r="D63" s="1281">
        <v>4542778.0662393598</v>
      </c>
      <c r="E63" s="1281">
        <v>82</v>
      </c>
      <c r="F63" s="1281">
        <v>2401480.2955407999</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5075.6339197939997</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7</v>
      </c>
      <c r="D68" s="1283">
        <v>171661.10765070401</v>
      </c>
      <c r="E68" s="1283">
        <v>19</v>
      </c>
      <c r="F68" s="1283">
        <v>190842.687451309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45987094</v>
      </c>
      <c r="E73" s="445"/>
      <c r="F73" s="326"/>
    </row>
    <row r="74" spans="1:6">
      <c r="A74" s="1280" t="s">
        <v>63</v>
      </c>
      <c r="B74" s="1280" t="s">
        <v>754</v>
      </c>
      <c r="C74" s="1293" t="s">
        <v>755</v>
      </c>
      <c r="D74" s="1281">
        <v>4194738.3560873577</v>
      </c>
      <c r="E74" s="445"/>
      <c r="F74" s="326"/>
    </row>
    <row r="75" spans="1:6">
      <c r="A75" s="1280" t="s">
        <v>64</v>
      </c>
      <c r="B75" s="1280" t="s">
        <v>752</v>
      </c>
      <c r="C75" s="1293" t="s">
        <v>756</v>
      </c>
      <c r="D75" s="1281">
        <v>24251399</v>
      </c>
      <c r="E75" s="445"/>
      <c r="F75" s="326"/>
    </row>
    <row r="76" spans="1:6">
      <c r="A76" s="1280" t="s">
        <v>64</v>
      </c>
      <c r="B76" s="1280" t="s">
        <v>754</v>
      </c>
      <c r="C76" s="1293" t="s">
        <v>757</v>
      </c>
      <c r="D76" s="1281">
        <v>898498.35608735774</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346553.28782528441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1823.8613535077836</v>
      </c>
      <c r="C91" s="326"/>
      <c r="D91" s="326"/>
      <c r="E91" s="326"/>
      <c r="F91" s="326"/>
    </row>
    <row r="92" spans="1:6">
      <c r="A92" s="1275" t="s">
        <v>68</v>
      </c>
      <c r="B92" s="1276">
        <v>642.92637885925672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2557</v>
      </c>
      <c r="C97" s="326"/>
      <c r="D97" s="326"/>
      <c r="E97" s="326"/>
      <c r="F97" s="326"/>
    </row>
    <row r="98" spans="1:6">
      <c r="A98" s="1280" t="s">
        <v>71</v>
      </c>
      <c r="B98" s="1281">
        <v>2</v>
      </c>
      <c r="C98" s="326"/>
      <c r="D98" s="326"/>
      <c r="E98" s="326"/>
      <c r="F98" s="326"/>
    </row>
    <row r="99" spans="1:6">
      <c r="A99" s="1280" t="s">
        <v>72</v>
      </c>
      <c r="B99" s="1281">
        <v>154</v>
      </c>
      <c r="C99" s="326"/>
      <c r="D99" s="326"/>
      <c r="E99" s="326"/>
      <c r="F99" s="326"/>
    </row>
    <row r="100" spans="1:6">
      <c r="A100" s="1280" t="s">
        <v>73</v>
      </c>
      <c r="B100" s="1281">
        <v>356</v>
      </c>
      <c r="C100" s="326"/>
      <c r="D100" s="326"/>
      <c r="E100" s="326"/>
      <c r="F100" s="326"/>
    </row>
    <row r="101" spans="1:6">
      <c r="A101" s="1280" t="s">
        <v>74</v>
      </c>
      <c r="B101" s="1281">
        <v>153</v>
      </c>
      <c r="C101" s="326"/>
      <c r="D101" s="326"/>
      <c r="E101" s="326"/>
      <c r="F101" s="326"/>
    </row>
    <row r="102" spans="1:6">
      <c r="A102" s="1280" t="s">
        <v>75</v>
      </c>
      <c r="B102" s="1281">
        <v>66</v>
      </c>
      <c r="C102" s="326"/>
      <c r="D102" s="326"/>
      <c r="E102" s="326"/>
      <c r="F102" s="326"/>
    </row>
    <row r="103" spans="1:6">
      <c r="A103" s="1280" t="s">
        <v>76</v>
      </c>
      <c r="B103" s="1281">
        <v>193</v>
      </c>
      <c r="C103" s="326"/>
      <c r="D103" s="326"/>
      <c r="E103" s="326"/>
      <c r="F103" s="326"/>
    </row>
    <row r="104" spans="1:6">
      <c r="A104" s="1280" t="s">
        <v>77</v>
      </c>
      <c r="B104" s="1281">
        <v>1595</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38</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50108.248047600347</v>
      </c>
      <c r="C3" s="43" t="s">
        <v>163</v>
      </c>
      <c r="D3" s="43"/>
      <c r="E3" s="156"/>
      <c r="F3" s="43"/>
      <c r="G3" s="43"/>
      <c r="H3" s="43"/>
      <c r="I3" s="43"/>
      <c r="J3" s="43"/>
      <c r="K3" s="96"/>
    </row>
    <row r="4" spans="1:11">
      <c r="A4" s="352" t="s">
        <v>164</v>
      </c>
      <c r="B4" s="49">
        <f>IF(ISERROR('SEAP template'!B78+'SEAP template'!C78),0,'SEAP template'!B78+'SEAP template'!C78)</f>
        <v>21641.28773236704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4556.7635294117654</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0.21649054161249665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6509.6621848739505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27392.142857142859</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1008.015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1008.015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0.21649054161249665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218.22571330352079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22425.404889100901</v>
      </c>
      <c r="C5" s="17">
        <f>IF(ISERROR('Eigen informatie GS &amp; warmtenet'!B57),0,'Eigen informatie GS &amp; warmtenet'!B57)</f>
        <v>0</v>
      </c>
      <c r="D5" s="30">
        <f>(SUM(HH_hh_gas_kWh,HH_rest_gas_kWh)/1000)*0.902</f>
        <v>50489.942469720867</v>
      </c>
      <c r="E5" s="17">
        <f>B32*B41</f>
        <v>1147.7965492838212</v>
      </c>
      <c r="F5" s="17">
        <f>B36*B45</f>
        <v>39179.341529183046</v>
      </c>
      <c r="G5" s="18"/>
      <c r="H5" s="17"/>
      <c r="I5" s="17"/>
      <c r="J5" s="17">
        <f>B35*B44+C35*C44</f>
        <v>882.21944035478555</v>
      </c>
      <c r="K5" s="17"/>
      <c r="L5" s="17"/>
      <c r="M5" s="17"/>
      <c r="N5" s="17">
        <f>B34*B43+C34*C43</f>
        <v>6843.502956588597</v>
      </c>
      <c r="O5" s="17">
        <f>B52*B53*B54</f>
        <v>60.970000000000006</v>
      </c>
      <c r="P5" s="17">
        <f>B60*B61*B62/1000-B60*B61*B62/1000/B63</f>
        <v>57.2</v>
      </c>
    </row>
    <row r="6" spans="1:16">
      <c r="A6" s="16" t="s">
        <v>615</v>
      </c>
      <c r="B6" s="766">
        <f>kWh_PV_kleiner_dan_10kW</f>
        <v>1823.8613535077836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24249.266242608683</v>
      </c>
      <c r="C8" s="21">
        <f>C5</f>
        <v>0</v>
      </c>
      <c r="D8" s="21">
        <f>D5</f>
        <v>50489.942469720867</v>
      </c>
      <c r="E8" s="21">
        <f>E5</f>
        <v>1147.7965492838212</v>
      </c>
      <c r="F8" s="21">
        <f>F5</f>
        <v>39179.341529183046</v>
      </c>
      <c r="G8" s="21"/>
      <c r="H8" s="21"/>
      <c r="I8" s="21"/>
      <c r="J8" s="21">
        <f>J5</f>
        <v>882.21944035478555</v>
      </c>
      <c r="K8" s="21"/>
      <c r="L8" s="21">
        <f>L5</f>
        <v>0</v>
      </c>
      <c r="M8" s="21">
        <f>M5</f>
        <v>0</v>
      </c>
      <c r="N8" s="21">
        <f>N5</f>
        <v>6843.502956588597</v>
      </c>
      <c r="O8" s="21">
        <f>O5</f>
        <v>60.970000000000006</v>
      </c>
      <c r="P8" s="21">
        <f>P5</f>
        <v>57.2</v>
      </c>
    </row>
    <row r="9" spans="1:16">
      <c r="B9" s="19"/>
      <c r="C9" s="19"/>
      <c r="D9" s="256"/>
      <c r="E9" s="19"/>
      <c r="F9" s="19"/>
      <c r="G9" s="19"/>
      <c r="H9" s="19"/>
      <c r="I9" s="19"/>
      <c r="J9" s="19"/>
      <c r="K9" s="19"/>
      <c r="L9" s="19"/>
      <c r="M9" s="19"/>
      <c r="N9" s="19"/>
      <c r="O9" s="19"/>
      <c r="P9" s="19"/>
    </row>
    <row r="10" spans="1:16">
      <c r="A10" s="24" t="s">
        <v>207</v>
      </c>
      <c r="B10" s="25">
        <f ca="1">'EF ele_warmte'!B12</f>
        <v>0.21649054161249665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5249.7367825679848</v>
      </c>
      <c r="C12" s="23">
        <f ca="1">C10*C8</f>
        <v>0</v>
      </c>
      <c r="D12" s="23">
        <f>D8*D10</f>
        <v>10198.968378883616</v>
      </c>
      <c r="E12" s="23">
        <f>E10*E8</f>
        <v>260.54981668742744</v>
      </c>
      <c r="F12" s="23">
        <f>F10*F8</f>
        <v>10460.884188291873</v>
      </c>
      <c r="G12" s="23"/>
      <c r="H12" s="23"/>
      <c r="I12" s="23"/>
      <c r="J12" s="23">
        <f>J10*J8</f>
        <v>312.30568188559408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5667</v>
      </c>
      <c r="C26" s="36"/>
      <c r="D26" s="226"/>
    </row>
    <row r="27" spans="1:5" s="15" customFormat="1">
      <c r="A27" s="228" t="s">
        <v>695</v>
      </c>
      <c r="B27" s="37">
        <f>SUM(HH_hh_gas_aantal,HH_rest_gas_aantal)</f>
        <v>3459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3286.05</v>
      </c>
      <c r="C31" s="34" t="s">
        <v>104</v>
      </c>
      <c r="D31" s="172"/>
    </row>
    <row r="32" spans="1:5">
      <c r="A32" s="169" t="s">
        <v>72</v>
      </c>
      <c r="B32" s="33">
        <f>IF((B21*($B$26-($B$27-0.05*$B$27)-$B$60))&lt;0,0,B21*($B$26-($B$27-0.05*$B$27)-$B$60))</f>
        <v>16.858639774401315</v>
      </c>
      <c r="C32" s="34" t="s">
        <v>104</v>
      </c>
      <c r="D32" s="172"/>
    </row>
    <row r="33" spans="1:6">
      <c r="A33" s="169" t="s">
        <v>73</v>
      </c>
      <c r="B33" s="33">
        <f>IF((B22*($B$26-($B$27-0.05*$B$27)-$B$60))&lt;0,0,B22*($B$26-($B$27-0.05*$B$27)-$B$60))</f>
        <v>483.16632224185543</v>
      </c>
      <c r="C33" s="34" t="s">
        <v>104</v>
      </c>
      <c r="D33" s="172"/>
    </row>
    <row r="34" spans="1:6">
      <c r="A34" s="169" t="s">
        <v>74</v>
      </c>
      <c r="B34" s="33">
        <f>IF((B24*($B$26-($B$27-0.05*$B$27)-$B$60))&lt;0,0,B24*($B$26-($B$27-0.05*$B$27)-$B$60))</f>
        <v>96.348470910899763</v>
      </c>
      <c r="C34" s="33">
        <f>B26*C24</f>
        <v>1158.7746426749056</v>
      </c>
      <c r="D34" s="231"/>
    </row>
    <row r="35" spans="1:6">
      <c r="A35" s="169" t="s">
        <v>76</v>
      </c>
      <c r="B35" s="33">
        <f>IF((B19*($B$26-($B$27-0.05*$B$27)-$B$60))&lt;0,0,B19*($B$26-($B$27-0.05*$B$27)-$B$60))</f>
        <v>50.174523138099154</v>
      </c>
      <c r="C35" s="33">
        <f>B35/2</f>
        <v>25.087261569049577</v>
      </c>
      <c r="D35" s="231"/>
    </row>
    <row r="36" spans="1:6">
      <c r="A36" s="169" t="s">
        <v>77</v>
      </c>
      <c r="B36" s="33">
        <f>IF((B18*($B$26-($B$27-0.05*$B$27)-$B$60))&lt;0,0,B18*($B$26-($B$27-0.05*$B$27)-$B$60))</f>
        <v>1731.4020439347441</v>
      </c>
      <c r="C36" s="34" t="s">
        <v>104</v>
      </c>
      <c r="D36" s="172"/>
    </row>
    <row r="37" spans="1:6">
      <c r="A37" s="169" t="s">
        <v>78</v>
      </c>
      <c r="B37" s="33">
        <f>B60</f>
        <v>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39</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10350.905711684311</v>
      </c>
      <c r="C5" s="17">
        <f>IF(ISERROR('Eigen informatie GS &amp; warmtenet'!B58),0,'Eigen informatie GS &amp; warmtenet'!B58)</f>
        <v>0</v>
      </c>
      <c r="D5" s="30">
        <f>SUM(D6:D12)</f>
        <v>12780.563371535809</v>
      </c>
      <c r="E5" s="17">
        <f>SUM(E6:E12)</f>
        <v>185.79034469054127</v>
      </c>
      <c r="F5" s="17">
        <f>SUM(F6:F12)</f>
        <v>1921.2135319836445</v>
      </c>
      <c r="G5" s="18"/>
      <c r="H5" s="17"/>
      <c r="I5" s="17"/>
      <c r="J5" s="17">
        <f>SUM(J6:J12)</f>
        <v>0</v>
      </c>
      <c r="K5" s="17"/>
      <c r="L5" s="17"/>
      <c r="M5" s="17"/>
      <c r="N5" s="17">
        <f>SUM(N6:N12)</f>
        <v>380.20726773250288</v>
      </c>
      <c r="O5" s="17">
        <f>B38*B39*B40</f>
        <v>1.5633333333333335</v>
      </c>
      <c r="P5" s="17">
        <f>B46*B47*B48/1000-B46*B47*B48/1000/B49</f>
        <v>19.066666666666666</v>
      </c>
      <c r="R5" s="32"/>
    </row>
    <row r="6" spans="1:18">
      <c r="A6" s="32" t="s">
        <v>53</v>
      </c>
      <c r="B6" s="37">
        <f>B26</f>
        <v>1100.1072551725299</v>
      </c>
      <c r="C6" s="33"/>
      <c r="D6" s="37">
        <f>IF(ISERROR(TER_kantoor_gas_kWh/1000),0,TER_kantoor_gas_kWh/1000)*0.902</f>
        <v>3093.2179365555039</v>
      </c>
      <c r="E6" s="33">
        <f>$C$26*'E Balans VL '!I12/100/3.6*1000000</f>
        <v>38.508081474251988</v>
      </c>
      <c r="F6" s="33">
        <f>$C$26*('E Balans VL '!L12+'E Balans VL '!N12)/100/3.6*1000000</f>
        <v>166.79987895547839</v>
      </c>
      <c r="G6" s="34"/>
      <c r="H6" s="33"/>
      <c r="I6" s="33"/>
      <c r="J6" s="33">
        <f>$C$26*('E Balans VL '!D12+'E Balans VL '!E12)/100/3.6*1000000</f>
        <v>0</v>
      </c>
      <c r="K6" s="33"/>
      <c r="L6" s="33"/>
      <c r="M6" s="33"/>
      <c r="N6" s="33">
        <f>$C$26*'E Balans VL '!Y12/100/3.6*1000000</f>
        <v>8.5034847583890123</v>
      </c>
      <c r="O6" s="33"/>
      <c r="P6" s="33"/>
      <c r="R6" s="32"/>
    </row>
    <row r="7" spans="1:18">
      <c r="A7" s="32" t="s">
        <v>52</v>
      </c>
      <c r="B7" s="37">
        <f t="shared" ref="B7:B12" si="0">B27</f>
        <v>1192.1057423852001</v>
      </c>
      <c r="C7" s="33"/>
      <c r="D7" s="37">
        <f>IF(ISERROR(TER_horeca_gas_kWh/1000),0,TER_horeca_gas_kWh/1000)*0.902</f>
        <v>1750.3343443088061</v>
      </c>
      <c r="E7" s="33">
        <f>$C$27*'E Balans VL '!I9/100/3.6*1000000</f>
        <v>67.250615016490869</v>
      </c>
      <c r="F7" s="33">
        <f>$C$27*('E Balans VL '!L9+'E Balans VL '!N9)/100/3.6*1000000</f>
        <v>207.67141752138426</v>
      </c>
      <c r="G7" s="34"/>
      <c r="H7" s="33"/>
      <c r="I7" s="33"/>
      <c r="J7" s="33">
        <f>$C$27*('E Balans VL '!D9+'E Balans VL '!E9)/100/3.6*1000000</f>
        <v>0</v>
      </c>
      <c r="K7" s="33"/>
      <c r="L7" s="33"/>
      <c r="M7" s="33"/>
      <c r="N7" s="33">
        <f>$C$27*'E Balans VL '!Y9/100/3.6*1000000</f>
        <v>0</v>
      </c>
      <c r="O7" s="33"/>
      <c r="P7" s="33"/>
      <c r="R7" s="32"/>
    </row>
    <row r="8" spans="1:18">
      <c r="A8" s="6" t="s">
        <v>51</v>
      </c>
      <c r="B8" s="37">
        <f t="shared" si="0"/>
        <v>3983.9597468039997</v>
      </c>
      <c r="C8" s="33"/>
      <c r="D8" s="37">
        <f>IF(ISERROR(TER_handel_gas_kWh/1000),0,TER_handel_gas_kWh/1000)*0.902</f>
        <v>2570.8112825225076</v>
      </c>
      <c r="E8" s="33">
        <f>$C$28*'E Balans VL '!I13/100/3.6*1000000</f>
        <v>20.453244575651905</v>
      </c>
      <c r="F8" s="33">
        <f>$C$28*('E Balans VL '!L13+'E Balans VL '!N13)/100/3.6*1000000</f>
        <v>614.26503445983292</v>
      </c>
      <c r="G8" s="34"/>
      <c r="H8" s="33"/>
      <c r="I8" s="33"/>
      <c r="J8" s="33">
        <f>$C$28*('E Balans VL '!D13+'E Balans VL '!E13)/100/3.6*1000000</f>
        <v>0</v>
      </c>
      <c r="K8" s="33"/>
      <c r="L8" s="33"/>
      <c r="M8" s="33"/>
      <c r="N8" s="33">
        <f>$C$28*'E Balans VL '!Y13/100/3.6*1000000</f>
        <v>1.863346604354825</v>
      </c>
      <c r="O8" s="33"/>
      <c r="P8" s="33"/>
      <c r="R8" s="32"/>
    </row>
    <row r="9" spans="1:18">
      <c r="A9" s="32" t="s">
        <v>50</v>
      </c>
      <c r="B9" s="37">
        <f t="shared" si="0"/>
        <v>330.77252049205202</v>
      </c>
      <c r="C9" s="33"/>
      <c r="D9" s="37">
        <f>IF(ISERROR(TER_gezond_gas_kWh/1000),0,TER_gezond_gas_kWh/1000)*0.902</f>
        <v>0</v>
      </c>
      <c r="E9" s="33">
        <f>$C$29*'E Balans VL '!I10/100/3.6*1000000</f>
        <v>0.13710285406649159</v>
      </c>
      <c r="F9" s="33">
        <f>$C$29*('E Balans VL '!L10+'E Balans VL '!N10)/100/3.6*1000000</f>
        <v>81.464527886446319</v>
      </c>
      <c r="G9" s="34"/>
      <c r="H9" s="33"/>
      <c r="I9" s="33"/>
      <c r="J9" s="33">
        <f>$C$29*('E Balans VL '!D10+'E Balans VL '!E10)/100/3.6*1000000</f>
        <v>0</v>
      </c>
      <c r="K9" s="33"/>
      <c r="L9" s="33"/>
      <c r="M9" s="33"/>
      <c r="N9" s="33">
        <f>$C$29*'E Balans VL '!Y10/100/3.6*1000000</f>
        <v>2.8586932804250922</v>
      </c>
      <c r="O9" s="33"/>
      <c r="P9" s="33"/>
      <c r="R9" s="32"/>
    </row>
    <row r="10" spans="1:18">
      <c r="A10" s="32" t="s">
        <v>49</v>
      </c>
      <c r="B10" s="37">
        <f t="shared" si="0"/>
        <v>1296.1416747723101</v>
      </c>
      <c r="C10" s="33"/>
      <c r="D10" s="37">
        <f>IF(ISERROR(TER_ander_gas_kWh/1000),0,TER_ander_gas_kWh/1000)*0.902</f>
        <v>674.6405124965454</v>
      </c>
      <c r="E10" s="33">
        <f>$C$30*'E Balans VL '!I14/100/3.6*1000000</f>
        <v>7.9013116287233984</v>
      </c>
      <c r="F10" s="33">
        <f>$C$30*('E Balans VL '!L14+'E Balans VL '!N14)/100/3.6*1000000</f>
        <v>343.62491310903232</v>
      </c>
      <c r="G10" s="34"/>
      <c r="H10" s="33"/>
      <c r="I10" s="33"/>
      <c r="J10" s="33">
        <f>$C$30*('E Balans VL '!D14+'E Balans VL '!E14)/100/3.6*1000000</f>
        <v>0</v>
      </c>
      <c r="K10" s="33"/>
      <c r="L10" s="33"/>
      <c r="M10" s="33"/>
      <c r="N10" s="33">
        <f>$C$30*'E Balans VL '!Y14/100/3.6*1000000</f>
        <v>298.7326484749002</v>
      </c>
      <c r="O10" s="33"/>
      <c r="P10" s="33"/>
      <c r="R10" s="32"/>
    </row>
    <row r="11" spans="1:18">
      <c r="A11" s="32" t="s">
        <v>54</v>
      </c>
      <c r="B11" s="37">
        <f t="shared" si="0"/>
        <v>46.338476517419998</v>
      </c>
      <c r="C11" s="33"/>
      <c r="D11" s="37">
        <f>IF(ISERROR(TER_onderwijs_gas_kWh/1000),0,TER_onderwijs_gas_kWh/1000)*0.902</f>
        <v>593.9734799045425</v>
      </c>
      <c r="E11" s="33">
        <f>$C$31*'E Balans VL '!I11/100/3.6*1000000</f>
        <v>3.5312331976236656E-2</v>
      </c>
      <c r="F11" s="33">
        <f>$C$31*('E Balans VL '!L11+'E Balans VL '!N11)/100/3.6*1000000</f>
        <v>33.533061062179435</v>
      </c>
      <c r="G11" s="34"/>
      <c r="H11" s="33"/>
      <c r="I11" s="33"/>
      <c r="J11" s="33">
        <f>$C$31*('E Balans VL '!D11+'E Balans VL '!E11)/100/3.6*1000000</f>
        <v>0</v>
      </c>
      <c r="K11" s="33"/>
      <c r="L11" s="33"/>
      <c r="M11" s="33"/>
      <c r="N11" s="33">
        <f>$C$31*'E Balans VL '!Y11/100/3.6*1000000</f>
        <v>0.13657056499092168</v>
      </c>
      <c r="O11" s="33"/>
      <c r="P11" s="33"/>
      <c r="R11" s="32"/>
    </row>
    <row r="12" spans="1:18">
      <c r="A12" s="32" t="s">
        <v>249</v>
      </c>
      <c r="B12" s="37">
        <f t="shared" si="0"/>
        <v>2401.4802955407999</v>
      </c>
      <c r="C12" s="33"/>
      <c r="D12" s="37">
        <f>IF(ISERROR(TER_rest_gas_kWh/1000),0,TER_rest_gas_kWh/1000)*0.902</f>
        <v>4097.5858157479024</v>
      </c>
      <c r="E12" s="33">
        <f>$C$32*'E Balans VL '!I8/100/3.6*1000000</f>
        <v>51.504676809380378</v>
      </c>
      <c r="F12" s="33">
        <f>$C$32*('E Balans VL '!L8+'E Balans VL '!N8)/100/3.6*1000000</f>
        <v>473.85469898929063</v>
      </c>
      <c r="G12" s="34"/>
      <c r="H12" s="33"/>
      <c r="I12" s="33"/>
      <c r="J12" s="33">
        <f>$C$32*('E Balans VL '!D8+'E Balans VL '!E8)/100/3.6*1000000</f>
        <v>0</v>
      </c>
      <c r="K12" s="33"/>
      <c r="L12" s="33"/>
      <c r="M12" s="33"/>
      <c r="N12" s="33">
        <f>$C$32*'E Balans VL '!Y8/100/3.6*1000000</f>
        <v>68.112524049442882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10350.905711684311</v>
      </c>
      <c r="C16" s="21">
        <f ca="1">C5+C13+C14</f>
        <v>0</v>
      </c>
      <c r="D16" s="21">
        <f t="shared" ref="D16:N16" ca="1" si="1">MAX((D5+D13+D14),0)</f>
        <v>12780.563371535809</v>
      </c>
      <c r="E16" s="21">
        <f t="shared" si="1"/>
        <v>185.79034469054127</v>
      </c>
      <c r="F16" s="21">
        <f t="shared" ca="1" si="1"/>
        <v>1921.2135319836445</v>
      </c>
      <c r="G16" s="21">
        <f t="shared" si="1"/>
        <v>0</v>
      </c>
      <c r="H16" s="21">
        <f t="shared" si="1"/>
        <v>0</v>
      </c>
      <c r="I16" s="21">
        <f t="shared" si="1"/>
        <v>0</v>
      </c>
      <c r="J16" s="21">
        <f t="shared" si="1"/>
        <v>0</v>
      </c>
      <c r="K16" s="21">
        <f t="shared" si="1"/>
        <v>0</v>
      </c>
      <c r="L16" s="21">
        <f t="shared" ca="1" si="1"/>
        <v>0</v>
      </c>
      <c r="M16" s="21">
        <f t="shared" si="1"/>
        <v>0</v>
      </c>
      <c r="N16" s="21">
        <f t="shared" ca="1" si="1"/>
        <v>380.20726773250288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0.21649054161249665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2240.8731837024216</v>
      </c>
      <c r="C20" s="23">
        <f t="shared" ref="C20:P20" ca="1" si="2">C16*C18</f>
        <v>0</v>
      </c>
      <c r="D20" s="23">
        <f t="shared" ca="1" si="2"/>
        <v>2581.6738010502336</v>
      </c>
      <c r="E20" s="23">
        <f t="shared" si="2"/>
        <v>42.174408244752868</v>
      </c>
      <c r="F20" s="23">
        <f t="shared" ca="1" si="2"/>
        <v>512.96401303963307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1100.1072551725299</v>
      </c>
      <c r="C26" s="39">
        <f>IF(ISERROR(B26*3.6/1000000/'E Balans VL '!Z12*100),0,B26*3.6/1000000/'E Balans VL '!Z12*100)</f>
        <v>2.3149932794549469E-2</v>
      </c>
      <c r="D26" s="234" t="s">
        <v>700</v>
      </c>
      <c r="F26" s="6"/>
    </row>
    <row r="27" spans="1:18">
      <c r="A27" s="229" t="s">
        <v>52</v>
      </c>
      <c r="B27" s="33">
        <f>IF(ISERROR(TER_horeca_ele_kWh/1000),0,TER_horeca_ele_kWh/1000)</f>
        <v>1192.1057423852001</v>
      </c>
      <c r="C27" s="39">
        <f>IF(ISERROR(B27*3.6/1000000/'E Balans VL '!Z9*100),0,B27*3.6/1000000/'E Balans VL '!Z9*100)</f>
        <v>0.10093224342163992</v>
      </c>
      <c r="D27" s="234" t="s">
        <v>700</v>
      </c>
      <c r="F27" s="6"/>
    </row>
    <row r="28" spans="1:18">
      <c r="A28" s="169" t="s">
        <v>51</v>
      </c>
      <c r="B28" s="33">
        <f>IF(ISERROR(TER_handel_ele_kWh/1000),0,TER_handel_ele_kWh/1000)</f>
        <v>3983.9597468039997</v>
      </c>
      <c r="C28" s="39">
        <f>IF(ISERROR(B28*3.6/1000000/'E Balans VL '!Z13*100),0,B28*3.6/1000000/'E Balans VL '!Z13*100)</f>
        <v>0.1102953746921168</v>
      </c>
      <c r="D28" s="234" t="s">
        <v>700</v>
      </c>
      <c r="F28" s="6"/>
    </row>
    <row r="29" spans="1:18">
      <c r="A29" s="229" t="s">
        <v>50</v>
      </c>
      <c r="B29" s="33">
        <f>IF(ISERROR(TER_gezond_ele_kWh/1000),0,TER_gezond_ele_kWh/1000)</f>
        <v>330.77252049205202</v>
      </c>
      <c r="C29" s="39">
        <f>IF(ISERROR(B29*3.6/1000000/'E Balans VL '!Z10*100),0,B29*3.6/1000000/'E Balans VL '!Z10*100)</f>
        <v>4.2996760623037839E-2</v>
      </c>
      <c r="D29" s="234" t="s">
        <v>700</v>
      </c>
      <c r="F29" s="6"/>
    </row>
    <row r="30" spans="1:18">
      <c r="A30" s="229" t="s">
        <v>49</v>
      </c>
      <c r="B30" s="33">
        <f>IF(ISERROR(TER_ander_ele_kWh/1000),0,TER_ander_ele_kWh/1000)</f>
        <v>1296.1416747723101</v>
      </c>
      <c r="C30" s="39">
        <f>IF(ISERROR(B30*3.6/1000000/'E Balans VL '!Z14*100),0,B30*3.6/1000000/'E Balans VL '!Z14*100)</f>
        <v>0.10046286632203563</v>
      </c>
      <c r="D30" s="234" t="s">
        <v>700</v>
      </c>
      <c r="F30" s="6"/>
    </row>
    <row r="31" spans="1:18">
      <c r="A31" s="229" t="s">
        <v>54</v>
      </c>
      <c r="B31" s="33">
        <f>IF(ISERROR(TER_onderwijs_ele_kWh/1000),0,TER_onderwijs_ele_kWh/1000)</f>
        <v>46.338476517419998</v>
      </c>
      <c r="C31" s="39">
        <f>IF(ISERROR(B31*3.6/1000000/'E Balans VL '!Z11*100),0,B31*3.6/1000000/'E Balans VL '!Z11*100)</f>
        <v>8.8653401487128643E-3</v>
      </c>
      <c r="D31" s="234" t="s">
        <v>700</v>
      </c>
    </row>
    <row r="32" spans="1:18">
      <c r="A32" s="229" t="s">
        <v>249</v>
      </c>
      <c r="B32" s="33">
        <f>IF(ISERROR(TER_rest_ele_kWh/1000),0,TER_rest_ele_kWh/1000)</f>
        <v>2401.4802955407999</v>
      </c>
      <c r="C32" s="39">
        <f>IF(ISERROR(B32*3.6/1000000/'E Balans VL '!Z8*100),0,B32*3.6/1000000/'E Balans VL '!Z8*100)</f>
        <v>1.9802049170827663E-2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9649.3378039563377</v>
      </c>
      <c r="C5" s="17">
        <f>IF(ISERROR('Eigen informatie GS &amp; warmtenet'!B59),0,'Eigen informatie GS &amp; warmtenet'!B59)</f>
        <v>0</v>
      </c>
      <c r="D5" s="30">
        <f>SUM(D6:D15)</f>
        <v>73665.861895388429</v>
      </c>
      <c r="E5" s="17">
        <f>SUM(E6:E15)</f>
        <v>102.10024142719898</v>
      </c>
      <c r="F5" s="17">
        <f>SUM(F6:F15)</f>
        <v>2667.986948294285</v>
      </c>
      <c r="G5" s="18"/>
      <c r="H5" s="17"/>
      <c r="I5" s="17"/>
      <c r="J5" s="17">
        <f>SUM(J6:J15)</f>
        <v>39.543765629792645</v>
      </c>
      <c r="K5" s="17"/>
      <c r="L5" s="17"/>
      <c r="M5" s="17"/>
      <c r="N5" s="17">
        <f>SUM(N6:N15)</f>
        <v>244.51356942019845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295.26725528410202</v>
      </c>
      <c r="C8" s="33"/>
      <c r="D8" s="37">
        <f>IF( ISERROR(IND_metaal_Gas_kWH/1000),0,IND_metaal_Gas_kWH/1000)*0.902</f>
        <v>0</v>
      </c>
      <c r="E8" s="33">
        <f>C30*'E Balans VL '!I18/100/3.6*1000000</f>
        <v>2.074777855116626</v>
      </c>
      <c r="F8" s="33">
        <f>C30*'E Balans VL '!L18/100/3.6*1000000+C30*'E Balans VL '!N18/100/3.6*1000000</f>
        <v>32.418617146717324</v>
      </c>
      <c r="G8" s="34"/>
      <c r="H8" s="33"/>
      <c r="I8" s="33"/>
      <c r="J8" s="40">
        <f>C30*'E Balans VL '!D18/100/3.6*1000000+C30*'E Balans VL '!E18/100/3.6*1000000</f>
        <v>6.0919998931237274</v>
      </c>
      <c r="K8" s="33"/>
      <c r="L8" s="33"/>
      <c r="M8" s="33"/>
      <c r="N8" s="33">
        <f>C30*'E Balans VL '!Y18/100/3.6*1000000</f>
        <v>1.1066829379297309</v>
      </c>
      <c r="O8" s="33"/>
      <c r="P8" s="33"/>
      <c r="R8" s="32"/>
    </row>
    <row r="9" spans="1:18">
      <c r="A9" s="6" t="s">
        <v>32</v>
      </c>
      <c r="B9" s="37">
        <f t="shared" si="0"/>
        <v>1757.3032304591002</v>
      </c>
      <c r="C9" s="33"/>
      <c r="D9" s="37">
        <f>IF( ISERROR(IND_andere_gas_kWh/1000),0,IND_andere_gas_kWh/1000)*0.902</f>
        <v>1298.9930847216826</v>
      </c>
      <c r="E9" s="33">
        <f>C31*'E Balans VL '!I19/100/3.6*1000000</f>
        <v>29.516060520751871</v>
      </c>
      <c r="F9" s="33">
        <f>C31*'E Balans VL '!L19/100/3.6*1000000+C31*'E Balans VL '!N19/100/3.6*1000000</f>
        <v>1373.7595770542848</v>
      </c>
      <c r="G9" s="34"/>
      <c r="H9" s="33"/>
      <c r="I9" s="33"/>
      <c r="J9" s="40">
        <f>C31*'E Balans VL '!D19/100/3.6*1000000+C31*'E Balans VL '!E19/100/3.6*1000000</f>
        <v>0.15849323899538548</v>
      </c>
      <c r="K9" s="33"/>
      <c r="L9" s="33"/>
      <c r="M9" s="33"/>
      <c r="N9" s="33">
        <f>C31*'E Balans VL '!Y19/100/3.6*1000000</f>
        <v>130.2443628252779</v>
      </c>
      <c r="O9" s="33"/>
      <c r="P9" s="33"/>
      <c r="R9" s="32"/>
    </row>
    <row r="10" spans="1:18">
      <c r="A10" s="6" t="s">
        <v>40</v>
      </c>
      <c r="B10" s="37">
        <f t="shared" si="0"/>
        <v>6677.1726548254001</v>
      </c>
      <c r="C10" s="33"/>
      <c r="D10" s="37">
        <f>IF( ISERROR(IND_voed_gas_kWh/1000),0,IND_voed_gas_kWh/1000)*0.902</f>
        <v>58411.328572591083</v>
      </c>
      <c r="E10" s="33">
        <f>C32*'E Balans VL '!I20/100/3.6*1000000</f>
        <v>60.919748603663642</v>
      </c>
      <c r="F10" s="33">
        <f>C32*'E Balans VL '!L20/100/3.6*1000000+C32*'E Balans VL '!N20/100/3.6*1000000</f>
        <v>1077.236798961668</v>
      </c>
      <c r="G10" s="34"/>
      <c r="H10" s="33"/>
      <c r="I10" s="33"/>
      <c r="J10" s="40">
        <f>C32*'E Balans VL '!D20/100/3.6*1000000+C32*'E Balans VL '!E20/100/3.6*1000000</f>
        <v>27.500974758869635</v>
      </c>
      <c r="K10" s="33"/>
      <c r="L10" s="33"/>
      <c r="M10" s="33"/>
      <c r="N10" s="33">
        <f>C32*'E Balans VL '!Y20/100/3.6*1000000</f>
        <v>97.681770841686685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59.354838251652403</v>
      </c>
      <c r="C13" s="33"/>
      <c r="D13" s="37">
        <f>IF( ISERROR(IND_papier_gas_kWh/1000),0,IND_papier_gas_kWh/1000)*0.902</f>
        <v>162.25483505515001</v>
      </c>
      <c r="E13" s="33">
        <f>C35*'E Balans VL '!I23/100/3.6*1000000</f>
        <v>1.8261934706714971</v>
      </c>
      <c r="F13" s="33">
        <f>C35*'E Balans VL '!L23/100/3.6*1000000+C35*'E Balans VL '!N23/100/3.6*1000000</f>
        <v>12.603106489866386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860.23982513608291</v>
      </c>
      <c r="C15" s="33"/>
      <c r="D15" s="37">
        <f>IF( ISERROR(IND_rest_gas_kWh/1000),0,IND_rest_gas_kWh/1000)*0.902</f>
        <v>13793.285403020509</v>
      </c>
      <c r="E15" s="33">
        <f>C37*'E Balans VL '!I15/100/3.6*1000000</f>
        <v>7.7634609769953435</v>
      </c>
      <c r="F15" s="33">
        <f>C37*'E Balans VL '!L15/100/3.6*1000000+C37*'E Balans VL '!N15/100/3.6*1000000</f>
        <v>171.96884864174862</v>
      </c>
      <c r="G15" s="34"/>
      <c r="H15" s="33"/>
      <c r="I15" s="33"/>
      <c r="J15" s="40">
        <f>C37*'E Balans VL '!D15/100/3.6*1000000+C37*'E Balans VL '!E15/100/3.6*1000000</f>
        <v>5.7922977388038941</v>
      </c>
      <c r="K15" s="33"/>
      <c r="L15" s="33"/>
      <c r="M15" s="33"/>
      <c r="N15" s="33">
        <f>C37*'E Balans VL '!Y15/100/3.6*1000000</f>
        <v>15.480752815304138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9649.3378039563377</v>
      </c>
      <c r="C18" s="21">
        <f>C5+C16</f>
        <v>0</v>
      </c>
      <c r="D18" s="21">
        <f>MAX((D5+D16),0)</f>
        <v>73665.861895388429</v>
      </c>
      <c r="E18" s="21">
        <f>MAX((E5+E16),0)</f>
        <v>102.10024142719898</v>
      </c>
      <c r="F18" s="21">
        <f>MAX((F5+F16),0)</f>
        <v>2667.986948294285</v>
      </c>
      <c r="G18" s="21"/>
      <c r="H18" s="21"/>
      <c r="I18" s="21"/>
      <c r="J18" s="21">
        <f>MAX((J5+J16),0)</f>
        <v>39.543765629792645</v>
      </c>
      <c r="K18" s="21"/>
      <c r="L18" s="21">
        <f>MAX((L5+L16),0)</f>
        <v>0</v>
      </c>
      <c r="M18" s="21"/>
      <c r="N18" s="21">
        <f>MAX((N5+N16),0)</f>
        <v>244.51356942019845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0.21649054161249665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2088.9903673804465</v>
      </c>
      <c r="C22" s="23">
        <f ca="1">C18*C20</f>
        <v>0</v>
      </c>
      <c r="D22" s="23">
        <f>D18*D20</f>
        <v>14880.504102868463</v>
      </c>
      <c r="E22" s="23">
        <f>E18*E20</f>
        <v>23.17675480397417</v>
      </c>
      <c r="F22" s="23">
        <f>F18*F20</f>
        <v>712.35251519457415</v>
      </c>
      <c r="G22" s="23"/>
      <c r="H22" s="23"/>
      <c r="I22" s="23"/>
      <c r="J22" s="23">
        <f>J18*J20</f>
        <v>13.998493032946596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295.26725528410202</v>
      </c>
      <c r="C30" s="39">
        <f>IF(ISERROR(B30*3.6/1000000/'E Balans VL '!Z18*100),0,B30*3.6/1000000/'E Balans VL '!Z18*100)</f>
        <v>1.9656121489558014E-2</v>
      </c>
      <c r="D30" s="234" t="s">
        <v>700</v>
      </c>
    </row>
    <row r="31" spans="1:18">
      <c r="A31" s="6" t="s">
        <v>32</v>
      </c>
      <c r="B31" s="37">
        <f>IF( ISERROR(IND_ander_ele_kWh/1000),0,IND_ander_ele_kWh/1000)</f>
        <v>1757.3032304591002</v>
      </c>
      <c r="C31" s="39">
        <f>IF(ISERROR(B31*3.6/1000000/'E Balans VL '!Z19*100),0,B31*3.6/1000000/'E Balans VL '!Z19*100)</f>
        <v>7.7894288106947138E-2</v>
      </c>
      <c r="D31" s="234" t="s">
        <v>700</v>
      </c>
    </row>
    <row r="32" spans="1:18">
      <c r="A32" s="169" t="s">
        <v>40</v>
      </c>
      <c r="B32" s="37">
        <f>IF( ISERROR(IND_voed_ele_kWh/1000),0,IND_voed_ele_kWh/1000)</f>
        <v>6677.1726548254001</v>
      </c>
      <c r="C32" s="39">
        <f>IF(ISERROR(B32*3.6/1000000/'E Balans VL '!Z20*100),0,B32*3.6/1000000/'E Balans VL '!Z20*100)</f>
        <v>0.2230367210004604</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59.354838251652403</v>
      </c>
      <c r="C35" s="39">
        <f>IF(ISERROR(B35*3.6/1000000/'E Balans VL '!Z22*100),0,B35*3.6/1000000/'E Balans VL '!Z22*100)</f>
        <v>1.1543864064108745E-2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860.23982513608291</v>
      </c>
      <c r="C37" s="39">
        <f>IF(ISERROR(B37*3.6/1000000/'E Balans VL '!Z15*100),0,B37*3.6/1000000/'E Balans VL '!Z15*100)</f>
        <v>6.3987828484582884E-3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3391.9366051350057</v>
      </c>
      <c r="C5" s="17">
        <f>'Eigen informatie GS &amp; warmtenet'!B60</f>
        <v>0</v>
      </c>
      <c r="D5" s="30">
        <f>IF(ISERROR(SUM(LB_lb_gas_kWh,LB_rest_gas_kWh)/1000),0,SUM(LB_lb_gas_kWh,LB_rest_gas_kWh)/1000)*0.902</f>
        <v>208.66282749337552</v>
      </c>
      <c r="E5" s="17">
        <f>B17*'E Balans VL '!I25/3.6*1000000/100</f>
        <v>35.52109445330322</v>
      </c>
      <c r="F5" s="17">
        <f>B17*('E Balans VL '!L25/3.6*1000000+'E Balans VL '!N25/3.6*1000000)/100</f>
        <v>14520.065994427354</v>
      </c>
      <c r="G5" s="18"/>
      <c r="H5" s="17"/>
      <c r="I5" s="17"/>
      <c r="J5" s="17">
        <f>('E Balans VL '!D25+'E Balans VL '!E25)/3.6*1000000*landbouw!B17/100</f>
        <v>302.93034128500324</v>
      </c>
      <c r="K5" s="17"/>
      <c r="L5" s="17">
        <f>L6*(-1)</f>
        <v>0</v>
      </c>
      <c r="M5" s="17"/>
      <c r="N5" s="17">
        <f>N6*(-1)</f>
        <v>0</v>
      </c>
      <c r="O5" s="17"/>
      <c r="P5" s="17"/>
      <c r="R5" s="32"/>
    </row>
    <row r="6" spans="1:18">
      <c r="A6" s="16" t="s">
        <v>483</v>
      </c>
      <c r="B6" s="17" t="s">
        <v>204</v>
      </c>
      <c r="C6" s="17">
        <f>'lokale energieproductie'!O39+'lokale energieproductie'!O32</f>
        <v>27392.142857142859</v>
      </c>
      <c r="D6" s="304">
        <f>('lokale energieproductie'!P32+'lokale energieproductie'!P39)*(-1)</f>
        <v>-54784.285714285717</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3391.9366051350057</v>
      </c>
      <c r="C8" s="21">
        <f>C5+C6</f>
        <v>27392.142857142859</v>
      </c>
      <c r="D8" s="21">
        <f>MAX((D5+D6),0)</f>
        <v>0</v>
      </c>
      <c r="E8" s="21">
        <f>MAX((E5+E6),0)</f>
        <v>35.52109445330322</v>
      </c>
      <c r="F8" s="21">
        <f>MAX((F5+F6),0)</f>
        <v>14520.065994427354</v>
      </c>
      <c r="G8" s="21"/>
      <c r="H8" s="21"/>
      <c r="I8" s="21"/>
      <c r="J8" s="21">
        <f>MAX((J5+J6),0)</f>
        <v>302.93034128500324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0.21649054161249665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734.32219276093053</v>
      </c>
      <c r="C12" s="23">
        <f ca="1">C8*C10</f>
        <v>6509.6621848739505</v>
      </c>
      <c r="D12" s="23">
        <f>D8*D10</f>
        <v>0</v>
      </c>
      <c r="E12" s="23">
        <f>E8*E10</f>
        <v>8.0632884408998304</v>
      </c>
      <c r="F12" s="23">
        <f>F8*F10</f>
        <v>3876.8576205121035</v>
      </c>
      <c r="G12" s="23"/>
      <c r="H12" s="23"/>
      <c r="I12" s="23"/>
      <c r="J12" s="23">
        <f>J8*J10</f>
        <v>107.23734081489114</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0.52208452000670702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540.033561261096</v>
      </c>
      <c r="C26" s="244">
        <f>B26*'GWP N2O_CH4'!B5</f>
        <v>11340.704786483017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406.21714081255487</v>
      </c>
      <c r="C27" s="244">
        <f>B27*'GWP N2O_CH4'!B5</f>
        <v>8530.5599570636532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9.5330012491121057</v>
      </c>
      <c r="C28" s="244">
        <f>B28*'GWP N2O_CH4'!B4</f>
        <v>2955.2303872247526</v>
      </c>
      <c r="D28" s="50"/>
    </row>
    <row r="29" spans="1:4">
      <c r="A29" s="41" t="s">
        <v>266</v>
      </c>
      <c r="B29" s="244">
        <f>B34*'ha_N2O bodem landbouw'!B4</f>
        <v>27.602987338301503</v>
      </c>
      <c r="C29" s="244">
        <f>B29*'GWP N2O_CH4'!B4</f>
        <v>8556.926074873465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4.5617561869190004E-3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2.7750847657613556E-6</v>
      </c>
      <c r="C5" s="433" t="s">
        <v>204</v>
      </c>
      <c r="D5" s="418">
        <f>SUM(D6:D11)</f>
        <v>1.0492249269908926E-5</v>
      </c>
      <c r="E5" s="418">
        <f>SUM(E6:E11)</f>
        <v>1.0642985901285968E-3</v>
      </c>
      <c r="F5" s="431" t="s">
        <v>204</v>
      </c>
      <c r="G5" s="418">
        <f>SUM(G6:G11)</f>
        <v>0.18929878408813547</v>
      </c>
      <c r="H5" s="418">
        <f>SUM(H6:H11)</f>
        <v>3.4041201486565427E-2</v>
      </c>
      <c r="I5" s="433" t="s">
        <v>204</v>
      </c>
      <c r="J5" s="433" t="s">
        <v>204</v>
      </c>
      <c r="K5" s="433" t="s">
        <v>204</v>
      </c>
      <c r="L5" s="433" t="s">
        <v>204</v>
      </c>
      <c r="M5" s="418">
        <f>SUM(M6:M11)</f>
        <v>9.7215843046508325E-3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1.7475785235310072E-6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5.5332197738590043E-6</v>
      </c>
      <c r="E6" s="421">
        <f>vkm_GW_PW*SUMIFS(TableVerdeelsleutelVkm[LPG],TableVerdeelsleutelVkm[Voertuigtype],"Lichte voertuigen")*SUMIFS(TableECFTransport[EnergieConsumptieFactor (PJ per km)],TableECFTransport[Index],CONCATENATE($A6,"_LPG_LPG"))</f>
        <v>5.7660961526216387E-4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7.6804544497349983E-2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1.8425244384129746E-2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4.156699806928706E-3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8.7231940449540824E-8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3.9322166660349434E-2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1.0646469278204575E-6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1.694015291372242E-3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9.2158952374727883E-7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4.9590294960499213E-6</v>
      </c>
      <c r="E8" s="421">
        <f>vkm_NGW_PW*SUMIFS(TableVerdeelsleutelVkm[LPG],TableVerdeelsleutelVkm[Voertuigtype],"Lichte voertuigen")*SUMIFS(TableECFTransport[EnergieConsumptieFactor (PJ per km)],TableECFTransport[Index],CONCATENATE($A8,"_LPG_LPG"))</f>
        <v>4.8768897486643287E-4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6.150535049914347E-2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1.561461720098673E-2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3.3682638221665287E-3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1.8684778033529025E-8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1.1666722431292582E-2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2.7525452113468604E-7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5.0260538418335509E-4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0.77085687937815428</v>
      </c>
      <c r="C14" s="21"/>
      <c r="D14" s="21">
        <f t="shared" ref="D14:M14" si="0">((D5)*10^9/3600)+D12</f>
        <v>2.9145136860858125</v>
      </c>
      <c r="E14" s="21">
        <f t="shared" si="0"/>
        <v>295.63849725794358</v>
      </c>
      <c r="F14" s="21"/>
      <c r="G14" s="21">
        <f t="shared" si="0"/>
        <v>52582.995580037634</v>
      </c>
      <c r="H14" s="21">
        <f t="shared" si="0"/>
        <v>9455.8893018237286</v>
      </c>
      <c r="I14" s="21"/>
      <c r="J14" s="21"/>
      <c r="K14" s="21"/>
      <c r="L14" s="21"/>
      <c r="M14" s="21">
        <f t="shared" si="0"/>
        <v>2700.4400846252311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0.21649054161249665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0.1668832233222956</v>
      </c>
      <c r="C18" s="23"/>
      <c r="D18" s="23">
        <f t="shared" ref="D18:M18" si="1">D14*D16</f>
        <v>0.58873176458933418</v>
      </c>
      <c r="E18" s="23">
        <f t="shared" si="1"/>
        <v>67.109938877553191</v>
      </c>
      <c r="F18" s="23"/>
      <c r="G18" s="23">
        <f t="shared" si="1"/>
        <v>14039.659819870049</v>
      </c>
      <c r="H18" s="23">
        <f t="shared" si="1"/>
        <v>2354.5164361541083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2.0967772128037395E-5</v>
      </c>
      <c r="C50" s="315">
        <f t="shared" ref="C50:P50" si="2">SUM(C51:C52)</f>
        <v>0</v>
      </c>
      <c r="D50" s="315">
        <f t="shared" si="2"/>
        <v>0</v>
      </c>
      <c r="E50" s="315">
        <f t="shared" si="2"/>
        <v>0</v>
      </c>
      <c r="F50" s="315">
        <f t="shared" si="2"/>
        <v>0</v>
      </c>
      <c r="G50" s="315">
        <f t="shared" si="2"/>
        <v>4.5487476497155432E-3</v>
      </c>
      <c r="H50" s="315">
        <f t="shared" si="2"/>
        <v>0</v>
      </c>
      <c r="I50" s="315">
        <f t="shared" si="2"/>
        <v>0</v>
      </c>
      <c r="J50" s="315">
        <f t="shared" si="2"/>
        <v>0</v>
      </c>
      <c r="K50" s="315">
        <f t="shared" si="2"/>
        <v>0</v>
      </c>
      <c r="L50" s="315">
        <f t="shared" si="2"/>
        <v>0</v>
      </c>
      <c r="M50" s="315">
        <f t="shared" si="2"/>
        <v>1.9475990148833268E-4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2.0967772128037395E-5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4.5487476497155432E-3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1.9475990148833268E-4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5.8243811466770543</v>
      </c>
      <c r="C54" s="21">
        <f t="shared" ref="C54:P54" si="3">(C50)*10^9/3600</f>
        <v>0</v>
      </c>
      <c r="D54" s="21">
        <f t="shared" si="3"/>
        <v>0</v>
      </c>
      <c r="E54" s="21">
        <f t="shared" si="3"/>
        <v>0</v>
      </c>
      <c r="F54" s="21">
        <f t="shared" si="3"/>
        <v>0</v>
      </c>
      <c r="G54" s="21">
        <f t="shared" si="3"/>
        <v>1263.541013809873</v>
      </c>
      <c r="H54" s="21">
        <f t="shared" si="3"/>
        <v>0</v>
      </c>
      <c r="I54" s="21">
        <f t="shared" si="3"/>
        <v>0</v>
      </c>
      <c r="J54" s="21">
        <f t="shared" si="3"/>
        <v>0</v>
      </c>
      <c r="K54" s="21">
        <f t="shared" si="3"/>
        <v>0</v>
      </c>
      <c r="L54" s="21">
        <f t="shared" si="3"/>
        <v>0</v>
      </c>
      <c r="M54" s="21">
        <f t="shared" si="3"/>
        <v>54.099972635647973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0.21649054161249665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1.2609234290017297</v>
      </c>
      <c r="C58" s="23">
        <f t="shared" ref="C58:P58" ca="1" si="4">C54*C56</f>
        <v>0</v>
      </c>
      <c r="D58" s="23">
        <f t="shared" si="4"/>
        <v>0</v>
      </c>
      <c r="E58" s="23">
        <f t="shared" si="4"/>
        <v>0</v>
      </c>
      <c r="F58" s="23">
        <f t="shared" si="4"/>
        <v>0</v>
      </c>
      <c r="G58" s="23">
        <f t="shared" si="4"/>
        <v>337.36545068723609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2466.7877323670405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19174.5</v>
      </c>
      <c r="C8" s="544">
        <f>B48</f>
        <v>22558.23529411765</v>
      </c>
      <c r="D8" s="963"/>
      <c r="E8" s="963">
        <f>E48</f>
        <v>0</v>
      </c>
      <c r="F8" s="964"/>
      <c r="G8" s="545"/>
      <c r="H8" s="963">
        <f>I48</f>
        <v>0</v>
      </c>
      <c r="I8" s="963">
        <f>G48+F48</f>
        <v>0</v>
      </c>
      <c r="J8" s="963">
        <f>H48+D48+C48</f>
        <v>0</v>
      </c>
      <c r="K8" s="963"/>
      <c r="L8" s="963"/>
      <c r="M8" s="963"/>
      <c r="N8" s="546"/>
      <c r="O8" s="547">
        <f>C8*$C$12+D8*$D$12+E8*$E$12+F8*$F$12+G8*$G$12+H8*$H$12+I8*$I$12+J8*$J$12</f>
        <v>4556.7635294117654</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21641.28773236704</v>
      </c>
      <c r="C10" s="556">
        <f t="shared" ref="C10:L10" si="0">SUM(C8:C9)</f>
        <v>22558.23529411765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4556.7635294117654</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27392.142857142859</v>
      </c>
      <c r="C17" s="568">
        <f>B49</f>
        <v>32226.050420168071</v>
      </c>
      <c r="D17" s="569"/>
      <c r="E17" s="569">
        <f>E49</f>
        <v>0</v>
      </c>
      <c r="F17" s="570"/>
      <c r="G17" s="571"/>
      <c r="H17" s="568">
        <f>I49</f>
        <v>0</v>
      </c>
      <c r="I17" s="569">
        <f>G49+F49</f>
        <v>0</v>
      </c>
      <c r="J17" s="569">
        <f>H49+D49+C49</f>
        <v>0</v>
      </c>
      <c r="K17" s="569"/>
      <c r="L17" s="569"/>
      <c r="M17" s="569"/>
      <c r="N17" s="959"/>
      <c r="O17" s="572">
        <f>C17*$C$22+E17*$E$22+H17*$H$22+I17*$I$22+J17*$J$22+D17*$D$22+F17*$F$22+G17*$G$22+K17*$K$22+L17*$L$22</f>
        <v>6509.6621848739505</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27392.142857142859</v>
      </c>
      <c r="C20" s="555">
        <f>SUM(C17:C19)</f>
        <v>32226.050420168071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6509.6621848739505</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35006</v>
      </c>
      <c r="C28" s="775">
        <v>8480</v>
      </c>
      <c r="D28" s="628"/>
      <c r="E28" s="627"/>
      <c r="F28" s="627"/>
      <c r="G28" s="627" t="s">
        <v>977</v>
      </c>
      <c r="H28" s="627" t="s">
        <v>978</v>
      </c>
      <c r="I28" s="627"/>
      <c r="J28" s="774"/>
      <c r="K28" s="774"/>
      <c r="L28" s="627" t="s">
        <v>979</v>
      </c>
      <c r="M28" s="627">
        <v>4261</v>
      </c>
      <c r="N28" s="627">
        <v>19174.5</v>
      </c>
      <c r="O28" s="627">
        <v>27392.142857142859</v>
      </c>
      <c r="P28" s="627">
        <v>54784.285714285717</v>
      </c>
      <c r="Q28" s="627">
        <v>0</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4261</v>
      </c>
      <c r="N29" s="585">
        <f>SUM(N28:N28)</f>
        <v>19174.5</v>
      </c>
      <c r="O29" s="585">
        <f>SUM(O28:O28)</f>
        <v>27392.142857142859</v>
      </c>
      <c r="P29" s="585">
        <f>SUM(P28:P28)</f>
        <v>54784.285714285717</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4261</v>
      </c>
      <c r="N32" s="590">
        <f>SUMIF($Z$28:$Z$28,"landbouw",N28:N28)</f>
        <v>19174.5</v>
      </c>
      <c r="O32" s="590">
        <f>SUMIF($Z$28:$Z$28,"landbouw",O28:O28)</f>
        <v>27392.142857142859</v>
      </c>
      <c r="P32" s="590">
        <f>SUMIF($Z$28:$Z$28,"landbouw",P28:P28)</f>
        <v>54784.285714285717</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22558.23529411765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32226.050420168071</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2021-11-11T13:46:13Z</dcterms:modified>
</cp:coreProperties>
</file>