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87925843-718E-439F-9237-107069B844A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I76" i="14"/>
  <c r="I8" i="55" s="1"/>
  <c r="I10" i="55" s="1"/>
  <c r="J20" i="18"/>
  <c r="J87" i="14"/>
  <c r="I20" i="18"/>
  <c r="I87" i="14"/>
  <c r="I17" i="55" s="1"/>
  <c r="I20" i="55" s="1"/>
  <c r="O8" i="18"/>
  <c r="O10" i="18" s="1"/>
  <c r="J10" i="18"/>
  <c r="D90" i="14"/>
  <c r="F17" i="55" l="1"/>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4" i="13"/>
  <c r="B33" i="13"/>
  <c r="B36" i="13"/>
  <c r="B32" i="13"/>
  <c r="B35" i="13"/>
  <c r="C35" i="13" s="1"/>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<sst xmlns="http://schemas.openxmlformats.org/spreadsheetml/2006/main" count="2579" uniqueCount="983">
  <si>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</si>
  <si>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</si>
  <si>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</si>
  <si>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</si>
  <si>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</si>
  <si>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</si>
  <si>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</si>
  <si>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</si>
  <si>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</si>
  <si>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</si>
  <si>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</si>
  <si>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</si>
  <si>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</si>
  <si>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</si>
  <si>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</si>
  <si>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</si>
  <si>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</si>
  <si>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</si>
  <si>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</si>
  <si>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</si>
  <si>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</si>
  <si>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</si>
  <si>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</si>
  <si>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</si>
  <si>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</si>
  <si>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</si>
  <si>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</si>
  <si>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</si>
  <si>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</si>
  <si>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</si>
  <si>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</si>
  <si>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</si>
  <si>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</si>
  <si>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</si>
  <si>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</si>
  <si>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</si>
  <si>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</si>
  <si>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</si>
  <si>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</si>
  <si>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</si>
  <si>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</si>
  <si>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</si>
  <si>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</si>
  <si>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</si>
  <si>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</si>
  <si>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</si>
  <si>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</si>
  <si>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</si>
  <si>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</si>
  <si>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</si>
  <si>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</si>
  <si>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</si>
  <si>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</si>
  <si>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</si>
  <si>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</si>
  <si>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</si>
  <si>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</si>
  <si>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</si>
  <si>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</si>
  <si>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</si>
  <si>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</si>
  <si>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</si>
  <si>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</si>
  <si>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</si>
  <si>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</si>
  <si>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</si>
  <si>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</si>
  <si>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</si>
  <si>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</si>
  <si>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</si>
  <si>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</si>
  <si>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</si>
  <si>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</si>
  <si>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</si>
  <si>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</si>
  <si>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</si>
  <si>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</si>
  <si>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</si>
  <si>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</si>
  <si>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</si>
  <si>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</si>
  <si>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</si>
  <si>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</si>
  <si>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</si>
  <si>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</si>
  <si>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</si>
  <si>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</si>
  <si>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</si>
  <si>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</si>
  <si>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</si>
  <si>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</si>
  <si>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</si>
  <si>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</si>
  <si>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</si>
  <si>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</si>
  <si>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</si>
  <si>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</si>
  <si>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</si>
  <si>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</si>
  <si>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</si>
  <si>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</si>
  <si>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</si>
  <si>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</si>
  <si>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</si>
  <si>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</si>
  <si>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</si>
  <si>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</si>
  <si>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</si>
  <si>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</si>
  <si>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</si>
  <si>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</si>
  <si>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</si>
  <si>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</si>
  <si>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</si>
  <si>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</si>
  <si>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</si>
  <si>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</si>
  <si>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</si>
  <si>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</si>
  <si>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</si>
  <si>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</si>
  <si>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</si>
  <si>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</si>
  <si>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</si>
  <si>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</si>
  <si>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</si>
  <si>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</si>
  <si>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</si>
  <si>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</si>
  <si>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</si>
  <si>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</si>
  <si>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</si>
  <si>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</si>
  <si>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</si>
  <si>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</si>
  <si>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</si>
  <si>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</si>
  <si>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</si>
  <si>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</si>
  <si>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</si>
  <si>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</si>
  <si>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</si>
  <si>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</si>
  <si>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</si>
  <si>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</si>
  <si>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</si>
  <si>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</si>
  <si>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</si>
  <si>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</si>
  <si>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</si>
  <si>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</si>
  <si>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</si>
  <si>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</si>
  <si>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</si>
  <si>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</si>
  <si>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</si>
  <si>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</si>
  <si>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</si>
  <si>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</si>
  <si>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</si>
  <si>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</si>
  <si>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</si>
  <si>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</si>
  <si>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</si>
  <si>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</si>
  <si>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</si>
  <si>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</si>
  <si>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</si>
  <si>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</si>
  <si>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</si>
  <si>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</si>
  <si>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</si>
  <si>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</si>
  <si>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</si>
  <si>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</si>
  <si>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</si>
  <si>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</si>
  <si>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</si>
  <si>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</si>
  <si>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</si>
  <si>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</si>
  <si>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</si>
  <si>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</si>
  <si>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</si>
  <si>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</si>
  <si>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</si>
  <si>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</si>
  <si>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</si>
  <si>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</si>
  <si>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</si>
  <si>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</si>
  <si>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</si>
  <si>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</si>
  <si>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</si>
  <si>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</si>
  <si>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</si>
  <si>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</si>
  <si>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</si>
  <si>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</si>
  <si>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</si>
  <si>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</si>
  <si>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</si>
  <si>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</si>
  <si>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</si>
  <si>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</si>
  <si>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</si>
  <si>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</si>
  <si>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</si>
  <si>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</si>
  <si>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</si>
  <si>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</si>
  <si>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</si>
  <si>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</si>
  <si>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</si>
  <si>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</si>
  <si>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</si>
  <si>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</si>
  <si>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</si>
  <si>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</si>
  <si>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</si>
  <si>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</si>
  <si>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</si>
  <si>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</si>
  <si>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</si>
  <si>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</si>
  <si>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</si>
  <si>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</si>
  <si>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</si>
  <si>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</si>
  <si>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</si>
  <si>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</si>
  <si>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</si>
  <si>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</si>
  <si>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</si>
  <si>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</si>
  <si>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</si>
  <si>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</si>
  <si>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</si>
  <si>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</si>
  <si>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</si>
  <si>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</si>
  <si>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</si>
  <si>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</si>
  <si>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</si>
  <si>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</si>
  <si>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</si>
  <si>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</si>
  <si>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</si>
  <si>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</si>
  <si>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</si>
  <si>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</si>
  <si>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</si>
  <si>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</si>
  <si>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</si>
  <si>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</si>
  <si>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</si>
  <si>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</si>
  <si>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</si>
  <si>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</si>
  <si>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</si>
  <si>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</si>
  <si>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</si>
  <si>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</si>
  <si>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</si>
  <si>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</si>
  <si>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</si>
  <si>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</si>
  <si>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</si>
  <si>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</si>
  <si>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</si>
  <si>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</si>
  <si>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</si>
  <si>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</si>
  <si>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</si>
  <si>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</si>
  <si>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</si>
  <si>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</si>
  <si>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</si>
  <si>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</si>
  <si>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</si>
  <si>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</si>
  <si>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</si>
  <si>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</si>
  <si>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</si>
  <si>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</si>
  <si>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</si>
  <si>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</si>
  <si>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</si>
  <si>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</si>
  <si>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</si>
  <si>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</si>
  <si>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</si>
  <si>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</si>
  <si>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</si>
  <si>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</si>
  <si>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</si>
  <si>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</si>
  <si>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</si>
  <si>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</si>
  <si>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</si>
  <si>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</si>
  <si>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</si>
  <si>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</si>
  <si>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</si>
  <si>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</si>
  <si>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</si>
  <si>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</si>
  <si>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</si>
  <si>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</si>
  <si>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</si>
  <si>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</si>
  <si>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</si>
  <si>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</si>
  <si>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</si>
  <si>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</si>
  <si>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</si>
  <si>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</si>
  <si>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</si>
  <si>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</si>
  <si>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</si>
  <si>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</si>
  <si>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</si>
  <si>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</si>
  <si>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</si>
  <si>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</si>
  <si>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</si>
  <si>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</si>
  <si>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</si>
  <si>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</si>
  <si>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</si>
  <si>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</si>
  <si>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</si>
  <si>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</si>
  <si>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</si>
  <si>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</si>
  <si>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</si>
  <si>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</si>
  <si>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</si>
  <si>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</si>
  <si>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</si>
  <si>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</si>
  <si>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</si>
  <si>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</si>
  <si>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</si>
  <si>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</si>
  <si>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</si>
  <si>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</si>
  <si>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</si>
  <si>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</si>
  <si>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</si>
  <si>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</si>
  <si>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</si>
  <si>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</si>
  <si>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</si>
  <si>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</si>
  <si>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</si>
  <si>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</si>
  <si>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</si>
  <si>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</si>
  <si>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</si>
  <si>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</si>
  <si>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</si>
  <si>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</si>
  <si>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</si>
  <si>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</si>
  <si>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</si>
  <si>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</si>
  <si>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</si>
  <si>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</si>
  <si>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</si>
  <si>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</si>
  <si>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</si>
  <si>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</si>
  <si>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</si>
  <si>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</si>
  <si>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</si>
  <si>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</si>
  <si>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</si>
  <si>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</si>
  <si>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</si>
  <si>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</si>
  <si>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</si>
  <si>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</si>
  <si>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</si>
  <si>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</si>
  <si>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</si>
  <si>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</si>
  <si>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</si>
  <si>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</si>
  <si>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</si>
  <si>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</si>
  <si>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</si>
  <si>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</si>
  <si>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</si>
  <si>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</si>
  <si>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</si>
  <si>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</si>
  <si>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</si>
  <si>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</si>
  <si>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</si>
  <si>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</si>
  <si>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</si>
  <si>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</si>
  <si>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</si>
  <si>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</si>
  <si>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</si>
  <si>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</si>
  <si>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</si>
  <si>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</si>
  <si>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</si>
  <si>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</si>
  <si>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</si>
  <si>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</si>
  <si>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</si>
  <si>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</si>
  <si>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</si>
  <si>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</si>
  <si>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</si>
  <si>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</si>
  <si>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</si>
  <si>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</si>
  <si>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</si>
  <si>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</si>
  <si>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</si>
  <si>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</si>
  <si>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</si>
  <si>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</si>
  <si>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</si>
  <si>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</si>
  <si>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</si>
  <si>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</si>
  <si>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</si>
  <si>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</si>
  <si>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</si>
  <si>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</si>
  <si>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</si>
  <si>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</si>
  <si>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</si>
  <si>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</si>
  <si>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</si>
  <si>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</si>
  <si>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</si>
  <si>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</si>
  <si>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</si>
  <si>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</si>
  <si>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</si>
  <si>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</si>
  <si>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</si>
  <si>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</si>
  <si>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</si>
  <si>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</si>
  <si>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</si>
  <si>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</si>
  <si>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</si>
  <si>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</si>
  <si>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</si>
  <si>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</si>
  <si>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</si>
  <si>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</si>
  <si>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</si>
  <si>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</si>
  <si>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</si>
  <si>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</si>
  <si>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</si>
  <si>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</si>
  <si>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</si>
  <si>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</si>
  <si>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</si>
  <si>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</si>
  <si>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</si>
  <si>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</si>
  <si>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</si>
  <si>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</si>
  <si>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</si>
  <si>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</si>
  <si>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</si>
  <si>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</si>
  <si>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</si>
  <si>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</si>
  <si>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</si>
  <si>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</si>
  <si>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</si>
  <si>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</si>
  <si>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</si>
  <si>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</si>
  <si>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</si>
  <si>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</si>
  <si>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</si>
  <si>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</si>
  <si>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</si>
  <si>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</si>
  <si>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</si>
  <si>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</si>
  <si>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</si>
  <si>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</si>
  <si>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</si>
  <si>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</si>
  <si>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</si>
  <si>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</si>
  <si>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</si>
  <si>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</si>
  <si>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</si>
  <si>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</si>
  <si>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</si>
  <si>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</si>
  <si>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</si>
  <si>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</si>
  <si>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</si>
  <si>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</si>
  <si>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</si>
  <si>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</si>
  <si>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</si>
  <si>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</si>
  <si>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</si>
  <si>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</si>
  <si>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</si>
  <si>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</si>
  <si>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</si>
  <si>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</si>
  <si>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</si>
  <si>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</si>
  <si>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</si>
  <si>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</si>
  <si>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</si>
  <si>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</si>
  <si>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</si>
  <si>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</si>
  <si>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</si>
  <si>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</si>
  <si>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</si>
  <si>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</si>
  <si>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</si>
  <si>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</si>
  <si>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</si>
  <si>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</si>
  <si>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</si>
  <si>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</si>
  <si>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</si>
  <si>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</si>
  <si>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</si>
  <si>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</si>
  <si>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</si>
  <si>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</si>
  <si>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</si>
  <si>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</si>
  <si>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</si>
  <si>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</si>
  <si>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</si>
  <si>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</si>
  <si>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</si>
  <si>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</si>
  <si>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</si>
  <si>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</si>
  <si>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</si>
  <si>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</si>
  <si>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</si>
  <si>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</si>
  <si>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</si>
  <si>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</si>
  <si>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</si>
  <si>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</si>
  <si>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</si>
  <si>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</si>
  <si>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</si>
  <si>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</si>
  <si>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</si>
  <si>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</si>
  <si>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</si>
  <si>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</si>
  <si>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</si>
  <si>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</si>
  <si>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</si>
  <si>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</si>
  <si>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</si>
  <si>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</si>
  <si>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</si>
  <si>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</si>
  <si>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</si>
  <si>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</si>
  <si>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</si>
  <si>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</si>
  <si>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</si>
  <si>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</si>
  <si>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</si>
  <si>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</si>
  <si>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</si>
  <si>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</si>
  <si>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</si>
  <si>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</si>
  <si>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</si>
  <si>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</si>
  <si>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</si>
  <si>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</si>
  <si>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</si>
  <si>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</si>
  <si>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</si>
  <si>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</si>
  <si>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</si>
  <si>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</si>
  <si>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</si>
  <si>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</si>
  <si>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</si>
  <si>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</si>
  <si>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</si>
  <si>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</si>
  <si>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</si>
  <si>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</si>
  <si>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</si>
  <si>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</si>
  <si>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</si>
  <si>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</si>
  <si>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</si>
  <si>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</si>
  <si>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</si>
  <si>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</si>
  <si>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</si>
  <si>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</si>
  <si>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</si>
  <si>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</si>
  <si>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</si>
  <si>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</si>
  <si>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</si>
  <si>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</si>
  <si>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</si>
  <si>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</si>
  <si>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</si>
  <si>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</si>
  <si>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</si>
  <si>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</si>
  <si>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</si>
  <si>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</si>
  <si>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</si>
  <si>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</si>
  <si>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</si>
  <si>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</si>
  <si>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</si>
  <si>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</si>
  <si>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</si>
  <si>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</si>
  <si>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</si>
  <si>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</si>
  <si>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</si>
  <si>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</si>
  <si>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</si>
  <si>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</si>
  <si>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</si>
  <si>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</si>
  <si>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</si>
  <si>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</si>
  <si>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</si>
  <si>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</si>
  <si>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</si>
  <si>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</si>
  <si>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</si>
  <si>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</si>
  <si>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</si>
  <si>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</si>
  <si>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</si>
  <si>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</si>
  <si>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</si>
  <si>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</si>
  <si>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</si>
  <si>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</si>
  <si>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</si>
  <si>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</si>
  <si>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</si>
  <si>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</si>
  <si>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</si>
  <si>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</si>
  <si>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</si>
  <si>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</si>
  <si>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</si>
  <si>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</si>
  <si>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</si>
  <si>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</si>
  <si>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</si>
  <si>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</si>
  <si>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</si>
  <si>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</si>
  <si>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</si>
  <si>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</si>
  <si>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</si>
  <si>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</si>
  <si>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</si>
  <si>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</si>
  <si>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</si>
  <si>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</si>
  <si>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</si>
  <si>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</si>
  <si>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</si>
  <si>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</si>
  <si>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</si>
  <si>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</si>
  <si>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</si>
  <si>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</si>
  <si>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</si>
  <si>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</si>
  <si>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</si>
  <si>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</si>
  <si>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</si>
  <si>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</si>
  <si>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</si>
  <si>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</si>
  <si>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</si>
  <si>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</si>
  <si>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</si>
  <si>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</si>
  <si>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</si>
  <si>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</si>
  <si>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</si>
  <si>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</si>
  <si>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</si>
  <si>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</si>
  <si>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</si>
  <si>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</si>
  <si>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</si>
  <si>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</si>
  <si>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</si>
  <si>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</si>
  <si>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</si>
  <si>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</si>
  <si>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</si>
  <si>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</si>
  <si>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</si>
  <si>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</si>
  <si>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</si>
  <si>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</si>
  <si>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</si>
  <si>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</si>
  <si>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</si>
  <si>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</si>
  <si>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</si>
  <si>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</si>
  <si>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</si>
  <si>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</si>
  <si>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</si>
  <si>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</si>
  <si>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</si>
  <si>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</si>
  <si>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</si>
  <si>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</si>
  <si>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</si>
  <si>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</si>
  <si>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</si>
  <si>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</si>
  <si>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</si>
  <si>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</si>
  <si>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</si>
  <si>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</si>
  <si>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</si>
  <si>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</si>
  <si>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</si>
  <si>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</si>
  <si>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</si>
  <si>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</si>
  <si>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</si>
  <si>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</si>
  <si>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</si>
  <si>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</si>
  <si>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</si>
  <si>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</si>
  <si>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</si>
  <si>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</si>
  <si>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</si>
  <si>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</si>
  <si>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</si>
  <si>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</si>
  <si>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</si>
  <si>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</si>
  <si>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</si>
  <si>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</si>
  <si>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</si>
  <si>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</si>
  <si>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</si>
  <si>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</si>
  <si>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</si>
  <si>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</si>
  <si>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</si>
  <si>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</si>
  <si>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</si>
  <si>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</si>
  <si>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</si>
  <si>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</si>
  <si>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</si>
  <si>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</si>
  <si>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</si>
  <si>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</si>
  <si>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</si>
  <si>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</si>
  <si>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</si>
  <si>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</si>
  <si>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</si>
  <si>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</si>
  <si>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</si>
  <si>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</si>
  <si>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</si>
  <si>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</si>
  <si>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</si>
  <si>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</si>
  <si>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</si>
  <si>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</si>
  <si>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</si>
  <si>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</si>
  <si>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</si>
  <si>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</si>
  <si>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</si>
  <si>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</si>
  <si>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</si>
  <si>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</si>
  <si>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</si>
  <si>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</si>
  <si>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</si>
  <si>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</si>
  <si>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</si>
  <si>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</si>
  <si>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</si>
  <si>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</si>
  <si>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</si>
  <si>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</si>
  <si>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</si>
  <si>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</si>
  <si>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</si>
  <si>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</si>
  <si>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</si>
  <si>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</si>
  <si>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</si>
  <si>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</si>
  <si>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</si>
  <si>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</si>
  <si>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</si>
  <si>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</si>
  <si>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</si>
  <si>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</si>
  <si>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</si>
  <si>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</si>
  <si>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</si>
  <si>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</si>
  <si>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</si>
  <si>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</si>
  <si>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</si>
  <si>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</si>
  <si>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</si>
  <si>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</si>
  <si>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</si>
  <si>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</si>
  <si>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</si>
  <si>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</si>
  <si>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</si>
  <si>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</si>
  <si>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</si>
  <si>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</si>
  <si>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</si>
  <si>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</si>
  <si>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</si>
  <si>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</si>
  <si>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</si>
  <si>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</si>
  <si>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</si>
  <si>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</si>
  <si>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</si>
  <si>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</si>
  <si>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</si>
  <si>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</si>
  <si>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</si>
  <si>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</si>
  <si>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</si>
  <si>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</si>
  <si>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</si>
  <si>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</si>
  <si>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</si>
  <si>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</si>
  <si>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</si>
  <si>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</si>
  <si>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</si>
  <si>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</si>
  <si>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</si>
  <si>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</si>
  <si>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</si>
  <si>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</si>
  <si>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</si>
  <si>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</si>
  <si>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</si>
  <si>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</si>
  <si>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</si>
  <si>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</si>
  <si>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</si>
  <si>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</si>
  <si>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</si>
  <si>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</si>
  <si>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</si>
  <si>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</si>
  <si>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</si>
  <si>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</si>
  <si>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</si>
  <si>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</si>
  <si>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</si>
  <si>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</si>
  <si>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</si>
  <si>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</si>
  <si>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</si>
  <si>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</si>
  <si>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</si>
  <si>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</si>
  <si>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</si>
  <si>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</si>
  <si>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</si>
  <si>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</si>
  <si>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</si>
  <si>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</si>
  <si>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</si>
  <si>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</si>
  <si>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</si>
  <si>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</si>
  <si>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</si>
  <si>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</si>
  <si>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</si>
  <si>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</si>
  <si>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</si>
  <si>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</si>
  <si>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</si>
  <si>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</si>
  <si>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</si>
  <si>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</si>
  <si>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</si>
  <si>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</si>
  <si>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</si>
  <si>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</si>
  <si>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</si>
  <si>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</si>
  <si>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</si>
  <si>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</si>
  <si>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</si>
  <si>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</si>
  <si>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</si>
  <si>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</si>
  <si>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</si>
  <si>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</si>
  <si>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</si>
  <si>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</si>
  <si>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</si>
  <si>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</si>
  <si>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</si>
  <si>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</si>
  <si>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</si>
  <si>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</si>
  <si>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</si>
  <si>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</si>
  <si>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</si>
  <si>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</si>
  <si>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</si>
  <si>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</si>
  <si>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</si>
  <si>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</si>
  <si>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</si>
  <si>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</si>
  <si>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</si>
  <si>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</si>
  <si>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</si>
  <si>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</si>
  <si>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</si>
  <si>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</si>
  <si>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</si>
  <si>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</si>
  <si>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</si>
  <si>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</si>
  <si>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</si>
  <si>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</si>
  <si>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</si>
  <si>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</si>
  <si>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</si>
  <si>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35005</t>
  </si>
  <si>
    <t>GISTEL</t>
  </si>
  <si>
    <t>Paarden&amp;pony's 200 - 600 kg</t>
  </si>
  <si>
    <t>Paarden&amp;pony's &lt; 200 kg</t>
  </si>
  <si>
    <t>Fluvius</t>
  </si>
  <si>
    <t xml:space="preserve">Bron: </t>
  </si>
  <si>
    <t>referentietaak LNE (2017); Jaarverslag De Lijn</t>
  </si>
  <si>
    <t>interne verbrandingsmotor</t>
  </si>
  <si>
    <t>WKK interne verbrandinsgmotor (vloeibaar)</t>
  </si>
  <si>
    <t>eilandwerking</t>
  </si>
  <si>
    <t>biomassa uit land- of bosbouw</t>
  </si>
  <si>
    <t>niet WKK interne verbrandingsmotor (vloeibaar)</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</si>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</sst>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9090A3FE-694C-4C32-BE2F-1F6AE9961F87}"/>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35005</v>
      </c>
      <c r="B6" s="384"/>
      <c r="C6" s="385"/>
    </row>
    <row r="7" spans="1:7" s="382" customFormat="1" ht="15.75" customHeight="1">
      <c r="A7" s="386" t="str">
        <f>txtMunicipality</f>
        <v>GISTEL</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13832.508</v>
      </c>
      <c r="D10" s="674">
        <f ca="1">tertiair!C16</f>
        <v>663.1875</v>
      </c>
      <c r="E10" s="674">
        <f ca="1">tertiair!D16</f>
        <v>10605.117974000001</v>
      </c>
      <c r="F10" s="674">
        <f>tertiair!E16</f>
        <v>164.46792438708417</v>
      </c>
      <c r="G10" s="674">
        <f ca="1">tertiair!F16</f>
        <v>2415.8713719510729</v>
      </c>
      <c r="H10" s="674">
        <f>tertiair!G16</f>
        <v>0</v>
      </c>
      <c r="I10" s="674">
        <f>tertiair!H16</f>
        <v>0</v>
      </c>
      <c r="J10" s="674">
        <f>tertiair!I16</f>
        <v>0</v>
      </c>
      <c r="K10" s="674">
        <f>tertiair!J16</f>
        <v>0</v>
      </c>
      <c r="L10" s="674">
        <f>tertiair!K16</f>
        <v>0</v>
      </c>
      <c r="M10" s="674">
        <f ca="1">tertiair!L16</f>
        <v>0</v>
      </c>
      <c r="N10" s="674">
        <f>tertiair!M16</f>
        <v>0</v>
      </c>
      <c r="O10" s="674">
        <f ca="1">tertiair!N16</f>
        <v>525.6630383113752</v>
      </c>
      <c r="P10" s="674">
        <f>tertiair!O16</f>
        <v>0</v>
      </c>
      <c r="Q10" s="675">
        <f>tertiair!P16</f>
        <v>0</v>
      </c>
      <c r="R10" s="677">
        <f ca="1">SUM(C10:Q10)</f>
        <v>28206.815808649539</v>
      </c>
      <c r="S10" s="67"/>
    </row>
    <row r="11" spans="1:19" s="443" customFormat="1">
      <c r="A11" s="789" t="s">
        <v>214</v>
      </c>
      <c r="B11" s="794"/>
      <c r="C11" s="674">
        <f>huishoudens!B8</f>
        <v>23914.552069550504</v>
      </c>
      <c r="D11" s="674">
        <f>huishoudens!C8</f>
        <v>0</v>
      </c>
      <c r="E11" s="674">
        <f>huishoudens!D8</f>
        <v>53207.436677999998</v>
      </c>
      <c r="F11" s="674">
        <f>huishoudens!E8</f>
        <v>737.29860973991742</v>
      </c>
      <c r="G11" s="674">
        <f>huishoudens!F8</f>
        <v>25167.242450777816</v>
      </c>
      <c r="H11" s="674">
        <f>huishoudens!G8</f>
        <v>0</v>
      </c>
      <c r="I11" s="674">
        <f>huishoudens!H8</f>
        <v>0</v>
      </c>
      <c r="J11" s="674">
        <f>huishoudens!I8</f>
        <v>0</v>
      </c>
      <c r="K11" s="674">
        <f>huishoudens!J8</f>
        <v>566.70249380430005</v>
      </c>
      <c r="L11" s="674">
        <f>huishoudens!K8</f>
        <v>0</v>
      </c>
      <c r="M11" s="674">
        <f>huishoudens!L8</f>
        <v>0</v>
      </c>
      <c r="N11" s="674">
        <f>huishoudens!M8</f>
        <v>0</v>
      </c>
      <c r="O11" s="674">
        <f>huishoudens!N8</f>
        <v>5612.8049707358332</v>
      </c>
      <c r="P11" s="674">
        <f>huishoudens!O8</f>
        <v>117.25</v>
      </c>
      <c r="Q11" s="675">
        <f>huishoudens!P8</f>
        <v>57.2</v>
      </c>
      <c r="R11" s="677">
        <f>SUM(C11:Q11)</f>
        <v>109380.48727260836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2962.3950000000004</v>
      </c>
      <c r="D13" s="674">
        <f>industrie!C18</f>
        <v>0</v>
      </c>
      <c r="E13" s="674">
        <f>industrie!D18</f>
        <v>6422.4041639999996</v>
      </c>
      <c r="F13" s="674">
        <f>industrie!E18</f>
        <v>54.919809337966541</v>
      </c>
      <c r="G13" s="674">
        <f>industrie!F18</f>
        <v>888.33293589414063</v>
      </c>
      <c r="H13" s="674">
        <f>industrie!G18</f>
        <v>0</v>
      </c>
      <c r="I13" s="674">
        <f>industrie!H18</f>
        <v>0</v>
      </c>
      <c r="J13" s="674">
        <f>industrie!I18</f>
        <v>0</v>
      </c>
      <c r="K13" s="674">
        <f>industrie!J18</f>
        <v>17.616834918052611</v>
      </c>
      <c r="L13" s="674">
        <f>industrie!K18</f>
        <v>0</v>
      </c>
      <c r="M13" s="674">
        <f>industrie!L18</f>
        <v>0</v>
      </c>
      <c r="N13" s="674">
        <f>industrie!M18</f>
        <v>0</v>
      </c>
      <c r="O13" s="674">
        <f>industrie!N18</f>
        <v>64.423595905418864</v>
      </c>
      <c r="P13" s="674">
        <f>industrie!O18</f>
        <v>0</v>
      </c>
      <c r="Q13" s="675">
        <f>industrie!P18</f>
        <v>0</v>
      </c>
      <c r="R13" s="677">
        <f>SUM(C13:Q13)</f>
        <v>10410.09234005558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40709.455069550502</v>
      </c>
      <c r="D16" s="707">
        <f t="shared" ref="D16:R16" ca="1" si="0">SUM(D9:D15)</f>
        <v>663.1875</v>
      </c>
      <c r="E16" s="707">
        <f t="shared" ca="1" si="0"/>
        <v>70234.958815999998</v>
      </c>
      <c r="F16" s="707">
        <f t="shared" si="0"/>
        <v>956.6863434649681</v>
      </c>
      <c r="G16" s="707">
        <f t="shared" ca="1" si="0"/>
        <v>28471.446758623031</v>
      </c>
      <c r="H16" s="707">
        <f t="shared" si="0"/>
        <v>0</v>
      </c>
      <c r="I16" s="707">
        <f t="shared" si="0"/>
        <v>0</v>
      </c>
      <c r="J16" s="707">
        <f t="shared" si="0"/>
        <v>0</v>
      </c>
      <c r="K16" s="707">
        <f t="shared" si="0"/>
        <v>584.31932872235268</v>
      </c>
      <c r="L16" s="707">
        <f t="shared" si="0"/>
        <v>0</v>
      </c>
      <c r="M16" s="707">
        <f t="shared" ca="1" si="0"/>
        <v>0</v>
      </c>
      <c r="N16" s="707">
        <f t="shared" si="0"/>
        <v>0</v>
      </c>
      <c r="O16" s="707">
        <f t="shared" ca="1" si="0"/>
        <v>6202.8916049526269</v>
      </c>
      <c r="P16" s="707">
        <f t="shared" si="0"/>
        <v>117.25</v>
      </c>
      <c r="Q16" s="707">
        <f t="shared" si="0"/>
        <v>57.2</v>
      </c>
      <c r="R16" s="707">
        <f t="shared" ca="1" si="0"/>
        <v>147997.3954213135</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7.1220415677055975</v>
      </c>
      <c r="D19" s="674">
        <f>transport!C54</f>
        <v>0</v>
      </c>
      <c r="E19" s="674">
        <f>transport!D54</f>
        <v>0</v>
      </c>
      <c r="F19" s="674">
        <f>transport!E54</f>
        <v>0</v>
      </c>
      <c r="G19" s="674">
        <f>transport!F54</f>
        <v>0</v>
      </c>
      <c r="H19" s="674">
        <f>transport!G54</f>
        <v>1545.0554138251966</v>
      </c>
      <c r="I19" s="674">
        <f>transport!H54</f>
        <v>0</v>
      </c>
      <c r="J19" s="674">
        <f>transport!I54</f>
        <v>0</v>
      </c>
      <c r="K19" s="674">
        <f>transport!J54</f>
        <v>0</v>
      </c>
      <c r="L19" s="674">
        <f>transport!K54</f>
        <v>0</v>
      </c>
      <c r="M19" s="674">
        <f>transport!L54</f>
        <v>0</v>
      </c>
      <c r="N19" s="674">
        <f>transport!M54</f>
        <v>66.153337877388779</v>
      </c>
      <c r="O19" s="674">
        <f>transport!N54</f>
        <v>0</v>
      </c>
      <c r="P19" s="674">
        <f>transport!O54</f>
        <v>0</v>
      </c>
      <c r="Q19" s="675">
        <f>transport!P54</f>
        <v>0</v>
      </c>
      <c r="R19" s="677">
        <f>SUM(C19:Q19)</f>
        <v>1618.330793270291</v>
      </c>
      <c r="S19" s="67"/>
    </row>
    <row r="20" spans="1:19" s="443" customFormat="1">
      <c r="A20" s="789" t="s">
        <v>296</v>
      </c>
      <c r="B20" s="794"/>
      <c r="C20" s="674">
        <f>transport!B14</f>
        <v>1.7702473752801156</v>
      </c>
      <c r="D20" s="674">
        <f>transport!C14</f>
        <v>0</v>
      </c>
      <c r="E20" s="674">
        <f>transport!D14</f>
        <v>5.3232939034497013</v>
      </c>
      <c r="F20" s="674">
        <f>transport!E14</f>
        <v>619.76140370153416</v>
      </c>
      <c r="G20" s="674">
        <f>transport!F14</f>
        <v>0</v>
      </c>
      <c r="H20" s="674">
        <f>transport!G14</f>
        <v>146912.67779631229</v>
      </c>
      <c r="I20" s="674">
        <f>transport!H14</f>
        <v>18235.699249134785</v>
      </c>
      <c r="J20" s="674">
        <f>transport!I14</f>
        <v>0</v>
      </c>
      <c r="K20" s="674">
        <f>transport!J14</f>
        <v>0</v>
      </c>
      <c r="L20" s="674">
        <f>transport!K14</f>
        <v>0</v>
      </c>
      <c r="M20" s="674">
        <f>transport!L14</f>
        <v>0</v>
      </c>
      <c r="N20" s="674">
        <f>transport!M14</f>
        <v>7168.1761446295195</v>
      </c>
      <c r="O20" s="674">
        <f>transport!N14</f>
        <v>0</v>
      </c>
      <c r="P20" s="674">
        <f>transport!O14</f>
        <v>0</v>
      </c>
      <c r="Q20" s="675">
        <f>transport!P14</f>
        <v>0</v>
      </c>
      <c r="R20" s="677">
        <f>SUM(C20:Q20)</f>
        <v>172943.40813505684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8.8922889429857133</v>
      </c>
      <c r="D22" s="792">
        <f t="shared" ref="D22:R22" si="1">SUM(D18:D21)</f>
        <v>0</v>
      </c>
      <c r="E22" s="792">
        <f t="shared" si="1"/>
        <v>5.3232939034497013</v>
      </c>
      <c r="F22" s="792">
        <f t="shared" si="1"/>
        <v>619.76140370153416</v>
      </c>
      <c r="G22" s="792">
        <f t="shared" si="1"/>
        <v>0</v>
      </c>
      <c r="H22" s="792">
        <f t="shared" si="1"/>
        <v>148457.73321013749</v>
      </c>
      <c r="I22" s="792">
        <f t="shared" si="1"/>
        <v>18235.699249134785</v>
      </c>
      <c r="J22" s="792">
        <f t="shared" si="1"/>
        <v>0</v>
      </c>
      <c r="K22" s="792">
        <f t="shared" si="1"/>
        <v>0</v>
      </c>
      <c r="L22" s="792">
        <f t="shared" si="1"/>
        <v>0</v>
      </c>
      <c r="M22" s="792">
        <f t="shared" si="1"/>
        <v>0</v>
      </c>
      <c r="N22" s="792">
        <f t="shared" si="1"/>
        <v>7234.3294825069079</v>
      </c>
      <c r="O22" s="792">
        <f t="shared" si="1"/>
        <v>0</v>
      </c>
      <c r="P22" s="792">
        <f t="shared" si="1"/>
        <v>0</v>
      </c>
      <c r="Q22" s="792">
        <f t="shared" si="1"/>
        <v>0</v>
      </c>
      <c r="R22" s="792">
        <f t="shared" si="1"/>
        <v>174561.73892832713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2751.6889999999999</v>
      </c>
      <c r="D24" s="674">
        <f>+landbouw!C8</f>
        <v>0</v>
      </c>
      <c r="E24" s="674">
        <f>+landbouw!D8</f>
        <v>1116.42344</v>
      </c>
      <c r="F24" s="674">
        <f>+landbouw!E8</f>
        <v>28.816282924375322</v>
      </c>
      <c r="G24" s="674">
        <f>+landbouw!F8</f>
        <v>11779.319759588943</v>
      </c>
      <c r="H24" s="674">
        <f>+landbouw!G8</f>
        <v>0</v>
      </c>
      <c r="I24" s="674">
        <f>+landbouw!H8</f>
        <v>0</v>
      </c>
      <c r="J24" s="674">
        <f>+landbouw!I8</f>
        <v>0</v>
      </c>
      <c r="K24" s="674">
        <f>+landbouw!J8</f>
        <v>245.75049150926316</v>
      </c>
      <c r="L24" s="674">
        <f>+landbouw!K8</f>
        <v>0</v>
      </c>
      <c r="M24" s="674">
        <f>+landbouw!L8</f>
        <v>0</v>
      </c>
      <c r="N24" s="674">
        <f>+landbouw!M8</f>
        <v>0</v>
      </c>
      <c r="O24" s="674">
        <f>+landbouw!N8</f>
        <v>0</v>
      </c>
      <c r="P24" s="674">
        <f>+landbouw!O8</f>
        <v>0</v>
      </c>
      <c r="Q24" s="675">
        <f>+landbouw!P8</f>
        <v>0</v>
      </c>
      <c r="R24" s="677">
        <f>SUM(C24:Q24)</f>
        <v>15921.998974022581</v>
      </c>
      <c r="S24" s="67"/>
    </row>
    <row r="25" spans="1:19" s="443" customFormat="1" ht="15" thickBot="1">
      <c r="A25" s="811" t="s">
        <v>889</v>
      </c>
      <c r="B25" s="966"/>
      <c r="C25" s="967">
        <f>IF(Onbekend_ele_kWh="---",0,Onbekend_ele_kWh)/1000+IF(REST_rest_ele_kWh="---",0,REST_rest_ele_kWh)/1000</f>
        <v>1053.078</v>
      </c>
      <c r="D25" s="967"/>
      <c r="E25" s="967">
        <f>IF(onbekend_gas_kWh="---",0,onbekend_gas_kWh)/1000+IF(REST_rest_gas_kWh="---",0,REST_rest_gas_kWh)/1000</f>
        <v>1118.1079999999999</v>
      </c>
      <c r="F25" s="967"/>
      <c r="G25" s="967"/>
      <c r="H25" s="967"/>
      <c r="I25" s="967"/>
      <c r="J25" s="967"/>
      <c r="K25" s="967"/>
      <c r="L25" s="967"/>
      <c r="M25" s="967"/>
      <c r="N25" s="967"/>
      <c r="O25" s="967"/>
      <c r="P25" s="967"/>
      <c r="Q25" s="968"/>
      <c r="R25" s="677">
        <f>SUM(C25:Q25)</f>
        <v>2171.1859999999997</v>
      </c>
      <c r="S25" s="67"/>
    </row>
    <row r="26" spans="1:19" s="443" customFormat="1" ht="15.75" thickBot="1">
      <c r="A26" s="680" t="s">
        <v>890</v>
      </c>
      <c r="B26" s="797"/>
      <c r="C26" s="792">
        <f>SUM(C24:C25)</f>
        <v>3804.7669999999998</v>
      </c>
      <c r="D26" s="792">
        <f t="shared" ref="D26:R26" si="2">SUM(D24:D25)</f>
        <v>0</v>
      </c>
      <c r="E26" s="792">
        <f t="shared" si="2"/>
        <v>2234.5314399999997</v>
      </c>
      <c r="F26" s="792">
        <f t="shared" si="2"/>
        <v>28.816282924375322</v>
      </c>
      <c r="G26" s="792">
        <f t="shared" si="2"/>
        <v>11779.319759588943</v>
      </c>
      <c r="H26" s="792">
        <f t="shared" si="2"/>
        <v>0</v>
      </c>
      <c r="I26" s="792">
        <f t="shared" si="2"/>
        <v>0</v>
      </c>
      <c r="J26" s="792">
        <f t="shared" si="2"/>
        <v>0</v>
      </c>
      <c r="K26" s="792">
        <f t="shared" si="2"/>
        <v>245.75049150926316</v>
      </c>
      <c r="L26" s="792">
        <f t="shared" si="2"/>
        <v>0</v>
      </c>
      <c r="M26" s="792">
        <f t="shared" si="2"/>
        <v>0</v>
      </c>
      <c r="N26" s="792">
        <f t="shared" si="2"/>
        <v>0</v>
      </c>
      <c r="O26" s="792">
        <f t="shared" si="2"/>
        <v>0</v>
      </c>
      <c r="P26" s="792">
        <f t="shared" si="2"/>
        <v>0</v>
      </c>
      <c r="Q26" s="792">
        <f t="shared" si="2"/>
        <v>0</v>
      </c>
      <c r="R26" s="792">
        <f t="shared" si="2"/>
        <v>18093.184974022581</v>
      </c>
      <c r="S26" s="67"/>
    </row>
    <row r="27" spans="1:19" s="443" customFormat="1" ht="17.25" thickTop="1" thickBot="1">
      <c r="A27" s="681" t="s">
        <v>109</v>
      </c>
      <c r="B27" s="784"/>
      <c r="C27" s="682">
        <f ca="1">C22+C16+C26</f>
        <v>44523.114358493491</v>
      </c>
      <c r="D27" s="682">
        <f t="shared" ref="D27:R27" ca="1" si="3">D22+D16+D26</f>
        <v>663.1875</v>
      </c>
      <c r="E27" s="682">
        <f t="shared" ca="1" si="3"/>
        <v>72474.813549903454</v>
      </c>
      <c r="F27" s="682">
        <f t="shared" si="3"/>
        <v>1605.2640300908777</v>
      </c>
      <c r="G27" s="682">
        <f t="shared" ca="1" si="3"/>
        <v>40250.766518211974</v>
      </c>
      <c r="H27" s="682">
        <f t="shared" si="3"/>
        <v>148457.73321013749</v>
      </c>
      <c r="I27" s="682">
        <f t="shared" si="3"/>
        <v>18235.699249134785</v>
      </c>
      <c r="J27" s="682">
        <f t="shared" si="3"/>
        <v>0</v>
      </c>
      <c r="K27" s="682">
        <f t="shared" si="3"/>
        <v>830.06982023161584</v>
      </c>
      <c r="L27" s="682">
        <f t="shared" si="3"/>
        <v>0</v>
      </c>
      <c r="M27" s="682">
        <f t="shared" ca="1" si="3"/>
        <v>0</v>
      </c>
      <c r="N27" s="682">
        <f t="shared" si="3"/>
        <v>7234.3294825069079</v>
      </c>
      <c r="O27" s="682">
        <f t="shared" ca="1" si="3"/>
        <v>6202.8916049526269</v>
      </c>
      <c r="P27" s="682">
        <f t="shared" si="3"/>
        <v>117.25</v>
      </c>
      <c r="Q27" s="682">
        <f t="shared" si="3"/>
        <v>57.2</v>
      </c>
      <c r="R27" s="682">
        <f t="shared" ca="1" si="3"/>
        <v>340652.31932366319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1269.5491244417378</v>
      </c>
      <c r="D40" s="674">
        <f ca="1">tertiair!C20</f>
        <v>0</v>
      </c>
      <c r="E40" s="674">
        <f ca="1">tertiair!D20</f>
        <v>2142.2338307480004</v>
      </c>
      <c r="F40" s="674">
        <f>tertiair!E20</f>
        <v>37.334218835868107</v>
      </c>
      <c r="G40" s="674">
        <f ca="1">tertiair!F20</f>
        <v>645.03765631093654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4094.154830336543</v>
      </c>
    </row>
    <row r="41" spans="1:18">
      <c r="A41" s="802" t="s">
        <v>214</v>
      </c>
      <c r="B41" s="809"/>
      <c r="C41" s="674">
        <f ca="1">huishoudens!B12</f>
        <v>2194.8802517456843</v>
      </c>
      <c r="D41" s="674">
        <f ca="1">huishoudens!C12</f>
        <v>0</v>
      </c>
      <c r="E41" s="674">
        <f>huishoudens!D12</f>
        <v>10747.902208956</v>
      </c>
      <c r="F41" s="674">
        <f>huishoudens!E12</f>
        <v>167.36678441096126</v>
      </c>
      <c r="G41" s="674">
        <f>huishoudens!F12</f>
        <v>6719.6537343576774</v>
      </c>
      <c r="H41" s="674">
        <f>huishoudens!G12</f>
        <v>0</v>
      </c>
      <c r="I41" s="674">
        <f>huishoudens!H12</f>
        <v>0</v>
      </c>
      <c r="J41" s="674">
        <f>huishoudens!I12</f>
        <v>0</v>
      </c>
      <c r="K41" s="674">
        <f>huishoudens!J12</f>
        <v>200.6126828067222</v>
      </c>
      <c r="L41" s="674">
        <f>huishoudens!K12</f>
        <v>0</v>
      </c>
      <c r="M41" s="674">
        <f>huishoudens!L12</f>
        <v>0</v>
      </c>
      <c r="N41" s="674">
        <f>huishoudens!M12</f>
        <v>0</v>
      </c>
      <c r="O41" s="674">
        <f>huishoudens!N12</f>
        <v>0</v>
      </c>
      <c r="P41" s="674">
        <f>huishoudens!O12</f>
        <v>0</v>
      </c>
      <c r="Q41" s="749">
        <f>huishoudens!P12</f>
        <v>0</v>
      </c>
      <c r="R41" s="830">
        <f t="shared" ca="1" si="4"/>
        <v>20030.415662277042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271.88894295239754</v>
      </c>
      <c r="D43" s="674">
        <f ca="1">industrie!C22</f>
        <v>0</v>
      </c>
      <c r="E43" s="674">
        <f>industrie!D22</f>
        <v>1297.3256411279999</v>
      </c>
      <c r="F43" s="674">
        <f>industrie!E22</f>
        <v>12.466796719718404</v>
      </c>
      <c r="G43" s="674">
        <f>industrie!F22</f>
        <v>237.18489388373555</v>
      </c>
      <c r="H43" s="674">
        <f>industrie!G22</f>
        <v>0</v>
      </c>
      <c r="I43" s="674">
        <f>industrie!H22</f>
        <v>0</v>
      </c>
      <c r="J43" s="674">
        <f>industrie!I22</f>
        <v>0</v>
      </c>
      <c r="K43" s="674">
        <f>industrie!J22</f>
        <v>6.2363595609906239</v>
      </c>
      <c r="L43" s="674">
        <f>industrie!K22</f>
        <v>0</v>
      </c>
      <c r="M43" s="674">
        <f>industrie!L22</f>
        <v>0</v>
      </c>
      <c r="N43" s="674">
        <f>industrie!M22</f>
        <v>0</v>
      </c>
      <c r="O43" s="674">
        <f>industrie!N22</f>
        <v>0</v>
      </c>
      <c r="P43" s="674">
        <f>industrie!O22</f>
        <v>0</v>
      </c>
      <c r="Q43" s="749">
        <f>industrie!P22</f>
        <v>0</v>
      </c>
      <c r="R43" s="829">
        <f t="shared" ca="1" si="4"/>
        <v>1825.102634244842</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3736.3183191398198</v>
      </c>
      <c r="D46" s="707">
        <f t="shared" ref="D46:Q46" ca="1" si="5">SUM(D39:D45)</f>
        <v>0</v>
      </c>
      <c r="E46" s="707">
        <f t="shared" ca="1" si="5"/>
        <v>14187.461680832001</v>
      </c>
      <c r="F46" s="707">
        <f t="shared" si="5"/>
        <v>217.16779996654779</v>
      </c>
      <c r="G46" s="707">
        <f t="shared" ca="1" si="5"/>
        <v>7601.8762845523497</v>
      </c>
      <c r="H46" s="707">
        <f t="shared" si="5"/>
        <v>0</v>
      </c>
      <c r="I46" s="707">
        <f t="shared" si="5"/>
        <v>0</v>
      </c>
      <c r="J46" s="707">
        <f t="shared" si="5"/>
        <v>0</v>
      </c>
      <c r="K46" s="707">
        <f t="shared" si="5"/>
        <v>206.84904236771283</v>
      </c>
      <c r="L46" s="707">
        <f t="shared" si="5"/>
        <v>0</v>
      </c>
      <c r="M46" s="707">
        <f t="shared" ca="1" si="5"/>
        <v>0</v>
      </c>
      <c r="N46" s="707">
        <f t="shared" si="5"/>
        <v>0</v>
      </c>
      <c r="O46" s="707">
        <f t="shared" ca="1" si="5"/>
        <v>0</v>
      </c>
      <c r="P46" s="707">
        <f t="shared" si="5"/>
        <v>0</v>
      </c>
      <c r="Q46" s="707">
        <f t="shared" si="5"/>
        <v>0</v>
      </c>
      <c r="R46" s="707">
        <f ca="1">SUM(R39:R45)</f>
        <v>25949.673126858426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0.65366176809861987</v>
      </c>
      <c r="D49" s="674">
        <f ca="1">transport!C58</f>
        <v>0</v>
      </c>
      <c r="E49" s="674">
        <f>transport!D58</f>
        <v>0</v>
      </c>
      <c r="F49" s="674">
        <f>transport!E58</f>
        <v>0</v>
      </c>
      <c r="G49" s="674">
        <f>transport!F58</f>
        <v>0</v>
      </c>
      <c r="H49" s="674">
        <f>transport!G58</f>
        <v>412.52979549132755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413.18345725942618</v>
      </c>
    </row>
    <row r="50" spans="1:18">
      <c r="A50" s="805" t="s">
        <v>296</v>
      </c>
      <c r="B50" s="815"/>
      <c r="C50" s="973">
        <f ca="1">transport!B18</f>
        <v>0.16247350121410778</v>
      </c>
      <c r="D50" s="973">
        <f>transport!C18</f>
        <v>0</v>
      </c>
      <c r="E50" s="973">
        <f>transport!D18</f>
        <v>1.0753053684968397</v>
      </c>
      <c r="F50" s="973">
        <f>transport!E18</f>
        <v>140.68583864024825</v>
      </c>
      <c r="G50" s="973">
        <f>transport!F18</f>
        <v>0</v>
      </c>
      <c r="H50" s="973">
        <f>transport!G18</f>
        <v>39225.684971615381</v>
      </c>
      <c r="I50" s="973">
        <f>transport!H18</f>
        <v>4540.6891130345612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43908.2977021599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0.81613526931272762</v>
      </c>
      <c r="D52" s="707">
        <f t="shared" ref="D52:Q52" ca="1" si="6">SUM(D48:D51)</f>
        <v>0</v>
      </c>
      <c r="E52" s="707">
        <f t="shared" si="6"/>
        <v>1.0753053684968397</v>
      </c>
      <c r="F52" s="707">
        <f t="shared" si="6"/>
        <v>140.68583864024825</v>
      </c>
      <c r="G52" s="707">
        <f t="shared" si="6"/>
        <v>0</v>
      </c>
      <c r="H52" s="707">
        <f t="shared" si="6"/>
        <v>39638.214767106707</v>
      </c>
      <c r="I52" s="707">
        <f t="shared" si="6"/>
        <v>4540.6891130345612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44321.481159419323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252.550322811016</v>
      </c>
      <c r="D54" s="973">
        <f ca="1">+landbouw!C12</f>
        <v>0</v>
      </c>
      <c r="E54" s="973">
        <f>+landbouw!D12</f>
        <v>225.51753488000003</v>
      </c>
      <c r="F54" s="973">
        <f>+landbouw!E12</f>
        <v>6.5412962238331982</v>
      </c>
      <c r="G54" s="973">
        <f>+landbouw!F12</f>
        <v>3145.078375810248</v>
      </c>
      <c r="H54" s="973">
        <f>+landbouw!G12</f>
        <v>0</v>
      </c>
      <c r="I54" s="973">
        <f>+landbouw!H12</f>
        <v>0</v>
      </c>
      <c r="J54" s="973">
        <f>+landbouw!I12</f>
        <v>0</v>
      </c>
      <c r="K54" s="973">
        <f>+landbouw!J12</f>
        <v>86.995673994279159</v>
      </c>
      <c r="L54" s="973">
        <f>+landbouw!K12</f>
        <v>0</v>
      </c>
      <c r="M54" s="973">
        <f>+landbouw!L12</f>
        <v>0</v>
      </c>
      <c r="N54" s="973">
        <f>+landbouw!M12</f>
        <v>0</v>
      </c>
      <c r="O54" s="973">
        <f>+landbouw!N12</f>
        <v>0</v>
      </c>
      <c r="P54" s="973">
        <f>+landbouw!O12</f>
        <v>0</v>
      </c>
      <c r="Q54" s="974">
        <f>+landbouw!P12</f>
        <v>0</v>
      </c>
      <c r="R54" s="706">
        <f ca="1">SUM(C54:Q54)</f>
        <v>3716.6832037193763</v>
      </c>
    </row>
    <row r="55" spans="1:18" ht="15" thickBot="1">
      <c r="A55" s="805" t="s">
        <v>889</v>
      </c>
      <c r="B55" s="815"/>
      <c r="C55" s="973">
        <f ca="1">C25*'EF ele_warmte'!B12</f>
        <v>96.651616096578906</v>
      </c>
      <c r="D55" s="973"/>
      <c r="E55" s="973">
        <f>E25*EF_CO2_aardgas</f>
        <v>225.85781600000001</v>
      </c>
      <c r="F55" s="973"/>
      <c r="G55" s="973"/>
      <c r="H55" s="973"/>
      <c r="I55" s="973"/>
      <c r="J55" s="973"/>
      <c r="K55" s="973"/>
      <c r="L55" s="973"/>
      <c r="M55" s="973"/>
      <c r="N55" s="973"/>
      <c r="O55" s="973"/>
      <c r="P55" s="973"/>
      <c r="Q55" s="974"/>
      <c r="R55" s="706">
        <f ca="1">SUM(C55:Q55)</f>
        <v>322.50943209657891</v>
      </c>
    </row>
    <row r="56" spans="1:18" ht="15.75" thickBot="1">
      <c r="A56" s="803" t="s">
        <v>890</v>
      </c>
      <c r="B56" s="816"/>
      <c r="C56" s="707">
        <f ca="1">SUM(C54:C55)</f>
        <v>349.20193890759492</v>
      </c>
      <c r="D56" s="707">
        <f t="shared" ref="D56:Q56" ca="1" si="7">SUM(D54:D55)</f>
        <v>0</v>
      </c>
      <c r="E56" s="707">
        <f t="shared" si="7"/>
        <v>451.37535088000004</v>
      </c>
      <c r="F56" s="707">
        <f t="shared" si="7"/>
        <v>6.5412962238331982</v>
      </c>
      <c r="G56" s="707">
        <f t="shared" si="7"/>
        <v>3145.078375810248</v>
      </c>
      <c r="H56" s="707">
        <f t="shared" si="7"/>
        <v>0</v>
      </c>
      <c r="I56" s="707">
        <f t="shared" si="7"/>
        <v>0</v>
      </c>
      <c r="J56" s="707">
        <f t="shared" si="7"/>
        <v>0</v>
      </c>
      <c r="K56" s="707">
        <f t="shared" si="7"/>
        <v>86.995673994279159</v>
      </c>
      <c r="L56" s="707">
        <f t="shared" si="7"/>
        <v>0</v>
      </c>
      <c r="M56" s="707">
        <f t="shared" si="7"/>
        <v>0</v>
      </c>
      <c r="N56" s="707">
        <f t="shared" si="7"/>
        <v>0</v>
      </c>
      <c r="O56" s="707">
        <f t="shared" si="7"/>
        <v>0</v>
      </c>
      <c r="P56" s="707">
        <f t="shared" si="7"/>
        <v>0</v>
      </c>
      <c r="Q56" s="708">
        <f t="shared" si="7"/>
        <v>0</v>
      </c>
      <c r="R56" s="709">
        <f ca="1">SUM(R54:R55)</f>
        <v>4039.1926358159553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4086.3363933167275</v>
      </c>
      <c r="D61" s="715">
        <f t="shared" ref="D61:Q61" ca="1" si="8">D46+D52+D56</f>
        <v>0</v>
      </c>
      <c r="E61" s="715">
        <f t="shared" ca="1" si="8"/>
        <v>14639.912337080497</v>
      </c>
      <c r="F61" s="715">
        <f t="shared" si="8"/>
        <v>364.39493483062921</v>
      </c>
      <c r="G61" s="715">
        <f t="shared" ca="1" si="8"/>
        <v>10746.954660362597</v>
      </c>
      <c r="H61" s="715">
        <f t="shared" si="8"/>
        <v>39638.214767106707</v>
      </c>
      <c r="I61" s="715">
        <f t="shared" si="8"/>
        <v>4540.6891130345612</v>
      </c>
      <c r="J61" s="715">
        <f t="shared" si="8"/>
        <v>0</v>
      </c>
      <c r="K61" s="715">
        <f t="shared" si="8"/>
        <v>293.84471636199197</v>
      </c>
      <c r="L61" s="715">
        <f t="shared" si="8"/>
        <v>0</v>
      </c>
      <c r="M61" s="715">
        <f t="shared" ca="1" si="8"/>
        <v>0</v>
      </c>
      <c r="N61" s="715">
        <f t="shared" si="8"/>
        <v>0</v>
      </c>
      <c r="O61" s="715">
        <f t="shared" ca="1" si="8"/>
        <v>0</v>
      </c>
      <c r="P61" s="715">
        <f t="shared" si="8"/>
        <v>0</v>
      </c>
      <c r="Q61" s="715">
        <f t="shared" si="8"/>
        <v>0</v>
      </c>
      <c r="R61" s="715">
        <f ca="1">R46+R52+R56</f>
        <v>74310.346922093697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9.1780111346527901E-2</v>
      </c>
      <c r="D63" s="759">
        <f t="shared" ca="1" si="9"/>
        <v>0</v>
      </c>
      <c r="E63" s="975">
        <f t="shared" ca="1" si="9"/>
        <v>0.20199999999999999</v>
      </c>
      <c r="F63" s="759">
        <f t="shared" si="9"/>
        <v>0.22699999999999998</v>
      </c>
      <c r="G63" s="759">
        <f t="shared" ca="1" si="9"/>
        <v>0.26700000000000002</v>
      </c>
      <c r="H63" s="759">
        <f t="shared" si="9"/>
        <v>0.26699999999999996</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22795.78749602567</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2242.6169379577395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589.5</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693.52941176470586</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405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1012.5</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26032.904433983411</v>
      </c>
      <c r="C78" s="730">
        <f>SUM(C72:C77)</f>
        <v>0</v>
      </c>
      <c r="D78" s="731">
        <f t="shared" ref="D78:H78" si="10">SUM(D76:D77)</f>
        <v>0</v>
      </c>
      <c r="E78" s="731">
        <f t="shared" si="10"/>
        <v>0</v>
      </c>
      <c r="F78" s="731">
        <f t="shared" si="10"/>
        <v>0</v>
      </c>
      <c r="G78" s="731">
        <f t="shared" si="10"/>
        <v>0</v>
      </c>
      <c r="H78" s="731">
        <f t="shared" si="10"/>
        <v>0</v>
      </c>
      <c r="I78" s="731">
        <f>SUM(I76:I77)</f>
        <v>1706.0294117647059</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663.1875</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780.22058823529414</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663.1875</v>
      </c>
      <c r="C90" s="730">
        <f>SUM(C87:C89)</f>
        <v>0</v>
      </c>
      <c r="D90" s="730">
        <f t="shared" ref="D90:H90" si="12">SUM(D87:D89)</f>
        <v>0</v>
      </c>
      <c r="E90" s="730">
        <f t="shared" si="12"/>
        <v>0</v>
      </c>
      <c r="F90" s="730">
        <f t="shared" si="12"/>
        <v>0</v>
      </c>
      <c r="G90" s="730">
        <f t="shared" si="12"/>
        <v>0</v>
      </c>
      <c r="H90" s="730">
        <f t="shared" si="12"/>
        <v>0</v>
      </c>
      <c r="I90" s="730">
        <f>SUM(I87:I89)</f>
        <v>780.22058823529414</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23914.552069550504</v>
      </c>
      <c r="C4" s="447">
        <f>huishoudens!C8</f>
        <v>0</v>
      </c>
      <c r="D4" s="447">
        <f>huishoudens!D8</f>
        <v>53207.436677999998</v>
      </c>
      <c r="E4" s="447">
        <f>huishoudens!E8</f>
        <v>737.29860973991742</v>
      </c>
      <c r="F4" s="447">
        <f>huishoudens!F8</f>
        <v>25167.242450777816</v>
      </c>
      <c r="G4" s="447">
        <f>huishoudens!G8</f>
        <v>0</v>
      </c>
      <c r="H4" s="447">
        <f>huishoudens!H8</f>
        <v>0</v>
      </c>
      <c r="I4" s="447">
        <f>huishoudens!I8</f>
        <v>0</v>
      </c>
      <c r="J4" s="447">
        <f>huishoudens!J8</f>
        <v>566.70249380430005</v>
      </c>
      <c r="K4" s="447">
        <f>huishoudens!K8</f>
        <v>0</v>
      </c>
      <c r="L4" s="447">
        <f>huishoudens!L8</f>
        <v>0</v>
      </c>
      <c r="M4" s="447">
        <f>huishoudens!M8</f>
        <v>0</v>
      </c>
      <c r="N4" s="447">
        <f>huishoudens!N8</f>
        <v>5612.8049707358332</v>
      </c>
      <c r="O4" s="447">
        <f>huishoudens!O8</f>
        <v>117.25</v>
      </c>
      <c r="P4" s="448">
        <f>huishoudens!P8</f>
        <v>57.2</v>
      </c>
      <c r="Q4" s="449">
        <f>SUM(B4:P4)</f>
        <v>109380.48727260836</v>
      </c>
    </row>
    <row r="5" spans="1:17">
      <c r="A5" s="446" t="s">
        <v>149</v>
      </c>
      <c r="B5" s="447">
        <f ca="1">tertiair!B16</f>
        <v>12937.938</v>
      </c>
      <c r="C5" s="447">
        <f ca="1">tertiair!C16</f>
        <v>663.1875</v>
      </c>
      <c r="D5" s="447">
        <f ca="1">tertiair!D16</f>
        <v>10605.117974000001</v>
      </c>
      <c r="E5" s="447">
        <f>tertiair!E16</f>
        <v>164.46792438708417</v>
      </c>
      <c r="F5" s="447">
        <f ca="1">tertiair!F16</f>
        <v>2415.8713719510729</v>
      </c>
      <c r="G5" s="447">
        <f>tertiair!G16</f>
        <v>0</v>
      </c>
      <c r="H5" s="447">
        <f>tertiair!H16</f>
        <v>0</v>
      </c>
      <c r="I5" s="447">
        <f>tertiair!I16</f>
        <v>0</v>
      </c>
      <c r="J5" s="447">
        <f>tertiair!J16</f>
        <v>0</v>
      </c>
      <c r="K5" s="447">
        <f>tertiair!K16</f>
        <v>0</v>
      </c>
      <c r="L5" s="447">
        <f ca="1">tertiair!L16</f>
        <v>0</v>
      </c>
      <c r="M5" s="447">
        <f>tertiair!M16</f>
        <v>0</v>
      </c>
      <c r="N5" s="447">
        <f ca="1">tertiair!N16</f>
        <v>525.6630383113752</v>
      </c>
      <c r="O5" s="447">
        <f>tertiair!O16</f>
        <v>0</v>
      </c>
      <c r="P5" s="448">
        <f>tertiair!P16</f>
        <v>0</v>
      </c>
      <c r="Q5" s="446">
        <f t="shared" ref="Q5:Q14" ca="1" si="0">SUM(B5:P5)</f>
        <v>27312.245808649539</v>
      </c>
    </row>
    <row r="6" spans="1:17">
      <c r="A6" s="446" t="s">
        <v>187</v>
      </c>
      <c r="B6" s="447">
        <f>'openbare verlichting'!B8</f>
        <v>894.57</v>
      </c>
      <c r="C6" s="447"/>
      <c r="D6" s="447"/>
      <c r="E6" s="447"/>
      <c r="F6" s="447"/>
      <c r="G6" s="447"/>
      <c r="H6" s="447"/>
      <c r="I6" s="447"/>
      <c r="J6" s="447"/>
      <c r="K6" s="447"/>
      <c r="L6" s="447"/>
      <c r="M6" s="447"/>
      <c r="N6" s="447"/>
      <c r="O6" s="447"/>
      <c r="P6" s="448"/>
      <c r="Q6" s="446">
        <f t="shared" si="0"/>
        <v>894.57</v>
      </c>
    </row>
    <row r="7" spans="1:17">
      <c r="A7" s="446" t="s">
        <v>105</v>
      </c>
      <c r="B7" s="447">
        <f>landbouw!B8</f>
        <v>2751.6889999999999</v>
      </c>
      <c r="C7" s="447">
        <f>landbouw!C8</f>
        <v>0</v>
      </c>
      <c r="D7" s="447">
        <f>landbouw!D8</f>
        <v>1116.42344</v>
      </c>
      <c r="E7" s="447">
        <f>landbouw!E8</f>
        <v>28.816282924375322</v>
      </c>
      <c r="F7" s="447">
        <f>landbouw!F8</f>
        <v>11779.319759588943</v>
      </c>
      <c r="G7" s="447">
        <f>landbouw!G8</f>
        <v>0</v>
      </c>
      <c r="H7" s="447">
        <f>landbouw!H8</f>
        <v>0</v>
      </c>
      <c r="I7" s="447">
        <f>landbouw!I8</f>
        <v>0</v>
      </c>
      <c r="J7" s="447">
        <f>landbouw!J8</f>
        <v>245.75049150926316</v>
      </c>
      <c r="K7" s="447">
        <f>landbouw!K8</f>
        <v>0</v>
      </c>
      <c r="L7" s="447">
        <f>landbouw!L8</f>
        <v>0</v>
      </c>
      <c r="M7" s="447">
        <f>landbouw!M8</f>
        <v>0</v>
      </c>
      <c r="N7" s="447">
        <f>landbouw!N8</f>
        <v>0</v>
      </c>
      <c r="O7" s="447">
        <f>landbouw!O8</f>
        <v>0</v>
      </c>
      <c r="P7" s="448">
        <f>landbouw!P8</f>
        <v>0</v>
      </c>
      <c r="Q7" s="446">
        <f t="shared" si="0"/>
        <v>15921.998974022581</v>
      </c>
    </row>
    <row r="8" spans="1:17">
      <c r="A8" s="446" t="s">
        <v>637</v>
      </c>
      <c r="B8" s="447">
        <f>industrie!B18</f>
        <v>2962.3950000000004</v>
      </c>
      <c r="C8" s="447">
        <f>industrie!C18</f>
        <v>0</v>
      </c>
      <c r="D8" s="447">
        <f>industrie!D18</f>
        <v>6422.4041639999996</v>
      </c>
      <c r="E8" s="447">
        <f>industrie!E18</f>
        <v>54.919809337966541</v>
      </c>
      <c r="F8" s="447">
        <f>industrie!F18</f>
        <v>888.33293589414063</v>
      </c>
      <c r="G8" s="447">
        <f>industrie!G18</f>
        <v>0</v>
      </c>
      <c r="H8" s="447">
        <f>industrie!H18</f>
        <v>0</v>
      </c>
      <c r="I8" s="447">
        <f>industrie!I18</f>
        <v>0</v>
      </c>
      <c r="J8" s="447">
        <f>industrie!J18</f>
        <v>17.616834918052611</v>
      </c>
      <c r="K8" s="447">
        <f>industrie!K18</f>
        <v>0</v>
      </c>
      <c r="L8" s="447">
        <f>industrie!L18</f>
        <v>0</v>
      </c>
      <c r="M8" s="447">
        <f>industrie!M18</f>
        <v>0</v>
      </c>
      <c r="N8" s="447">
        <f>industrie!N18</f>
        <v>64.423595905418864</v>
      </c>
      <c r="O8" s="447">
        <f>industrie!O18</f>
        <v>0</v>
      </c>
      <c r="P8" s="448">
        <f>industrie!P18</f>
        <v>0</v>
      </c>
      <c r="Q8" s="446">
        <f t="shared" si="0"/>
        <v>10410.09234005558</v>
      </c>
    </row>
    <row r="9" spans="1:17" s="452" customFormat="1">
      <c r="A9" s="450" t="s">
        <v>556</v>
      </c>
      <c r="B9" s="451">
        <f>transport!B14</f>
        <v>1.7702473752801156</v>
      </c>
      <c r="C9" s="451">
        <f>transport!C14</f>
        <v>0</v>
      </c>
      <c r="D9" s="451">
        <f>transport!D14</f>
        <v>5.3232939034497013</v>
      </c>
      <c r="E9" s="451">
        <f>transport!E14</f>
        <v>619.76140370153416</v>
      </c>
      <c r="F9" s="451">
        <f>transport!F14</f>
        <v>0</v>
      </c>
      <c r="G9" s="451">
        <f>transport!G14</f>
        <v>146912.67779631229</v>
      </c>
      <c r="H9" s="451">
        <f>transport!H14</f>
        <v>18235.699249134785</v>
      </c>
      <c r="I9" s="451">
        <f>transport!I14</f>
        <v>0</v>
      </c>
      <c r="J9" s="451">
        <f>transport!J14</f>
        <v>0</v>
      </c>
      <c r="K9" s="451">
        <f>transport!K14</f>
        <v>0</v>
      </c>
      <c r="L9" s="451">
        <f>transport!L14</f>
        <v>0</v>
      </c>
      <c r="M9" s="451">
        <f>transport!M14</f>
        <v>7168.1761446295195</v>
      </c>
      <c r="N9" s="451">
        <f>transport!N14</f>
        <v>0</v>
      </c>
      <c r="O9" s="451">
        <f>transport!O14</f>
        <v>0</v>
      </c>
      <c r="P9" s="451">
        <f>transport!P14</f>
        <v>0</v>
      </c>
      <c r="Q9" s="450">
        <f>SUM(B9:P9)</f>
        <v>172943.40813505684</v>
      </c>
    </row>
    <row r="10" spans="1:17">
      <c r="A10" s="446" t="s">
        <v>546</v>
      </c>
      <c r="B10" s="447">
        <f>transport!B54</f>
        <v>7.1220415677055975</v>
      </c>
      <c r="C10" s="447">
        <f>transport!C54</f>
        <v>0</v>
      </c>
      <c r="D10" s="447">
        <f>transport!D54</f>
        <v>0</v>
      </c>
      <c r="E10" s="447">
        <f>transport!E54</f>
        <v>0</v>
      </c>
      <c r="F10" s="447">
        <f>transport!F54</f>
        <v>0</v>
      </c>
      <c r="G10" s="447">
        <f>transport!G54</f>
        <v>1545.0554138251966</v>
      </c>
      <c r="H10" s="447">
        <f>transport!H54</f>
        <v>0</v>
      </c>
      <c r="I10" s="447">
        <f>transport!I54</f>
        <v>0</v>
      </c>
      <c r="J10" s="447">
        <f>transport!J54</f>
        <v>0</v>
      </c>
      <c r="K10" s="447">
        <f>transport!K54</f>
        <v>0</v>
      </c>
      <c r="L10" s="447">
        <f>transport!L54</f>
        <v>0</v>
      </c>
      <c r="M10" s="447">
        <f>transport!M54</f>
        <v>66.153337877388779</v>
      </c>
      <c r="N10" s="447">
        <f>transport!N54</f>
        <v>0</v>
      </c>
      <c r="O10" s="447">
        <f>transport!O54</f>
        <v>0</v>
      </c>
      <c r="P10" s="448">
        <f>transport!P54</f>
        <v>0</v>
      </c>
      <c r="Q10" s="446">
        <f t="shared" si="0"/>
        <v>1618.330793270291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1053.078</v>
      </c>
      <c r="C14" s="454"/>
      <c r="D14" s="454">
        <f>'SEAP template'!E25</f>
        <v>1118.1079999999999</v>
      </c>
      <c r="E14" s="454"/>
      <c r="F14" s="454"/>
      <c r="G14" s="454"/>
      <c r="H14" s="454"/>
      <c r="I14" s="454"/>
      <c r="J14" s="454"/>
      <c r="K14" s="454"/>
      <c r="L14" s="454"/>
      <c r="M14" s="454"/>
      <c r="N14" s="454"/>
      <c r="O14" s="454"/>
      <c r="P14" s="455"/>
      <c r="Q14" s="446">
        <f t="shared" si="0"/>
        <v>2171.1859999999997</v>
      </c>
    </row>
    <row r="15" spans="1:17" s="459" customFormat="1">
      <c r="A15" s="456" t="s">
        <v>550</v>
      </c>
      <c r="B15" s="457">
        <f ca="1">SUM(B4:B14)</f>
        <v>44523.114358493491</v>
      </c>
      <c r="C15" s="457">
        <f t="shared" ref="C15:Q15" ca="1" si="1">SUM(C4:C14)</f>
        <v>663.1875</v>
      </c>
      <c r="D15" s="457">
        <f t="shared" ca="1" si="1"/>
        <v>72474.81354990344</v>
      </c>
      <c r="E15" s="457">
        <f t="shared" si="1"/>
        <v>1605.2640300908774</v>
      </c>
      <c r="F15" s="457">
        <f t="shared" ca="1" si="1"/>
        <v>40250.766518211974</v>
      </c>
      <c r="G15" s="457">
        <f t="shared" si="1"/>
        <v>148457.73321013749</v>
      </c>
      <c r="H15" s="457">
        <f t="shared" si="1"/>
        <v>18235.699249134785</v>
      </c>
      <c r="I15" s="457">
        <f t="shared" si="1"/>
        <v>0</v>
      </c>
      <c r="J15" s="457">
        <f t="shared" si="1"/>
        <v>830.06982023161584</v>
      </c>
      <c r="K15" s="457">
        <f t="shared" si="1"/>
        <v>0</v>
      </c>
      <c r="L15" s="457">
        <f t="shared" ca="1" si="1"/>
        <v>0</v>
      </c>
      <c r="M15" s="457">
        <f t="shared" si="1"/>
        <v>7234.3294825069079</v>
      </c>
      <c r="N15" s="457">
        <f t="shared" ca="1" si="1"/>
        <v>6202.8916049526269</v>
      </c>
      <c r="O15" s="457">
        <f t="shared" si="1"/>
        <v>117.25</v>
      </c>
      <c r="P15" s="457">
        <f t="shared" si="1"/>
        <v>57.2</v>
      </c>
      <c r="Q15" s="457">
        <f t="shared" ca="1" si="1"/>
        <v>340652.31932366319</v>
      </c>
    </row>
    <row r="17" spans="1:17">
      <c r="A17" s="460" t="s">
        <v>551</v>
      </c>
      <c r="B17" s="764">
        <f ca="1">huishoudens!B10</f>
        <v>9.1780111346527901E-2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2194.8802517456843</v>
      </c>
      <c r="C22" s="447">
        <f t="shared" ref="C22:C32" ca="1" si="3">C4*$C$17</f>
        <v>0</v>
      </c>
      <c r="D22" s="447">
        <f t="shared" ref="D22:D32" si="4">D4*$D$17</f>
        <v>10747.902208956</v>
      </c>
      <c r="E22" s="447">
        <f t="shared" ref="E22:E32" si="5">E4*$E$17</f>
        <v>167.36678441096126</v>
      </c>
      <c r="F22" s="447">
        <f t="shared" ref="F22:F32" si="6">F4*$F$17</f>
        <v>6719.6537343576774</v>
      </c>
      <c r="G22" s="447">
        <f t="shared" ref="G22:G32" si="7">G4*$G$17</f>
        <v>0</v>
      </c>
      <c r="H22" s="447">
        <f t="shared" ref="H22:H32" si="8">H4*$H$17</f>
        <v>0</v>
      </c>
      <c r="I22" s="447">
        <f t="shared" ref="I22:I32" si="9">I4*$I$17</f>
        <v>0</v>
      </c>
      <c r="J22" s="447">
        <f t="shared" ref="J22:J32" si="10">J4*$J$17</f>
        <v>200.6126828067222</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20030.415662277042</v>
      </c>
    </row>
    <row r="23" spans="1:17">
      <c r="A23" s="446" t="s">
        <v>149</v>
      </c>
      <c r="B23" s="447">
        <f t="shared" ca="1" si="2"/>
        <v>1187.4453902344744</v>
      </c>
      <c r="C23" s="447">
        <f t="shared" ca="1" si="3"/>
        <v>0</v>
      </c>
      <c r="D23" s="447">
        <f t="shared" ca="1" si="4"/>
        <v>2142.2338307480004</v>
      </c>
      <c r="E23" s="447">
        <f t="shared" si="5"/>
        <v>37.334218835868107</v>
      </c>
      <c r="F23" s="447">
        <f t="shared" ca="1" si="6"/>
        <v>645.03765631093654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4012.0510961292794</v>
      </c>
    </row>
    <row r="24" spans="1:17">
      <c r="A24" s="446" t="s">
        <v>187</v>
      </c>
      <c r="B24" s="447">
        <f t="shared" ca="1" si="2"/>
        <v>82.103734207263471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82.103734207263471</v>
      </c>
    </row>
    <row r="25" spans="1:17">
      <c r="A25" s="446" t="s">
        <v>105</v>
      </c>
      <c r="B25" s="447">
        <f t="shared" ca="1" si="2"/>
        <v>252.550322811016</v>
      </c>
      <c r="C25" s="447">
        <f t="shared" ca="1" si="3"/>
        <v>0</v>
      </c>
      <c r="D25" s="447">
        <f t="shared" si="4"/>
        <v>225.51753488000003</v>
      </c>
      <c r="E25" s="447">
        <f t="shared" si="5"/>
        <v>6.5412962238331982</v>
      </c>
      <c r="F25" s="447">
        <f t="shared" si="6"/>
        <v>3145.078375810248</v>
      </c>
      <c r="G25" s="447">
        <f t="shared" si="7"/>
        <v>0</v>
      </c>
      <c r="H25" s="447">
        <f t="shared" si="8"/>
        <v>0</v>
      </c>
      <c r="I25" s="447">
        <f t="shared" si="9"/>
        <v>0</v>
      </c>
      <c r="J25" s="447">
        <f t="shared" si="10"/>
        <v>86.995673994279159</v>
      </c>
      <c r="K25" s="447">
        <f t="shared" si="11"/>
        <v>0</v>
      </c>
      <c r="L25" s="447">
        <f t="shared" si="12"/>
        <v>0</v>
      </c>
      <c r="M25" s="447">
        <f t="shared" si="13"/>
        <v>0</v>
      </c>
      <c r="N25" s="447">
        <f t="shared" si="14"/>
        <v>0</v>
      </c>
      <c r="O25" s="447">
        <f t="shared" si="15"/>
        <v>0</v>
      </c>
      <c r="P25" s="448">
        <f t="shared" si="16"/>
        <v>0</v>
      </c>
      <c r="Q25" s="446">
        <f t="shared" ca="1" si="17"/>
        <v>3716.6832037193763</v>
      </c>
    </row>
    <row r="26" spans="1:17">
      <c r="A26" s="446" t="s">
        <v>637</v>
      </c>
      <c r="B26" s="447">
        <f t="shared" ca="1" si="2"/>
        <v>271.88894295239754</v>
      </c>
      <c r="C26" s="447">
        <f t="shared" ca="1" si="3"/>
        <v>0</v>
      </c>
      <c r="D26" s="447">
        <f t="shared" si="4"/>
        <v>1297.3256411279999</v>
      </c>
      <c r="E26" s="447">
        <f t="shared" si="5"/>
        <v>12.466796719718404</v>
      </c>
      <c r="F26" s="447">
        <f t="shared" si="6"/>
        <v>237.18489388373555</v>
      </c>
      <c r="G26" s="447">
        <f t="shared" si="7"/>
        <v>0</v>
      </c>
      <c r="H26" s="447">
        <f t="shared" si="8"/>
        <v>0</v>
      </c>
      <c r="I26" s="447">
        <f t="shared" si="9"/>
        <v>0</v>
      </c>
      <c r="J26" s="447">
        <f t="shared" si="10"/>
        <v>6.2363595609906239</v>
      </c>
      <c r="K26" s="447">
        <f t="shared" si="11"/>
        <v>0</v>
      </c>
      <c r="L26" s="447">
        <f t="shared" si="12"/>
        <v>0</v>
      </c>
      <c r="M26" s="447">
        <f t="shared" si="13"/>
        <v>0</v>
      </c>
      <c r="N26" s="447">
        <f t="shared" si="14"/>
        <v>0</v>
      </c>
      <c r="O26" s="447">
        <f t="shared" si="15"/>
        <v>0</v>
      </c>
      <c r="P26" s="448">
        <f t="shared" si="16"/>
        <v>0</v>
      </c>
      <c r="Q26" s="446">
        <f t="shared" ca="1" si="17"/>
        <v>1825.102634244842</v>
      </c>
    </row>
    <row r="27" spans="1:17" s="452" customFormat="1">
      <c r="A27" s="450" t="s">
        <v>556</v>
      </c>
      <c r="B27" s="758">
        <f t="shared" ca="1" si="2"/>
        <v>0.16247350121410778</v>
      </c>
      <c r="C27" s="451">
        <f t="shared" ca="1" si="3"/>
        <v>0</v>
      </c>
      <c r="D27" s="451">
        <f t="shared" si="4"/>
        <v>1.0753053684968397</v>
      </c>
      <c r="E27" s="451">
        <f t="shared" si="5"/>
        <v>140.68583864024825</v>
      </c>
      <c r="F27" s="451">
        <f t="shared" si="6"/>
        <v>0</v>
      </c>
      <c r="G27" s="451">
        <f t="shared" si="7"/>
        <v>39225.684971615381</v>
      </c>
      <c r="H27" s="451">
        <f t="shared" si="8"/>
        <v>4540.6891130345612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43908.2977021599</v>
      </c>
    </row>
    <row r="28" spans="1:17">
      <c r="A28" s="446" t="s">
        <v>546</v>
      </c>
      <c r="B28" s="447">
        <f t="shared" ca="1" si="2"/>
        <v>0.65366176809861987</v>
      </c>
      <c r="C28" s="447">
        <f t="shared" ca="1" si="3"/>
        <v>0</v>
      </c>
      <c r="D28" s="447">
        <f t="shared" si="4"/>
        <v>0</v>
      </c>
      <c r="E28" s="447">
        <f t="shared" si="5"/>
        <v>0</v>
      </c>
      <c r="F28" s="447">
        <f t="shared" si="6"/>
        <v>0</v>
      </c>
      <c r="G28" s="447">
        <f t="shared" si="7"/>
        <v>412.52979549132755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413.18345725942618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96.651616096578906</v>
      </c>
      <c r="C32" s="447">
        <f t="shared" ca="1" si="3"/>
        <v>0</v>
      </c>
      <c r="D32" s="447">
        <f t="shared" si="4"/>
        <v>225.85781600000001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322.50943209657891</v>
      </c>
    </row>
    <row r="33" spans="1:17" s="459" customFormat="1">
      <c r="A33" s="456" t="s">
        <v>550</v>
      </c>
      <c r="B33" s="457">
        <f ca="1">SUM(B22:B32)</f>
        <v>4086.3363933167275</v>
      </c>
      <c r="C33" s="457">
        <f t="shared" ref="C33:Q33" ca="1" si="19">SUM(C22:C32)</f>
        <v>0</v>
      </c>
      <c r="D33" s="457">
        <f t="shared" ca="1" si="19"/>
        <v>14639.912337080497</v>
      </c>
      <c r="E33" s="457">
        <f t="shared" si="19"/>
        <v>364.39493483062927</v>
      </c>
      <c r="F33" s="457">
        <f t="shared" ca="1" si="19"/>
        <v>10746.954660362597</v>
      </c>
      <c r="G33" s="457">
        <f t="shared" si="19"/>
        <v>39638.214767106707</v>
      </c>
      <c r="H33" s="457">
        <f t="shared" si="19"/>
        <v>4540.6891130345612</v>
      </c>
      <c r="I33" s="457">
        <f t="shared" si="19"/>
        <v>0</v>
      </c>
      <c r="J33" s="457">
        <f t="shared" si="19"/>
        <v>293.84471636199203</v>
      </c>
      <c r="K33" s="457">
        <f t="shared" si="19"/>
        <v>0</v>
      </c>
      <c r="L33" s="457">
        <f t="shared" ca="1" si="19"/>
        <v>0</v>
      </c>
      <c r="M33" s="457">
        <f t="shared" si="19"/>
        <v>0</v>
      </c>
      <c r="N33" s="457">
        <f t="shared" ca="1" si="19"/>
        <v>0</v>
      </c>
      <c r="O33" s="457">
        <f t="shared" si="19"/>
        <v>0</v>
      </c>
      <c r="P33" s="457">
        <f t="shared" si="19"/>
        <v>0</v>
      </c>
      <c r="Q33" s="457">
        <f t="shared" ca="1" si="19"/>
        <v>74310.346922093697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22795.78749602567</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2242.6169379577395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589.5</v>
      </c>
      <c r="C8" s="1006">
        <f>'SEAP template'!C76</f>
        <v>0</v>
      </c>
      <c r="D8" s="1006">
        <f>'SEAP template'!D76</f>
        <v>0</v>
      </c>
      <c r="E8" s="1006">
        <f>'SEAP template'!E76</f>
        <v>0</v>
      </c>
      <c r="F8" s="1006">
        <f>'SEAP template'!F76</f>
        <v>0</v>
      </c>
      <c r="G8" s="1006">
        <f>'SEAP template'!G76</f>
        <v>0</v>
      </c>
      <c r="H8" s="1006">
        <f>'SEAP template'!H76</f>
        <v>0</v>
      </c>
      <c r="I8" s="1006">
        <f>'SEAP template'!I76</f>
        <v>693.52941176470586</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405</v>
      </c>
      <c r="C9" s="1006">
        <f>'SEAP template'!C77</f>
        <v>0</v>
      </c>
      <c r="D9" s="1006">
        <f>'SEAP template'!D77</f>
        <v>0</v>
      </c>
      <c r="E9" s="1006">
        <f>'SEAP template'!E77</f>
        <v>0</v>
      </c>
      <c r="F9" s="1006">
        <f>'SEAP template'!F77</f>
        <v>0</v>
      </c>
      <c r="G9" s="1006">
        <f>'SEAP template'!G77</f>
        <v>0</v>
      </c>
      <c r="H9" s="1006">
        <f>'SEAP template'!H77</f>
        <v>0</v>
      </c>
      <c r="I9" s="1006">
        <f>'SEAP template'!I77</f>
        <v>1012.5</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26032.904433983411</v>
      </c>
      <c r="C10" s="1010">
        <f>SUM(C4:C9)</f>
        <v>0</v>
      </c>
      <c r="D10" s="1010">
        <f t="shared" ref="D10:H10" si="0">SUM(D8:D9)</f>
        <v>0</v>
      </c>
      <c r="E10" s="1010">
        <f t="shared" si="0"/>
        <v>0</v>
      </c>
      <c r="F10" s="1010">
        <f t="shared" si="0"/>
        <v>0</v>
      </c>
      <c r="G10" s="1010">
        <f t="shared" si="0"/>
        <v>0</v>
      </c>
      <c r="H10" s="1010">
        <f t="shared" si="0"/>
        <v>0</v>
      </c>
      <c r="I10" s="1010">
        <f>SUM(I8:I9)</f>
        <v>1706.0294117647059</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9.1780111346527901E-2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663.1875</v>
      </c>
      <c r="C17" s="1013">
        <f>'SEAP template'!C87</f>
        <v>0</v>
      </c>
      <c r="D17" s="1007">
        <f>'SEAP template'!D87</f>
        <v>0</v>
      </c>
      <c r="E17" s="1007">
        <f>'SEAP template'!E87</f>
        <v>0</v>
      </c>
      <c r="F17" s="1007">
        <f>'SEAP template'!F87</f>
        <v>0</v>
      </c>
      <c r="G17" s="1007">
        <f>'SEAP template'!G87</f>
        <v>0</v>
      </c>
      <c r="H17" s="1007">
        <f>'SEAP template'!H87</f>
        <v>0</v>
      </c>
      <c r="I17" s="1007">
        <f>'SEAP template'!I87</f>
        <v>780.22058823529414</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663.1875</v>
      </c>
      <c r="C20" s="1010">
        <f>SUM(C17:C19)</f>
        <v>0</v>
      </c>
      <c r="D20" s="1010">
        <f t="shared" ref="D20:H20" si="2">SUM(D17:D19)</f>
        <v>0</v>
      </c>
      <c r="E20" s="1010">
        <f t="shared" si="2"/>
        <v>0</v>
      </c>
      <c r="F20" s="1010">
        <f t="shared" si="2"/>
        <v>0</v>
      </c>
      <c r="G20" s="1010">
        <f t="shared" si="2"/>
        <v>0</v>
      </c>
      <c r="H20" s="1010">
        <f t="shared" si="2"/>
        <v>0</v>
      </c>
      <c r="I20" s="1010">
        <f>SUM(I17:I19)</f>
        <v>780.22058823529414</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9.1780111346527901E-2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9.1780111346527901E-2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9.1780111346527901E-2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4789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3168</v>
      </c>
      <c r="C14" s="326"/>
      <c r="D14" s="326"/>
      <c r="E14" s="326"/>
      <c r="F14" s="326"/>
    </row>
    <row r="15" spans="1:6">
      <c r="A15" s="1280" t="s">
        <v>177</v>
      </c>
      <c r="B15" s="1281">
        <v>38</v>
      </c>
      <c r="C15" s="326"/>
      <c r="D15" s="326"/>
      <c r="E15" s="326"/>
      <c r="F15" s="326"/>
    </row>
    <row r="16" spans="1:6">
      <c r="A16" s="1280" t="s">
        <v>6</v>
      </c>
      <c r="B16" s="1281">
        <v>1396</v>
      </c>
      <c r="C16" s="326"/>
      <c r="D16" s="326"/>
      <c r="E16" s="326"/>
      <c r="F16" s="326"/>
    </row>
    <row r="17" spans="1:6">
      <c r="A17" s="1280" t="s">
        <v>7</v>
      </c>
      <c r="B17" s="1281">
        <v>791</v>
      </c>
      <c r="C17" s="326"/>
      <c r="D17" s="326"/>
      <c r="E17" s="326"/>
      <c r="F17" s="326"/>
    </row>
    <row r="18" spans="1:6">
      <c r="A18" s="1280" t="s">
        <v>8</v>
      </c>
      <c r="B18" s="1281">
        <v>1410</v>
      </c>
      <c r="C18" s="326"/>
      <c r="D18" s="326"/>
      <c r="E18" s="326"/>
      <c r="F18" s="326"/>
    </row>
    <row r="19" spans="1:6">
      <c r="A19" s="1280" t="s">
        <v>9</v>
      </c>
      <c r="B19" s="1281">
        <v>1335</v>
      </c>
      <c r="C19" s="326"/>
      <c r="D19" s="326"/>
      <c r="E19" s="326"/>
      <c r="F19" s="326"/>
    </row>
    <row r="20" spans="1:6">
      <c r="A20" s="1280" t="s">
        <v>10</v>
      </c>
      <c r="B20" s="1281">
        <v>1010</v>
      </c>
      <c r="C20" s="326"/>
      <c r="D20" s="326"/>
      <c r="E20" s="326"/>
      <c r="F20" s="326"/>
    </row>
    <row r="21" spans="1:6">
      <c r="A21" s="1280" t="s">
        <v>11</v>
      </c>
      <c r="B21" s="1281">
        <v>8231</v>
      </c>
      <c r="C21" s="326"/>
      <c r="D21" s="326"/>
      <c r="E21" s="326"/>
      <c r="F21" s="326"/>
    </row>
    <row r="22" spans="1:6">
      <c r="A22" s="1280" t="s">
        <v>12</v>
      </c>
      <c r="B22" s="1281">
        <v>16312</v>
      </c>
      <c r="C22" s="326"/>
      <c r="D22" s="326"/>
      <c r="E22" s="326"/>
      <c r="F22" s="326"/>
    </row>
    <row r="23" spans="1:6">
      <c r="A23" s="1280" t="s">
        <v>13</v>
      </c>
      <c r="B23" s="1281">
        <v>260</v>
      </c>
      <c r="C23" s="326"/>
      <c r="D23" s="326"/>
      <c r="E23" s="326"/>
      <c r="F23" s="326"/>
    </row>
    <row r="24" spans="1:6">
      <c r="A24" s="1280" t="s">
        <v>14</v>
      </c>
      <c r="B24" s="1281">
        <v>17</v>
      </c>
      <c r="C24" s="326"/>
      <c r="D24" s="326"/>
      <c r="E24" s="326"/>
      <c r="F24" s="326"/>
    </row>
    <row r="25" spans="1:6">
      <c r="A25" s="1280" t="s">
        <v>15</v>
      </c>
      <c r="B25" s="1281">
        <v>1792</v>
      </c>
      <c r="C25" s="326"/>
      <c r="D25" s="326"/>
      <c r="E25" s="326"/>
      <c r="F25" s="326"/>
    </row>
    <row r="26" spans="1:6">
      <c r="A26" s="1280" t="s">
        <v>16</v>
      </c>
      <c r="B26" s="1281">
        <v>266</v>
      </c>
      <c r="C26" s="326"/>
      <c r="D26" s="326"/>
      <c r="E26" s="326"/>
      <c r="F26" s="326"/>
    </row>
    <row r="27" spans="1:6">
      <c r="A27" s="1280" t="s">
        <v>17</v>
      </c>
      <c r="B27" s="1281">
        <v>0</v>
      </c>
      <c r="C27" s="326"/>
      <c r="D27" s="326"/>
      <c r="E27" s="326"/>
      <c r="F27" s="326"/>
    </row>
    <row r="28" spans="1:6">
      <c r="A28" s="1280" t="s">
        <v>18</v>
      </c>
      <c r="B28" s="1282">
        <v>69474</v>
      </c>
      <c r="C28" s="326"/>
      <c r="D28" s="326"/>
      <c r="E28" s="326"/>
      <c r="F28" s="326"/>
    </row>
    <row r="29" spans="1:6">
      <c r="A29" s="1280" t="s">
        <v>972</v>
      </c>
      <c r="B29" s="1282">
        <v>37</v>
      </c>
      <c r="C29" s="326"/>
      <c r="D29" s="326"/>
      <c r="E29" s="326"/>
      <c r="F29" s="326"/>
    </row>
    <row r="30" spans="1:6">
      <c r="A30" s="1275" t="s">
        <v>973</v>
      </c>
      <c r="B30" s="1283">
        <v>18</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7</v>
      </c>
      <c r="F36" s="1281">
        <v>78603</v>
      </c>
    </row>
    <row r="37" spans="1:6">
      <c r="A37" s="1280" t="s">
        <v>24</v>
      </c>
      <c r="B37" s="1280" t="s">
        <v>27</v>
      </c>
      <c r="C37" s="1281">
        <v>0</v>
      </c>
      <c r="D37" s="1281">
        <v>0</v>
      </c>
      <c r="E37" s="1281">
        <v>0</v>
      </c>
      <c r="F37" s="1281">
        <v>0</v>
      </c>
    </row>
    <row r="38" spans="1:6">
      <c r="A38" s="1280" t="s">
        <v>24</v>
      </c>
      <c r="B38" s="1280" t="s">
        <v>28</v>
      </c>
      <c r="C38" s="1281">
        <v>1</v>
      </c>
      <c r="D38" s="1281">
        <v>700359</v>
      </c>
      <c r="E38" s="1281">
        <v>1</v>
      </c>
      <c r="F38" s="1281">
        <v>60375</v>
      </c>
    </row>
    <row r="39" spans="1:6">
      <c r="A39" s="1280" t="s">
        <v>29</v>
      </c>
      <c r="B39" s="1280" t="s">
        <v>30</v>
      </c>
      <c r="C39" s="1281">
        <v>3430</v>
      </c>
      <c r="D39" s="1281">
        <v>58988289</v>
      </c>
      <c r="E39" s="1281">
        <v>4753</v>
      </c>
      <c r="F39" s="1281">
        <v>22692256</v>
      </c>
    </row>
    <row r="40" spans="1:6">
      <c r="A40" s="1280" t="s">
        <v>29</v>
      </c>
      <c r="B40" s="1280" t="s">
        <v>28</v>
      </c>
      <c r="C40" s="1281">
        <v>0</v>
      </c>
      <c r="D40" s="1281">
        <v>0</v>
      </c>
      <c r="E40" s="1281">
        <v>0</v>
      </c>
      <c r="F40" s="1281">
        <v>0</v>
      </c>
    </row>
    <row r="41" spans="1:6">
      <c r="A41" s="1280" t="s">
        <v>31</v>
      </c>
      <c r="B41" s="1280" t="s">
        <v>32</v>
      </c>
      <c r="C41" s="1281">
        <v>32</v>
      </c>
      <c r="D41" s="1281">
        <v>4736947</v>
      </c>
      <c r="E41" s="1281">
        <v>92</v>
      </c>
      <c r="F41" s="1281">
        <v>776388</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3</v>
      </c>
      <c r="D44" s="1281">
        <v>628974</v>
      </c>
      <c r="E44" s="1281">
        <v>11</v>
      </c>
      <c r="F44" s="1281">
        <v>477827</v>
      </c>
    </row>
    <row r="45" spans="1:6">
      <c r="A45" s="1280" t="s">
        <v>31</v>
      </c>
      <c r="B45" s="1280" t="s">
        <v>36</v>
      </c>
      <c r="C45" s="1281">
        <v>4</v>
      </c>
      <c r="D45" s="1281">
        <v>688092</v>
      </c>
      <c r="E45" s="1281">
        <v>4</v>
      </c>
      <c r="F45" s="1281">
        <v>1098351</v>
      </c>
    </row>
    <row r="46" spans="1:6">
      <c r="A46" s="1280" t="s">
        <v>31</v>
      </c>
      <c r="B46" s="1280" t="s">
        <v>37</v>
      </c>
      <c r="C46" s="1281">
        <v>0</v>
      </c>
      <c r="D46" s="1281">
        <v>0</v>
      </c>
      <c r="E46" s="1281">
        <v>0</v>
      </c>
      <c r="F46" s="1281">
        <v>0</v>
      </c>
    </row>
    <row r="47" spans="1:6">
      <c r="A47" s="1280" t="s">
        <v>31</v>
      </c>
      <c r="B47" s="1280" t="s">
        <v>38</v>
      </c>
      <c r="C47" s="1281">
        <v>5</v>
      </c>
      <c r="D47" s="1281">
        <v>383934</v>
      </c>
      <c r="E47" s="1281">
        <v>5</v>
      </c>
      <c r="F47" s="1281">
        <v>264107</v>
      </c>
    </row>
    <row r="48" spans="1:6">
      <c r="A48" s="1280" t="s">
        <v>31</v>
      </c>
      <c r="B48" s="1280" t="s">
        <v>28</v>
      </c>
      <c r="C48" s="1281">
        <v>1</v>
      </c>
      <c r="D48" s="1281">
        <v>18918</v>
      </c>
      <c r="E48" s="1281">
        <v>2</v>
      </c>
      <c r="F48" s="1281">
        <v>9570</v>
      </c>
    </row>
    <row r="49" spans="1:6">
      <c r="A49" s="1280" t="s">
        <v>31</v>
      </c>
      <c r="B49" s="1280" t="s">
        <v>39</v>
      </c>
      <c r="C49" s="1281">
        <v>0</v>
      </c>
      <c r="D49" s="1281">
        <v>0</v>
      </c>
      <c r="E49" s="1281">
        <v>0</v>
      </c>
      <c r="F49" s="1281">
        <v>0</v>
      </c>
    </row>
    <row r="50" spans="1:6">
      <c r="A50" s="1280" t="s">
        <v>31</v>
      </c>
      <c r="B50" s="1280" t="s">
        <v>40</v>
      </c>
      <c r="C50" s="1281">
        <v>8</v>
      </c>
      <c r="D50" s="1281">
        <v>663317</v>
      </c>
      <c r="E50" s="1281">
        <v>12</v>
      </c>
      <c r="F50" s="1281">
        <v>336152</v>
      </c>
    </row>
    <row r="51" spans="1:6">
      <c r="A51" s="1280" t="s">
        <v>41</v>
      </c>
      <c r="B51" s="1280" t="s">
        <v>42</v>
      </c>
      <c r="C51" s="1281">
        <v>6</v>
      </c>
      <c r="D51" s="1281">
        <v>1237720</v>
      </c>
      <c r="E51" s="1281">
        <v>76</v>
      </c>
      <c r="F51" s="1281">
        <v>2751689</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46</v>
      </c>
      <c r="F54" s="1281">
        <v>894570</v>
      </c>
    </row>
    <row r="55" spans="1:6">
      <c r="A55" s="1280" t="s">
        <v>45</v>
      </c>
      <c r="B55" s="1280" t="s">
        <v>28</v>
      </c>
      <c r="C55" s="1281">
        <v>0</v>
      </c>
      <c r="D55" s="1281">
        <v>0</v>
      </c>
      <c r="E55" s="1281">
        <v>0</v>
      </c>
      <c r="F55" s="1281">
        <v>0</v>
      </c>
    </row>
    <row r="56" spans="1:6">
      <c r="A56" s="1280" t="s">
        <v>47</v>
      </c>
      <c r="B56" s="1280" t="s">
        <v>28</v>
      </c>
      <c r="C56" s="1281">
        <v>25</v>
      </c>
      <c r="D56" s="1281">
        <v>1118108</v>
      </c>
      <c r="E56" s="1281">
        <v>112</v>
      </c>
      <c r="F56" s="1281">
        <v>1053078</v>
      </c>
    </row>
    <row r="57" spans="1:6">
      <c r="A57" s="1280" t="s">
        <v>48</v>
      </c>
      <c r="B57" s="1280" t="s">
        <v>49</v>
      </c>
      <c r="C57" s="1281">
        <v>29</v>
      </c>
      <c r="D57" s="1281">
        <v>1316380</v>
      </c>
      <c r="E57" s="1281">
        <v>67</v>
      </c>
      <c r="F57" s="1281">
        <v>2168005</v>
      </c>
    </row>
    <row r="58" spans="1:6">
      <c r="A58" s="1280" t="s">
        <v>48</v>
      </c>
      <c r="B58" s="1280" t="s">
        <v>50</v>
      </c>
      <c r="C58" s="1281">
        <v>4</v>
      </c>
      <c r="D58" s="1281">
        <v>1667912</v>
      </c>
      <c r="E58" s="1281">
        <v>15</v>
      </c>
      <c r="F58" s="1281">
        <v>507731</v>
      </c>
    </row>
    <row r="59" spans="1:6">
      <c r="A59" s="1280" t="s">
        <v>48</v>
      </c>
      <c r="B59" s="1280" t="s">
        <v>51</v>
      </c>
      <c r="C59" s="1281">
        <v>62</v>
      </c>
      <c r="D59" s="1281">
        <v>2170018</v>
      </c>
      <c r="E59" s="1281">
        <v>177</v>
      </c>
      <c r="F59" s="1281">
        <v>6336875</v>
      </c>
    </row>
    <row r="60" spans="1:6">
      <c r="A60" s="1280" t="s">
        <v>48</v>
      </c>
      <c r="B60" s="1280" t="s">
        <v>52</v>
      </c>
      <c r="C60" s="1281">
        <v>25</v>
      </c>
      <c r="D60" s="1281">
        <v>1274027</v>
      </c>
      <c r="E60" s="1281">
        <v>40</v>
      </c>
      <c r="F60" s="1281">
        <v>689865</v>
      </c>
    </row>
    <row r="61" spans="1:6">
      <c r="A61" s="1280" t="s">
        <v>48</v>
      </c>
      <c r="B61" s="1280" t="s">
        <v>53</v>
      </c>
      <c r="C61" s="1281">
        <v>71</v>
      </c>
      <c r="D61" s="1281">
        <v>4218806</v>
      </c>
      <c r="E61" s="1281">
        <v>188</v>
      </c>
      <c r="F61" s="1281">
        <v>2265485</v>
      </c>
    </row>
    <row r="62" spans="1:6">
      <c r="A62" s="1280" t="s">
        <v>48</v>
      </c>
      <c r="B62" s="1280" t="s">
        <v>54</v>
      </c>
      <c r="C62" s="1281">
        <v>5</v>
      </c>
      <c r="D62" s="1281">
        <v>1110194</v>
      </c>
      <c r="E62" s="1281">
        <v>8</v>
      </c>
      <c r="F62" s="1281">
        <v>380477</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0</v>
      </c>
      <c r="D65" s="1281">
        <v>0</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7</v>
      </c>
      <c r="D68" s="1283">
        <v>190750</v>
      </c>
      <c r="E68" s="1283">
        <v>18</v>
      </c>
      <c r="F68" s="1283">
        <v>182705</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55669513</v>
      </c>
      <c r="E73" s="445"/>
      <c r="F73" s="326"/>
    </row>
    <row r="74" spans="1:6">
      <c r="A74" s="1280" t="s">
        <v>63</v>
      </c>
      <c r="B74" s="1280" t="s">
        <v>754</v>
      </c>
      <c r="C74" s="1293" t="s">
        <v>755</v>
      </c>
      <c r="D74" s="1281">
        <v>6279688.6678551622</v>
      </c>
      <c r="E74" s="445"/>
      <c r="F74" s="326"/>
    </row>
    <row r="75" spans="1:6">
      <c r="A75" s="1280" t="s">
        <v>64</v>
      </c>
      <c r="B75" s="1280" t="s">
        <v>752</v>
      </c>
      <c r="C75" s="1293" t="s">
        <v>756</v>
      </c>
      <c r="D75" s="1281">
        <v>10345092</v>
      </c>
      <c r="E75" s="445"/>
      <c r="F75" s="326"/>
    </row>
    <row r="76" spans="1:6">
      <c r="A76" s="1280" t="s">
        <v>64</v>
      </c>
      <c r="B76" s="1280" t="s">
        <v>754</v>
      </c>
      <c r="C76" s="1293" t="s">
        <v>757</v>
      </c>
      <c r="D76" s="1281">
        <v>903506.66785516217</v>
      </c>
      <c r="E76" s="445"/>
      <c r="F76" s="326"/>
    </row>
    <row r="77" spans="1:6">
      <c r="A77" s="1280" t="s">
        <v>65</v>
      </c>
      <c r="B77" s="1280" t="s">
        <v>752</v>
      </c>
      <c r="C77" s="1293" t="s">
        <v>758</v>
      </c>
      <c r="D77" s="1281">
        <v>87269768</v>
      </c>
      <c r="E77" s="445"/>
      <c r="F77" s="326"/>
    </row>
    <row r="78" spans="1:6">
      <c r="A78" s="1275" t="s">
        <v>65</v>
      </c>
      <c r="B78" s="1275" t="s">
        <v>754</v>
      </c>
      <c r="C78" s="1275" t="s">
        <v>759</v>
      </c>
      <c r="D78" s="1283">
        <v>19161587</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423764.66428967565</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22795.78749602567</v>
      </c>
      <c r="C90" s="326"/>
      <c r="D90" s="326"/>
      <c r="E90" s="326"/>
      <c r="F90" s="326"/>
    </row>
    <row r="91" spans="1:6">
      <c r="A91" s="1280" t="s">
        <v>67</v>
      </c>
      <c r="B91" s="1281">
        <v>1222.2960695505008</v>
      </c>
      <c r="C91" s="326"/>
      <c r="D91" s="326"/>
      <c r="E91" s="326"/>
      <c r="F91" s="326"/>
    </row>
    <row r="92" spans="1:6">
      <c r="A92" s="1275" t="s">
        <v>68</v>
      </c>
      <c r="B92" s="1276">
        <v>1020.3208684072385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2525</v>
      </c>
      <c r="C97" s="326"/>
      <c r="D97" s="326"/>
      <c r="E97" s="326"/>
      <c r="F97" s="326"/>
    </row>
    <row r="98" spans="1:6">
      <c r="A98" s="1280" t="s">
        <v>71</v>
      </c>
      <c r="B98" s="1281">
        <v>2</v>
      </c>
      <c r="C98" s="326"/>
      <c r="D98" s="326"/>
      <c r="E98" s="326"/>
      <c r="F98" s="326"/>
    </row>
    <row r="99" spans="1:6">
      <c r="A99" s="1280" t="s">
        <v>72</v>
      </c>
      <c r="B99" s="1281">
        <v>56</v>
      </c>
      <c r="C99" s="326"/>
      <c r="D99" s="326"/>
      <c r="E99" s="326"/>
      <c r="F99" s="326"/>
    </row>
    <row r="100" spans="1:6">
      <c r="A100" s="1280" t="s">
        <v>73</v>
      </c>
      <c r="B100" s="1281">
        <v>449</v>
      </c>
      <c r="C100" s="326"/>
      <c r="D100" s="326"/>
      <c r="E100" s="326"/>
      <c r="F100" s="326"/>
    </row>
    <row r="101" spans="1:6">
      <c r="A101" s="1280" t="s">
        <v>74</v>
      </c>
      <c r="B101" s="1281">
        <v>96</v>
      </c>
      <c r="C101" s="326"/>
      <c r="D101" s="326"/>
      <c r="E101" s="326"/>
      <c r="F101" s="326"/>
    </row>
    <row r="102" spans="1:6">
      <c r="A102" s="1280" t="s">
        <v>75</v>
      </c>
      <c r="B102" s="1281">
        <v>58</v>
      </c>
      <c r="C102" s="326"/>
      <c r="D102" s="326"/>
      <c r="E102" s="326"/>
      <c r="F102" s="326"/>
    </row>
    <row r="103" spans="1:6">
      <c r="A103" s="1280" t="s">
        <v>76</v>
      </c>
      <c r="B103" s="1281">
        <v>129</v>
      </c>
      <c r="C103" s="326"/>
      <c r="D103" s="326"/>
      <c r="E103" s="326"/>
      <c r="F103" s="326"/>
    </row>
    <row r="104" spans="1:6">
      <c r="A104" s="1280" t="s">
        <v>77</v>
      </c>
      <c r="B104" s="1281">
        <v>902</v>
      </c>
      <c r="C104" s="326"/>
      <c r="D104" s="326"/>
      <c r="E104" s="326"/>
      <c r="F104" s="326"/>
    </row>
    <row r="105" spans="1:6">
      <c r="A105" s="1275" t="s">
        <v>78</v>
      </c>
      <c r="B105" s="128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v>
      </c>
      <c r="C123" s="1281">
        <v>6</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69</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44523.114358493491</v>
      </c>
      <c r="C3" s="43" t="s">
        <v>163</v>
      </c>
      <c r="D3" s="43"/>
      <c r="E3" s="156"/>
      <c r="F3" s="43"/>
      <c r="G3" s="43"/>
      <c r="H3" s="43"/>
      <c r="I3" s="43"/>
      <c r="J3" s="43"/>
      <c r="K3" s="96"/>
    </row>
    <row r="4" spans="1:11">
      <c r="A4" s="352" t="s">
        <v>164</v>
      </c>
      <c r="B4" s="49">
        <f>IF(ISERROR('SEAP template'!B78+'SEAP template'!C78),0,'SEAP template'!B78+'SEAP template'!C78)</f>
        <v>26032.904433983411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9.1780111346527901E-2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663.1875</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894.57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894.57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9.1780111346527901E-2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82.103734207263471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22692.256000000001</v>
      </c>
      <c r="C5" s="17">
        <f>IF(ISERROR('Eigen informatie GS &amp; warmtenet'!B57),0,'Eigen informatie GS &amp; warmtenet'!B57)</f>
        <v>0</v>
      </c>
      <c r="D5" s="30">
        <f>(SUM(HH_hh_gas_kWh,HH_rest_gas_kWh)/1000)*0.902</f>
        <v>53207.436677999998</v>
      </c>
      <c r="E5" s="17">
        <f>B32*B41</f>
        <v>737.29860973991742</v>
      </c>
      <c r="F5" s="17">
        <f>B36*B45</f>
        <v>25167.242450777816</v>
      </c>
      <c r="G5" s="18"/>
      <c r="H5" s="17"/>
      <c r="I5" s="17"/>
      <c r="J5" s="17">
        <f>B35*B44+C35*C44</f>
        <v>566.70249380430005</v>
      </c>
      <c r="K5" s="17"/>
      <c r="L5" s="17"/>
      <c r="M5" s="17"/>
      <c r="N5" s="17">
        <f>B34*B43+C34*C43</f>
        <v>5612.8049707358332</v>
      </c>
      <c r="O5" s="17">
        <f>B52*B53*B54</f>
        <v>117.25</v>
      </c>
      <c r="P5" s="17">
        <f>B60*B61*B62/1000-B60*B61*B62/1000/B63</f>
        <v>57.2</v>
      </c>
    </row>
    <row r="6" spans="1:16">
      <c r="A6" s="16" t="s">
        <v>615</v>
      </c>
      <c r="B6" s="766">
        <f>kWh_PV_kleiner_dan_10kW</f>
        <v>1222.2960695505008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23914.552069550504</v>
      </c>
      <c r="C8" s="21">
        <f>C5</f>
        <v>0</v>
      </c>
      <c r="D8" s="21">
        <f>D5</f>
        <v>53207.436677999998</v>
      </c>
      <c r="E8" s="21">
        <f>E5</f>
        <v>737.29860973991742</v>
      </c>
      <c r="F8" s="21">
        <f>F5</f>
        <v>25167.242450777816</v>
      </c>
      <c r="G8" s="21"/>
      <c r="H8" s="21"/>
      <c r="I8" s="21"/>
      <c r="J8" s="21">
        <f>J5</f>
        <v>566.70249380430005</v>
      </c>
      <c r="K8" s="21"/>
      <c r="L8" s="21">
        <f>L5</f>
        <v>0</v>
      </c>
      <c r="M8" s="21">
        <f>M5</f>
        <v>0</v>
      </c>
      <c r="N8" s="21">
        <f>N5</f>
        <v>5612.8049707358332</v>
      </c>
      <c r="O8" s="21">
        <f>O5</f>
        <v>117.25</v>
      </c>
      <c r="P8" s="21">
        <f>P5</f>
        <v>57.2</v>
      </c>
    </row>
    <row r="9" spans="1:16">
      <c r="B9" s="19"/>
      <c r="C9" s="19"/>
      <c r="D9" s="256"/>
      <c r="E9" s="19"/>
      <c r="F9" s="19"/>
      <c r="G9" s="19"/>
      <c r="H9" s="19"/>
      <c r="I9" s="19"/>
      <c r="J9" s="19"/>
      <c r="K9" s="19"/>
      <c r="L9" s="19"/>
      <c r="M9" s="19"/>
      <c r="N9" s="19"/>
      <c r="O9" s="19"/>
      <c r="P9" s="19"/>
    </row>
    <row r="10" spans="1:16">
      <c r="A10" s="24" t="s">
        <v>207</v>
      </c>
      <c r="B10" s="25">
        <f ca="1">'EF ele_warmte'!B12</f>
        <v>9.1780111346527901E-2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2194.8802517456843</v>
      </c>
      <c r="C12" s="23">
        <f ca="1">C10*C8</f>
        <v>0</v>
      </c>
      <c r="D12" s="23">
        <f>D8*D10</f>
        <v>10747.902208956</v>
      </c>
      <c r="E12" s="23">
        <f>E10*E8</f>
        <v>167.36678441096126</v>
      </c>
      <c r="F12" s="23">
        <f>F10*F8</f>
        <v>6719.6537343576774</v>
      </c>
      <c r="G12" s="23"/>
      <c r="H12" s="23"/>
      <c r="I12" s="23"/>
      <c r="J12" s="23">
        <f>J10*J8</f>
        <v>200.6126828067222</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4789</v>
      </c>
      <c r="C26" s="36"/>
      <c r="D26" s="226"/>
    </row>
    <row r="27" spans="1:5" s="15" customFormat="1">
      <c r="A27" s="228" t="s">
        <v>695</v>
      </c>
      <c r="B27" s="37">
        <f>SUM(HH_hh_gas_aantal,HH_rest_gas_aantal)</f>
        <v>3430</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3258.5</v>
      </c>
      <c r="C31" s="34" t="s">
        <v>104</v>
      </c>
      <c r="D31" s="172"/>
    </row>
    <row r="32" spans="1:5">
      <c r="A32" s="169" t="s">
        <v>72</v>
      </c>
      <c r="B32" s="33">
        <f>IF((B21*($B$26-($B$27-0.05*$B$27)-$B$60))&lt;0,0,B21*($B$26-($B$27-0.05*$B$27)-$B$60))</f>
        <v>10.829316114888037</v>
      </c>
      <c r="C32" s="34" t="s">
        <v>104</v>
      </c>
      <c r="D32" s="172"/>
    </row>
    <row r="33" spans="1:6">
      <c r="A33" s="169" t="s">
        <v>73</v>
      </c>
      <c r="B33" s="33">
        <f>IF((B22*($B$26-($B$27-0.05*$B$27)-$B$60))&lt;0,0,B22*($B$26-($B$27-0.05*$B$27)-$B$60))</f>
        <v>310.36672647634907</v>
      </c>
      <c r="C33" s="34" t="s">
        <v>104</v>
      </c>
      <c r="D33" s="172"/>
    </row>
    <row r="34" spans="1:6">
      <c r="A34" s="169" t="s">
        <v>74</v>
      </c>
      <c r="B34" s="33">
        <f>IF((B24*($B$26-($B$27-0.05*$B$27)-$B$60))&lt;0,0,B24*($B$26-($B$27-0.05*$B$27)-$B$60))</f>
        <v>61.890405313988687</v>
      </c>
      <c r="C34" s="33">
        <f>B26*C24</f>
        <v>979.24329694196626</v>
      </c>
      <c r="D34" s="231"/>
    </row>
    <row r="35" spans="1:6">
      <c r="A35" s="169" t="s">
        <v>76</v>
      </c>
      <c r="B35" s="33">
        <f>IF((B19*($B$26-($B$27-0.05*$B$27)-$B$60))&lt;0,0,B19*($B$26-($B$27-0.05*$B$27)-$B$60))</f>
        <v>32.230107484785833</v>
      </c>
      <c r="C35" s="33">
        <f>B35/2</f>
        <v>16.115053742392917</v>
      </c>
      <c r="D35" s="231"/>
    </row>
    <row r="36" spans="1:6">
      <c r="A36" s="169" t="s">
        <v>77</v>
      </c>
      <c r="B36" s="33">
        <f>IF((B18*($B$26-($B$27-0.05*$B$27)-$B$60))&lt;0,0,B18*($B$26-($B$27-0.05*$B$27)-$B$60))</f>
        <v>1112.1834446099883</v>
      </c>
      <c r="C36" s="34" t="s">
        <v>104</v>
      </c>
      <c r="D36" s="172"/>
    </row>
    <row r="37" spans="1:6">
      <c r="A37" s="169" t="s">
        <v>78</v>
      </c>
      <c r="B37" s="33">
        <f>B60</f>
        <v>3</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75</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3</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12348.438</v>
      </c>
      <c r="C5" s="17">
        <f>IF(ISERROR('Eigen informatie GS &amp; warmtenet'!B58),0,'Eigen informatie GS &amp; warmtenet'!B58)</f>
        <v>0</v>
      </c>
      <c r="D5" s="30">
        <f>SUM(D6:D12)</f>
        <v>10605.117974000001</v>
      </c>
      <c r="E5" s="17">
        <f>SUM(E6:E12)</f>
        <v>164.46792438708417</v>
      </c>
      <c r="F5" s="17">
        <f>SUM(F6:F12)</f>
        <v>2415.8713719510729</v>
      </c>
      <c r="G5" s="18"/>
      <c r="H5" s="17"/>
      <c r="I5" s="17"/>
      <c r="J5" s="17">
        <f>SUM(J6:J12)</f>
        <v>0</v>
      </c>
      <c r="K5" s="17"/>
      <c r="L5" s="17"/>
      <c r="M5" s="17"/>
      <c r="N5" s="17">
        <f>SUM(N6:N12)</f>
        <v>525.6630383113752</v>
      </c>
      <c r="O5" s="17">
        <f>B38*B39*B40</f>
        <v>0</v>
      </c>
      <c r="P5" s="17">
        <f>B46*B47*B48/1000-B46*B47*B48/1000/B49</f>
        <v>0</v>
      </c>
      <c r="R5" s="32"/>
    </row>
    <row r="6" spans="1:18">
      <c r="A6" s="32" t="s">
        <v>53</v>
      </c>
      <c r="B6" s="37">
        <f>B26</f>
        <v>2265.4850000000001</v>
      </c>
      <c r="C6" s="33"/>
      <c r="D6" s="37">
        <f>IF(ISERROR(TER_kantoor_gas_kWh/1000),0,TER_kantoor_gas_kWh/1000)*0.902</f>
        <v>3805.3630119999998</v>
      </c>
      <c r="E6" s="33">
        <f>$C$26*'E Balans VL '!I12/100/3.6*1000000</f>
        <v>79.30088684399594</v>
      </c>
      <c r="F6" s="33">
        <f>$C$26*('E Balans VL '!L12+'E Balans VL '!N12)/100/3.6*1000000</f>
        <v>343.49616548632667</v>
      </c>
      <c r="G6" s="34"/>
      <c r="H6" s="33"/>
      <c r="I6" s="33"/>
      <c r="J6" s="33">
        <f>$C$26*('E Balans VL '!D12+'E Balans VL '!E12)/100/3.6*1000000</f>
        <v>0</v>
      </c>
      <c r="K6" s="33"/>
      <c r="L6" s="33"/>
      <c r="M6" s="33"/>
      <c r="N6" s="33">
        <f>$C$26*'E Balans VL '!Y12/100/3.6*1000000</f>
        <v>17.511489972709683</v>
      </c>
      <c r="O6" s="33"/>
      <c r="P6" s="33"/>
      <c r="R6" s="32"/>
    </row>
    <row r="7" spans="1:18">
      <c r="A7" s="32" t="s">
        <v>52</v>
      </c>
      <c r="B7" s="37">
        <f t="shared" ref="B7:B12" si="0">B27</f>
        <v>689.86500000000001</v>
      </c>
      <c r="C7" s="33"/>
      <c r="D7" s="37">
        <f>IF(ISERROR(TER_horeca_gas_kWh/1000),0,TER_horeca_gas_kWh/1000)*0.902</f>
        <v>1149.172354</v>
      </c>
      <c r="E7" s="33">
        <f>$C$27*'E Balans VL '!I9/100/3.6*1000000</f>
        <v>38.917558970503151</v>
      </c>
      <c r="F7" s="33">
        <f>$C$27*('E Balans VL '!L9+'E Balans VL '!N9)/100/3.6*1000000</f>
        <v>120.17830076192776</v>
      </c>
      <c r="G7" s="34"/>
      <c r="H7" s="33"/>
      <c r="I7" s="33"/>
      <c r="J7" s="33">
        <f>$C$27*('E Balans VL '!D9+'E Balans VL '!E9)/100/3.6*1000000</f>
        <v>0</v>
      </c>
      <c r="K7" s="33"/>
      <c r="L7" s="33"/>
      <c r="M7" s="33"/>
      <c r="N7" s="33">
        <f>$C$27*'E Balans VL '!Y9/100/3.6*1000000</f>
        <v>0</v>
      </c>
      <c r="O7" s="33"/>
      <c r="P7" s="33"/>
      <c r="R7" s="32"/>
    </row>
    <row r="8" spans="1:18">
      <c r="A8" s="6" t="s">
        <v>51</v>
      </c>
      <c r="B8" s="37">
        <f t="shared" si="0"/>
        <v>6336.875</v>
      </c>
      <c r="C8" s="33"/>
      <c r="D8" s="37">
        <f>IF(ISERROR(TER_handel_gas_kWh/1000),0,TER_handel_gas_kWh/1000)*0.902</f>
        <v>1957.3562360000001</v>
      </c>
      <c r="E8" s="33">
        <f>$C$28*'E Balans VL '!I13/100/3.6*1000000</f>
        <v>32.532872432837522</v>
      </c>
      <c r="F8" s="33">
        <f>$C$28*('E Balans VL '!L13+'E Balans VL '!N13)/100/3.6*1000000</f>
        <v>977.04821022986016</v>
      </c>
      <c r="G8" s="34"/>
      <c r="H8" s="33"/>
      <c r="I8" s="33"/>
      <c r="J8" s="33">
        <f>$C$28*('E Balans VL '!D13+'E Balans VL '!E13)/100/3.6*1000000</f>
        <v>0</v>
      </c>
      <c r="K8" s="33"/>
      <c r="L8" s="33"/>
      <c r="M8" s="33"/>
      <c r="N8" s="33">
        <f>$C$28*'E Balans VL '!Y13/100/3.6*1000000</f>
        <v>2.963833789471241</v>
      </c>
      <c r="O8" s="33"/>
      <c r="P8" s="33"/>
      <c r="R8" s="32"/>
    </row>
    <row r="9" spans="1:18">
      <c r="A9" s="32" t="s">
        <v>50</v>
      </c>
      <c r="B9" s="37">
        <f t="shared" si="0"/>
        <v>507.73099999999999</v>
      </c>
      <c r="C9" s="33"/>
      <c r="D9" s="37">
        <f>IF(ISERROR(TER_gezond_gas_kWh/1000),0,TER_gezond_gas_kWh/1000)*0.902</f>
        <v>1504.4566240000001</v>
      </c>
      <c r="E9" s="33">
        <f>$C$29*'E Balans VL '!I10/100/3.6*1000000</f>
        <v>0.21045088356941213</v>
      </c>
      <c r="F9" s="33">
        <f>$C$29*('E Balans VL '!L10+'E Balans VL '!N10)/100/3.6*1000000</f>
        <v>125.04686346611777</v>
      </c>
      <c r="G9" s="34"/>
      <c r="H9" s="33"/>
      <c r="I9" s="33"/>
      <c r="J9" s="33">
        <f>$C$29*('E Balans VL '!D10+'E Balans VL '!E10)/100/3.6*1000000</f>
        <v>0</v>
      </c>
      <c r="K9" s="33"/>
      <c r="L9" s="33"/>
      <c r="M9" s="33"/>
      <c r="N9" s="33">
        <f>$C$29*'E Balans VL '!Y10/100/3.6*1000000</f>
        <v>4.388052537751209</v>
      </c>
      <c r="O9" s="33"/>
      <c r="P9" s="33"/>
      <c r="R9" s="32"/>
    </row>
    <row r="10" spans="1:18">
      <c r="A10" s="32" t="s">
        <v>49</v>
      </c>
      <c r="B10" s="37">
        <f t="shared" si="0"/>
        <v>2168.0050000000001</v>
      </c>
      <c r="C10" s="33"/>
      <c r="D10" s="37">
        <f>IF(ISERROR(TER_ander_gas_kWh/1000),0,TER_ander_gas_kWh/1000)*0.902</f>
        <v>1187.3747600000002</v>
      </c>
      <c r="E10" s="33">
        <f>$C$30*'E Balans VL '!I14/100/3.6*1000000</f>
        <v>13.216211970531438</v>
      </c>
      <c r="F10" s="33">
        <f>$C$30*('E Balans VL '!L14+'E Balans VL '!N14)/100/3.6*1000000</f>
        <v>574.76782379967551</v>
      </c>
      <c r="G10" s="34"/>
      <c r="H10" s="33"/>
      <c r="I10" s="33"/>
      <c r="J10" s="33">
        <f>$C$30*('E Balans VL '!D14+'E Balans VL '!E14)/100/3.6*1000000</f>
        <v>0</v>
      </c>
      <c r="K10" s="33"/>
      <c r="L10" s="33"/>
      <c r="M10" s="33"/>
      <c r="N10" s="33">
        <f>$C$30*'E Balans VL '!Y14/100/3.6*1000000</f>
        <v>499.67830536009706</v>
      </c>
      <c r="O10" s="33"/>
      <c r="P10" s="33"/>
      <c r="R10" s="32"/>
    </row>
    <row r="11" spans="1:18">
      <c r="A11" s="32" t="s">
        <v>54</v>
      </c>
      <c r="B11" s="37">
        <f t="shared" si="0"/>
        <v>380.47699999999998</v>
      </c>
      <c r="C11" s="33"/>
      <c r="D11" s="37">
        <f>IF(ISERROR(TER_onderwijs_gas_kWh/1000),0,TER_onderwijs_gas_kWh/1000)*0.902</f>
        <v>1001.394988</v>
      </c>
      <c r="E11" s="33">
        <f>$C$31*'E Balans VL '!I11/100/3.6*1000000</f>
        <v>0.28994328564668687</v>
      </c>
      <c r="F11" s="33">
        <f>$C$31*('E Balans VL '!L11+'E Balans VL '!N11)/100/3.6*1000000</f>
        <v>275.33400820716508</v>
      </c>
      <c r="G11" s="34"/>
      <c r="H11" s="33"/>
      <c r="I11" s="33"/>
      <c r="J11" s="33">
        <f>$C$31*('E Balans VL '!D11+'E Balans VL '!E11)/100/3.6*1000000</f>
        <v>0</v>
      </c>
      <c r="K11" s="33"/>
      <c r="L11" s="33"/>
      <c r="M11" s="33"/>
      <c r="N11" s="33">
        <f>$C$31*'E Balans VL '!Y11/100/3.6*1000000</f>
        <v>1.1213566513460338</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589.5</v>
      </c>
      <c r="C13" s="244">
        <f ca="1">'lokale energieproductie'!O38+'lokale energieproductie'!O31</f>
        <v>663.1875</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-1473.75</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12937.938</v>
      </c>
      <c r="C16" s="21">
        <f ca="1">C5+C13+C14</f>
        <v>663.1875</v>
      </c>
      <c r="D16" s="21">
        <f t="shared" ref="D16:N16" ca="1" si="1">MAX((D5+D13+D14),0)</f>
        <v>10605.117974000001</v>
      </c>
      <c r="E16" s="21">
        <f t="shared" si="1"/>
        <v>164.46792438708417</v>
      </c>
      <c r="F16" s="21">
        <f t="shared" ca="1" si="1"/>
        <v>2415.8713719510729</v>
      </c>
      <c r="G16" s="21">
        <f t="shared" si="1"/>
        <v>0</v>
      </c>
      <c r="H16" s="21">
        <f t="shared" si="1"/>
        <v>0</v>
      </c>
      <c r="I16" s="21">
        <f t="shared" si="1"/>
        <v>0</v>
      </c>
      <c r="J16" s="21">
        <f t="shared" si="1"/>
        <v>0</v>
      </c>
      <c r="K16" s="21">
        <f t="shared" si="1"/>
        <v>0</v>
      </c>
      <c r="L16" s="21">
        <f t="shared" ca="1" si="1"/>
        <v>0</v>
      </c>
      <c r="M16" s="21">
        <f t="shared" si="1"/>
        <v>0</v>
      </c>
      <c r="N16" s="21">
        <f t="shared" ca="1" si="1"/>
        <v>525.6630383113752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9.1780111346527901E-2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1187.4453902344744</v>
      </c>
      <c r="C20" s="23">
        <f t="shared" ref="C20:P20" ca="1" si="2">C16*C18</f>
        <v>0</v>
      </c>
      <c r="D20" s="23">
        <f t="shared" ca="1" si="2"/>
        <v>2142.2338307480004</v>
      </c>
      <c r="E20" s="23">
        <f t="shared" si="2"/>
        <v>37.334218835868107</v>
      </c>
      <c r="F20" s="23">
        <f t="shared" ca="1" si="2"/>
        <v>645.03765631093654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2265.4850000000001</v>
      </c>
      <c r="C26" s="39">
        <f>IF(ISERROR(B26*3.6/1000000/'E Balans VL '!Z12*100),0,B26*3.6/1000000/'E Balans VL '!Z12*100)</f>
        <v>4.7673374800927773E-2</v>
      </c>
      <c r="D26" s="234" t="s">
        <v>700</v>
      </c>
      <c r="F26" s="6"/>
    </row>
    <row r="27" spans="1:18">
      <c r="A27" s="229" t="s">
        <v>52</v>
      </c>
      <c r="B27" s="33">
        <f>IF(ISERROR(TER_horeca_ele_kWh/1000),0,TER_horeca_ele_kWh/1000)</f>
        <v>689.86500000000001</v>
      </c>
      <c r="C27" s="39">
        <f>IF(ISERROR(B27*3.6/1000000/'E Balans VL '!Z9*100),0,B27*3.6/1000000/'E Balans VL '!Z9*100)</f>
        <v>5.840893104730175E-2</v>
      </c>
      <c r="D27" s="234" t="s">
        <v>700</v>
      </c>
      <c r="F27" s="6"/>
    </row>
    <row r="28" spans="1:18">
      <c r="A28" s="169" t="s">
        <v>51</v>
      </c>
      <c r="B28" s="33">
        <f>IF(ISERROR(TER_handel_ele_kWh/1000),0,TER_handel_ele_kWh/1000)</f>
        <v>6336.875</v>
      </c>
      <c r="C28" s="39">
        <f>IF(ISERROR(B28*3.6/1000000/'E Balans VL '!Z13*100),0,B28*3.6/1000000/'E Balans VL '!Z13*100)</f>
        <v>0.17543550811797223</v>
      </c>
      <c r="D28" s="234" t="s">
        <v>700</v>
      </c>
      <c r="F28" s="6"/>
    </row>
    <row r="29" spans="1:18">
      <c r="A29" s="229" t="s">
        <v>50</v>
      </c>
      <c r="B29" s="33">
        <f>IF(ISERROR(TER_gezond_ele_kWh/1000),0,TER_gezond_ele_kWh/1000)</f>
        <v>507.73099999999999</v>
      </c>
      <c r="C29" s="39">
        <f>IF(ISERROR(B29*3.6/1000000/'E Balans VL '!Z10*100),0,B29*3.6/1000000/'E Balans VL '!Z10*100)</f>
        <v>6.5999401145598435E-2</v>
      </c>
      <c r="D29" s="234" t="s">
        <v>700</v>
      </c>
      <c r="F29" s="6"/>
    </row>
    <row r="30" spans="1:18">
      <c r="A30" s="229" t="s">
        <v>49</v>
      </c>
      <c r="B30" s="33">
        <f>IF(ISERROR(TER_ander_ele_kWh/1000),0,TER_ander_ele_kWh/1000)</f>
        <v>2168.0050000000001</v>
      </c>
      <c r="C30" s="39">
        <f>IF(ISERROR(B30*3.6/1000000/'E Balans VL '!Z14*100),0,B30*3.6/1000000/'E Balans VL '!Z14*100)</f>
        <v>0.16804026962466576</v>
      </c>
      <c r="D30" s="234" t="s">
        <v>700</v>
      </c>
      <c r="F30" s="6"/>
    </row>
    <row r="31" spans="1:18">
      <c r="A31" s="229" t="s">
        <v>54</v>
      </c>
      <c r="B31" s="33">
        <f>IF(ISERROR(TER_onderwijs_ele_kWh/1000),0,TER_onderwijs_ele_kWh/1000)</f>
        <v>380.47699999999998</v>
      </c>
      <c r="C31" s="39">
        <f>IF(ISERROR(B31*3.6/1000000/'E Balans VL '!Z11*100),0,B31*3.6/1000000/'E Balans VL '!Z11*100)</f>
        <v>7.2791733290881788E-2</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2962.3950000000004</v>
      </c>
      <c r="C5" s="17">
        <f>IF(ISERROR('Eigen informatie GS &amp; warmtenet'!B59),0,'Eigen informatie GS &amp; warmtenet'!B59)</f>
        <v>0</v>
      </c>
      <c r="D5" s="30">
        <f>SUM(D6:D15)</f>
        <v>6422.4041639999996</v>
      </c>
      <c r="E5" s="17">
        <f>SUM(E6:E15)</f>
        <v>54.919809337966541</v>
      </c>
      <c r="F5" s="17">
        <f>SUM(F6:F15)</f>
        <v>888.33293589414063</v>
      </c>
      <c r="G5" s="18"/>
      <c r="H5" s="17"/>
      <c r="I5" s="17"/>
      <c r="J5" s="17">
        <f>SUM(J6:J15)</f>
        <v>17.616834918052611</v>
      </c>
      <c r="K5" s="17"/>
      <c r="L5" s="17"/>
      <c r="M5" s="17"/>
      <c r="N5" s="17">
        <f>SUM(N6:N15)</f>
        <v>64.423595905418864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477.827</v>
      </c>
      <c r="C8" s="33"/>
      <c r="D8" s="37">
        <f>IF( ISERROR(IND_metaal_Gas_kWH/1000),0,IND_metaal_Gas_kWH/1000)*0.902</f>
        <v>567.33454800000004</v>
      </c>
      <c r="E8" s="33">
        <f>C30*'E Balans VL '!I18/100/3.6*1000000</f>
        <v>3.3575849012546799</v>
      </c>
      <c r="F8" s="33">
        <f>C30*'E Balans VL '!L18/100/3.6*1000000+C30*'E Balans VL '!N18/100/3.6*1000000</f>
        <v>52.462609036886818</v>
      </c>
      <c r="G8" s="34"/>
      <c r="H8" s="33"/>
      <c r="I8" s="33"/>
      <c r="J8" s="40">
        <f>C30*'E Balans VL '!D18/100/3.6*1000000+C30*'E Balans VL '!E18/100/3.6*1000000</f>
        <v>9.8586009143844358</v>
      </c>
      <c r="K8" s="33"/>
      <c r="L8" s="33"/>
      <c r="M8" s="33"/>
      <c r="N8" s="33">
        <f>C30*'E Balans VL '!Y18/100/3.6*1000000</f>
        <v>1.7909300090636278</v>
      </c>
      <c r="O8" s="33"/>
      <c r="P8" s="33"/>
      <c r="R8" s="32"/>
    </row>
    <row r="9" spans="1:18">
      <c r="A9" s="6" t="s">
        <v>32</v>
      </c>
      <c r="B9" s="37">
        <f t="shared" si="0"/>
        <v>776.38800000000003</v>
      </c>
      <c r="C9" s="33"/>
      <c r="D9" s="37">
        <f>IF( ISERROR(IND_andere_gas_kWh/1000),0,IND_andere_gas_kWh/1000)*0.902</f>
        <v>4272.7261939999999</v>
      </c>
      <c r="E9" s="33">
        <f>C31*'E Balans VL '!I19/100/3.6*1000000</f>
        <v>13.040387565667116</v>
      </c>
      <c r="F9" s="33">
        <f>C31*'E Balans VL '!L19/100/3.6*1000000+C31*'E Balans VL '!N19/100/3.6*1000000</f>
        <v>606.93591864130224</v>
      </c>
      <c r="G9" s="34"/>
      <c r="H9" s="33"/>
      <c r="I9" s="33"/>
      <c r="J9" s="40">
        <f>C31*'E Balans VL '!D19/100/3.6*1000000+C31*'E Balans VL '!E19/100/3.6*1000000</f>
        <v>7.00233441242816E-2</v>
      </c>
      <c r="K9" s="33"/>
      <c r="L9" s="33"/>
      <c r="M9" s="33"/>
      <c r="N9" s="33">
        <f>C31*'E Balans VL '!Y19/100/3.6*1000000</f>
        <v>57.542806848863499</v>
      </c>
      <c r="O9" s="33"/>
      <c r="P9" s="33"/>
      <c r="R9" s="32"/>
    </row>
    <row r="10" spans="1:18">
      <c r="A10" s="6" t="s">
        <v>40</v>
      </c>
      <c r="B10" s="37">
        <f t="shared" si="0"/>
        <v>336.15199999999999</v>
      </c>
      <c r="C10" s="33"/>
      <c r="D10" s="37">
        <f>IF( ISERROR(IND_voed_gas_kWh/1000),0,IND_voed_gas_kWh/1000)*0.902</f>
        <v>598.31193400000006</v>
      </c>
      <c r="E10" s="33">
        <f>C32*'E Balans VL '!I20/100/3.6*1000000</f>
        <v>3.0669111600431158</v>
      </c>
      <c r="F10" s="33">
        <f>C32*'E Balans VL '!L20/100/3.6*1000000+C32*'E Balans VL '!N20/100/3.6*1000000</f>
        <v>54.231831819246466</v>
      </c>
      <c r="G10" s="34"/>
      <c r="H10" s="33"/>
      <c r="I10" s="33"/>
      <c r="J10" s="40">
        <f>C32*'E Balans VL '!D20/100/3.6*1000000+C32*'E Balans VL '!E20/100/3.6*1000000</f>
        <v>1.3844943279192885</v>
      </c>
      <c r="K10" s="33"/>
      <c r="L10" s="33"/>
      <c r="M10" s="33"/>
      <c r="N10" s="33">
        <f>C32*'E Balans VL '!Y20/100/3.6*1000000</f>
        <v>4.9176386967087149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1098.3510000000001</v>
      </c>
      <c r="C12" s="33"/>
      <c r="D12" s="37">
        <f>IF( ISERROR(IND_min_gas_kWh/1000),0,IND_min_gas_kWh/1000)*0.902</f>
        <v>620.65898400000003</v>
      </c>
      <c r="E12" s="33">
        <f>C34*'E Balans VL '!I22/100/3.6*1000000</f>
        <v>27.242675592168894</v>
      </c>
      <c r="F12" s="33">
        <f>C34*'E Balans VL '!L22/100/3.6*1000000+C34*'E Balans VL '!N22/100/3.6*1000000</f>
        <v>116.71031045671754</v>
      </c>
      <c r="G12" s="34"/>
      <c r="H12" s="33"/>
      <c r="I12" s="33"/>
      <c r="J12" s="40">
        <f>C34*'E Balans VL '!D22/100/3.6*1000000+C34*'E Balans VL '!E22/100/3.6*1000000</f>
        <v>6.2392781508514892</v>
      </c>
      <c r="K12" s="33"/>
      <c r="L12" s="33"/>
      <c r="M12" s="33"/>
      <c r="N12" s="33">
        <f>C34*'E Balans VL '!Y22/100/3.6*1000000</f>
        <v>0</v>
      </c>
      <c r="O12" s="33"/>
      <c r="P12" s="33"/>
      <c r="R12" s="32"/>
    </row>
    <row r="13" spans="1:18">
      <c r="A13" s="6" t="s">
        <v>38</v>
      </c>
      <c r="B13" s="37">
        <f t="shared" si="0"/>
        <v>264.10700000000003</v>
      </c>
      <c r="C13" s="33"/>
      <c r="D13" s="37">
        <f>IF( ISERROR(IND_papier_gas_kWh/1000),0,IND_papier_gas_kWh/1000)*0.902</f>
        <v>346.308468</v>
      </c>
      <c r="E13" s="33">
        <f>C35*'E Balans VL '!I23/100/3.6*1000000</f>
        <v>8.1258831321170319</v>
      </c>
      <c r="F13" s="33">
        <f>C35*'E Balans VL '!L23/100/3.6*1000000+C35*'E Balans VL '!N23/100/3.6*1000000</f>
        <v>56.079146094319903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9.57</v>
      </c>
      <c r="C15" s="33"/>
      <c r="D15" s="37">
        <f>IF( ISERROR(IND_rest_gas_kWh/1000),0,IND_rest_gas_kWh/1000)*0.902</f>
        <v>17.064036000000002</v>
      </c>
      <c r="E15" s="33">
        <f>C37*'E Balans VL '!I15/100/3.6*1000000</f>
        <v>8.6366986715701533E-2</v>
      </c>
      <c r="F15" s="33">
        <f>C37*'E Balans VL '!L15/100/3.6*1000000+C37*'E Balans VL '!N15/100/3.6*1000000</f>
        <v>1.9131198456676803</v>
      </c>
      <c r="G15" s="34"/>
      <c r="H15" s="33"/>
      <c r="I15" s="33"/>
      <c r="J15" s="40">
        <f>C37*'E Balans VL '!D15/100/3.6*1000000+C37*'E Balans VL '!E15/100/3.6*1000000</f>
        <v>6.443818077311679E-2</v>
      </c>
      <c r="K15" s="33"/>
      <c r="L15" s="33"/>
      <c r="M15" s="33"/>
      <c r="N15" s="33">
        <f>C37*'E Balans VL '!Y15/100/3.6*1000000</f>
        <v>0.17222035078302078</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2962.3950000000004</v>
      </c>
      <c r="C18" s="21">
        <f>C5+C16</f>
        <v>0</v>
      </c>
      <c r="D18" s="21">
        <f>MAX((D5+D16),0)</f>
        <v>6422.4041639999996</v>
      </c>
      <c r="E18" s="21">
        <f>MAX((E5+E16),0)</f>
        <v>54.919809337966541</v>
      </c>
      <c r="F18" s="21">
        <f>MAX((F5+F16),0)</f>
        <v>888.33293589414063</v>
      </c>
      <c r="G18" s="21"/>
      <c r="H18" s="21"/>
      <c r="I18" s="21"/>
      <c r="J18" s="21">
        <f>MAX((J5+J16),0)</f>
        <v>17.616834918052611</v>
      </c>
      <c r="K18" s="21"/>
      <c r="L18" s="21">
        <f>MAX((L5+L16),0)</f>
        <v>0</v>
      </c>
      <c r="M18" s="21"/>
      <c r="N18" s="21">
        <f>MAX((N5+N16),0)</f>
        <v>64.423595905418864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9.1780111346527901E-2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271.88894295239754</v>
      </c>
      <c r="C22" s="23">
        <f ca="1">C18*C20</f>
        <v>0</v>
      </c>
      <c r="D22" s="23">
        <f>D18*D20</f>
        <v>1297.3256411279999</v>
      </c>
      <c r="E22" s="23">
        <f>E18*E20</f>
        <v>12.466796719718404</v>
      </c>
      <c r="F22" s="23">
        <f>F18*F20</f>
        <v>237.18489388373555</v>
      </c>
      <c r="G22" s="23"/>
      <c r="H22" s="23"/>
      <c r="I22" s="23"/>
      <c r="J22" s="23">
        <f>J18*J20</f>
        <v>6.2363595609906239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477.827</v>
      </c>
      <c r="C30" s="39">
        <f>IF(ISERROR(B30*3.6/1000000/'E Balans VL '!Z18*100),0,B30*3.6/1000000/'E Balans VL '!Z18*100)</f>
        <v>3.1809235175617318E-2</v>
      </c>
      <c r="D30" s="234" t="s">
        <v>700</v>
      </c>
    </row>
    <row r="31" spans="1:18">
      <c r="A31" s="6" t="s">
        <v>32</v>
      </c>
      <c r="B31" s="37">
        <f>IF( ISERROR(IND_ander_ele_kWh/1000),0,IND_ander_ele_kWh/1000)</f>
        <v>776.38800000000003</v>
      </c>
      <c r="C31" s="39">
        <f>IF(ISERROR(B31*3.6/1000000/'E Balans VL '!Z19*100),0,B31*3.6/1000000/'E Balans VL '!Z19*100)</f>
        <v>3.4414203255619634E-2</v>
      </c>
      <c r="D31" s="234" t="s">
        <v>700</v>
      </c>
    </row>
    <row r="32" spans="1:18">
      <c r="A32" s="169" t="s">
        <v>40</v>
      </c>
      <c r="B32" s="37">
        <f>IF( ISERROR(IND_voed_ele_kWh/1000),0,IND_voed_ele_kWh/1000)</f>
        <v>336.15199999999999</v>
      </c>
      <c r="C32" s="39">
        <f>IF(ISERROR(B32*3.6/1000000/'E Balans VL '!Z20*100),0,B32*3.6/1000000/'E Balans VL '!Z20*100)</f>
        <v>1.1228441095283799E-2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1098.3510000000001</v>
      </c>
      <c r="C34" s="39">
        <f>IF(ISERROR(B34*3.6/1000000/'E Balans VL '!Z22*100),0,B34*3.6/1000000/'E Balans VL '!Z22*100)</f>
        <v>0.21361720480006402</v>
      </c>
      <c r="D34" s="234" t="s">
        <v>700</v>
      </c>
    </row>
    <row r="35" spans="1:5">
      <c r="A35" s="169" t="s">
        <v>38</v>
      </c>
      <c r="B35" s="37">
        <f>IF( ISERROR(IND_papier_ele_kWh/1000),0,IND_papier_ele_kWh/1000)</f>
        <v>264.10700000000003</v>
      </c>
      <c r="C35" s="39">
        <f>IF(ISERROR(B35*3.6/1000000/'E Balans VL '!Z22*100),0,B35*3.6/1000000/'E Balans VL '!Z22*100)</f>
        <v>5.1365910449510686E-2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9.57</v>
      </c>
      <c r="C37" s="39">
        <f>IF(ISERROR(B37*3.6/1000000/'E Balans VL '!Z15*100),0,B37*3.6/1000000/'E Balans VL '!Z15*100)</f>
        <v>7.1185209136369332E-5</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2751.6889999999999</v>
      </c>
      <c r="C5" s="17">
        <f>'Eigen informatie GS &amp; warmtenet'!B60</f>
        <v>0</v>
      </c>
      <c r="D5" s="30">
        <f>IF(ISERROR(SUM(LB_lb_gas_kWh,LB_rest_gas_kWh)/1000),0,SUM(LB_lb_gas_kWh,LB_rest_gas_kWh)/1000)*0.902</f>
        <v>1116.42344</v>
      </c>
      <c r="E5" s="17">
        <f>B17*'E Balans VL '!I25/3.6*1000000/100</f>
        <v>28.816282924375322</v>
      </c>
      <c r="F5" s="17">
        <f>B17*('E Balans VL '!L25/3.6*1000000+'E Balans VL '!N25/3.6*1000000)/100</f>
        <v>11779.319759588943</v>
      </c>
      <c r="G5" s="18"/>
      <c r="H5" s="17"/>
      <c r="I5" s="17"/>
      <c r="J5" s="17">
        <f>('E Balans VL '!D25+'E Balans VL '!E25)/3.6*1000000*landbouw!B17/100</f>
        <v>245.75049150926316</v>
      </c>
      <c r="K5" s="17"/>
      <c r="L5" s="17">
        <f>L6*(-1)</f>
        <v>1012.5</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-1012.5</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2751.6889999999999</v>
      </c>
      <c r="C8" s="21">
        <f>C5+C6</f>
        <v>0</v>
      </c>
      <c r="D8" s="21">
        <f>MAX((D5+D6),0)</f>
        <v>1116.42344</v>
      </c>
      <c r="E8" s="21">
        <f>MAX((E5+E6),0)</f>
        <v>28.816282924375322</v>
      </c>
      <c r="F8" s="21">
        <f>MAX((F5+F6),0)</f>
        <v>11779.319759588943</v>
      </c>
      <c r="G8" s="21"/>
      <c r="H8" s="21"/>
      <c r="I8" s="21"/>
      <c r="J8" s="21">
        <f>MAX((J5+J6),0)</f>
        <v>245.75049150926316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9.1780111346527901E-2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252.550322811016</v>
      </c>
      <c r="C12" s="23">
        <f ca="1">C8*C10</f>
        <v>0</v>
      </c>
      <c r="D12" s="23">
        <f>D8*D10</f>
        <v>225.51753488000003</v>
      </c>
      <c r="E12" s="23">
        <f>E8*E10</f>
        <v>6.5412962238331982</v>
      </c>
      <c r="F12" s="23">
        <f>F8*F10</f>
        <v>3145.078375810248</v>
      </c>
      <c r="G12" s="23"/>
      <c r="H12" s="23"/>
      <c r="I12" s="23"/>
      <c r="J12" s="23">
        <f>J8*J10</f>
        <v>86.995673994279159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0.42353805451371501</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420.23558985077869</v>
      </c>
      <c r="C26" s="244">
        <f>B26*'GWP N2O_CH4'!B5</f>
        <v>8824.9473868663517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173.36148851029958</v>
      </c>
      <c r="C27" s="244">
        <f>B27*'GWP N2O_CH4'!B5</f>
        <v>3640.5912587162911</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6.4252297862987984</v>
      </c>
      <c r="C28" s="244">
        <f>B28*'GWP N2O_CH4'!B4</f>
        <v>1991.8212337526274</v>
      </c>
      <c r="D28" s="50"/>
    </row>
    <row r="29" spans="1:4">
      <c r="A29" s="41" t="s">
        <v>266</v>
      </c>
      <c r="B29" s="244">
        <f>B34*'ha_N2O bodem landbouw'!B4</f>
        <v>28.502693574882386</v>
      </c>
      <c r="C29" s="244">
        <f>B29*'GWP N2O_CH4'!B4</f>
        <v>8835.8350082135403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4.7104444589828529E-3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6.3728905510084158E-6</v>
      </c>
      <c r="C5" s="433" t="s">
        <v>204</v>
      </c>
      <c r="D5" s="418">
        <f>SUM(D6:D11)</f>
        <v>1.9163858052418925E-5</v>
      </c>
      <c r="E5" s="418">
        <f>SUM(E6:E11)</f>
        <v>2.2311410533255231E-3</v>
      </c>
      <c r="F5" s="431" t="s">
        <v>204</v>
      </c>
      <c r="G5" s="418">
        <f>SUM(G6:G11)</f>
        <v>0.52888564006672423</v>
      </c>
      <c r="H5" s="418">
        <f>SUM(H6:H11)</f>
        <v>6.5648517296885228E-2</v>
      </c>
      <c r="I5" s="433" t="s">
        <v>204</v>
      </c>
      <c r="J5" s="433" t="s">
        <v>204</v>
      </c>
      <c r="K5" s="433" t="s">
        <v>204</v>
      </c>
      <c r="L5" s="433" t="s">
        <v>204</v>
      </c>
      <c r="M5" s="418">
        <f>SUM(M6:M11)</f>
        <v>2.5805434120666271E-2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2.1155249630305016E-6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6.6982195076884152E-6</v>
      </c>
      <c r="E6" s="421">
        <f>vkm_GW_PW*SUMIFS(TableVerdeelsleutelVkm[LPG],TableVerdeelsleutelVkm[Voertuigtype],"Lichte voertuigen")*SUMIFS(TableECFTransport[EnergieConsumptieFactor (PJ per km)],TableECFTransport[Index],CONCATENATE($A6,"_LPG_LPG"))</f>
        <v>6.9801271793260152E-4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9.297546803793047E-2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2.230461402432795E-2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5.031878159966253E-3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1.3058965337398264E-7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5.8866833497294276E-2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1.5938184173510601E-6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2.5360076661196385E-3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3.9312900708952024E-7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2.1154085324046697E-6</v>
      </c>
      <c r="E8" s="421">
        <f>vkm_NGW_PW*SUMIFS(TableVerdeelsleutelVkm[LPG],TableVerdeelsleutelVkm[Voertuigtype],"Lichte voertuigen")*SUMIFS(TableECFTransport[EnergieConsumptieFactor (PJ per km)],TableECFTransport[Index],CONCATENATE($A8,"_LPG_LPG"))</f>
        <v>2.0803695953288865E-4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2.6236775429157099E-2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6.6608384732357168E-3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1.4368242888001793E-3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1.8788928690088532E-8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1.1731753805972885E-2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2.7678881493500342E-7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5.0540695242564878E-4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3.3163820334099289E-6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1.0350230012325839E-5</v>
      </c>
      <c r="E10" s="421">
        <f>vkm_SW_PW*SUMIFS(TableVerdeelsleutelVkm[LPG],TableVerdeelsleutelVkm[Voertuigtype],"Lichte voertuigen")*SUMIFS(TableECFTransport[EnergieConsumptieFactor (PJ per km)],TableECFTransport[Index],CONCATENATE($A10,"_LPG_LPG"))</f>
        <v>1.325091375860033E-3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0.16575275454274069</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3.6676188517162096E-2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8.8285164556015615E-3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3.9847596541439343E-7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0.17332205475362883</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5.0056749271690496E-6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7.4668005977529877E-3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1.7702473752801156</v>
      </c>
      <c r="C14" s="21"/>
      <c r="D14" s="21">
        <f t="shared" ref="D14:M14" si="0">((D5)*10^9/3600)+D12</f>
        <v>5.3232939034497013</v>
      </c>
      <c r="E14" s="21">
        <f t="shared" si="0"/>
        <v>619.76140370153416</v>
      </c>
      <c r="F14" s="21"/>
      <c r="G14" s="21">
        <f t="shared" si="0"/>
        <v>146912.67779631229</v>
      </c>
      <c r="H14" s="21">
        <f t="shared" si="0"/>
        <v>18235.699249134785</v>
      </c>
      <c r="I14" s="21"/>
      <c r="J14" s="21"/>
      <c r="K14" s="21"/>
      <c r="L14" s="21"/>
      <c r="M14" s="21">
        <f t="shared" si="0"/>
        <v>7168.1761446295195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9.1780111346527901E-2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0.16247350121410778</v>
      </c>
      <c r="C18" s="23"/>
      <c r="D18" s="23">
        <f t="shared" ref="D18:M18" si="1">D14*D16</f>
        <v>1.0753053684968397</v>
      </c>
      <c r="E18" s="23">
        <f t="shared" si="1"/>
        <v>140.68583864024825</v>
      </c>
      <c r="F18" s="23"/>
      <c r="G18" s="23">
        <f t="shared" si="1"/>
        <v>39225.684971615381</v>
      </c>
      <c r="H18" s="23">
        <f t="shared" si="1"/>
        <v>4540.6891130345612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2.5639349643740152E-5</v>
      </c>
      <c r="C50" s="315">
        <f t="shared" ref="C50:P50" si="2">SUM(C51:C52)</f>
        <v>0</v>
      </c>
      <c r="D50" s="315">
        <f t="shared" si="2"/>
        <v>0</v>
      </c>
      <c r="E50" s="315">
        <f t="shared" si="2"/>
        <v>0</v>
      </c>
      <c r="F50" s="315">
        <f t="shared" si="2"/>
        <v>0</v>
      </c>
      <c r="G50" s="315">
        <f t="shared" si="2"/>
        <v>5.5621994897707078E-3</v>
      </c>
      <c r="H50" s="315">
        <f t="shared" si="2"/>
        <v>0</v>
      </c>
      <c r="I50" s="315">
        <f t="shared" si="2"/>
        <v>0</v>
      </c>
      <c r="J50" s="315">
        <f t="shared" si="2"/>
        <v>0</v>
      </c>
      <c r="K50" s="315">
        <f t="shared" si="2"/>
        <v>0</v>
      </c>
      <c r="L50" s="315">
        <f t="shared" si="2"/>
        <v>0</v>
      </c>
      <c r="M50" s="315">
        <f t="shared" si="2"/>
        <v>2.3815201635859958E-4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2.5639349643740152E-5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5.5621994897707078E-3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2.3815201635859958E-4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7.1220415677055975</v>
      </c>
      <c r="C54" s="21">
        <f t="shared" ref="C54:P54" si="3">(C50)*10^9/3600</f>
        <v>0</v>
      </c>
      <c r="D54" s="21">
        <f t="shared" si="3"/>
        <v>0</v>
      </c>
      <c r="E54" s="21">
        <f t="shared" si="3"/>
        <v>0</v>
      </c>
      <c r="F54" s="21">
        <f t="shared" si="3"/>
        <v>0</v>
      </c>
      <c r="G54" s="21">
        <f t="shared" si="3"/>
        <v>1545.0554138251966</v>
      </c>
      <c r="H54" s="21">
        <f t="shared" si="3"/>
        <v>0</v>
      </c>
      <c r="I54" s="21">
        <f t="shared" si="3"/>
        <v>0</v>
      </c>
      <c r="J54" s="21">
        <f t="shared" si="3"/>
        <v>0</v>
      </c>
      <c r="K54" s="21">
        <f t="shared" si="3"/>
        <v>0</v>
      </c>
      <c r="L54" s="21">
        <f t="shared" si="3"/>
        <v>0</v>
      </c>
      <c r="M54" s="21">
        <f t="shared" si="3"/>
        <v>66.153337877388779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9.1780111346527901E-2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0.65366176809861987</v>
      </c>
      <c r="C58" s="23">
        <f t="shared" ref="C58:P58" ca="1" si="4">C54*C56</f>
        <v>0</v>
      </c>
      <c r="D58" s="23">
        <f t="shared" si="4"/>
        <v>0</v>
      </c>
      <c r="E58" s="23">
        <f t="shared" si="4"/>
        <v>0</v>
      </c>
      <c r="F58" s="23">
        <f t="shared" si="4"/>
        <v>0</v>
      </c>
      <c r="G58" s="23">
        <f t="shared" si="4"/>
        <v>412.52979549132755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22795.78749602567</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2242.6169379577395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589.5</v>
      </c>
      <c r="C8" s="544">
        <f>B48</f>
        <v>0</v>
      </c>
      <c r="D8" s="963"/>
      <c r="E8" s="963">
        <f>E48</f>
        <v>0</v>
      </c>
      <c r="F8" s="964"/>
      <c r="G8" s="545"/>
      <c r="H8" s="963">
        <f>I48</f>
        <v>0</v>
      </c>
      <c r="I8" s="963">
        <f>G48+F48</f>
        <v>693.52941176470586</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405</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26032.904433983411</v>
      </c>
      <c r="C10" s="556">
        <f t="shared" ref="C10:L10" si="0">SUM(C8:C9)</f>
        <v>0</v>
      </c>
      <c r="D10" s="556">
        <f t="shared" si="0"/>
        <v>0</v>
      </c>
      <c r="E10" s="556">
        <f t="shared" si="0"/>
        <v>0</v>
      </c>
      <c r="F10" s="556">
        <f t="shared" si="0"/>
        <v>0</v>
      </c>
      <c r="G10" s="556">
        <f t="shared" si="0"/>
        <v>0</v>
      </c>
      <c r="H10" s="556">
        <f t="shared" si="0"/>
        <v>0</v>
      </c>
      <c r="I10" s="556">
        <f t="shared" si="0"/>
        <v>1706.0294117647059</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663.1875</v>
      </c>
      <c r="C17" s="568">
        <f>B49</f>
        <v>0</v>
      </c>
      <c r="D17" s="569"/>
      <c r="E17" s="569">
        <f>E49</f>
        <v>0</v>
      </c>
      <c r="F17" s="570"/>
      <c r="G17" s="571"/>
      <c r="H17" s="568">
        <f>I49</f>
        <v>0</v>
      </c>
      <c r="I17" s="569">
        <f>G49+F49</f>
        <v>780.22058823529414</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663.1875</v>
      </c>
      <c r="C20" s="555">
        <f>SUM(C17:C19)</f>
        <v>0</v>
      </c>
      <c r="D20" s="555">
        <f t="shared" ref="D20:L20" si="1">SUM(D17:D19)</f>
        <v>0</v>
      </c>
      <c r="E20" s="555">
        <f t="shared" si="1"/>
        <v>0</v>
      </c>
      <c r="F20" s="555">
        <f t="shared" si="1"/>
        <v>0</v>
      </c>
      <c r="G20" s="555">
        <f t="shared" si="1"/>
        <v>0</v>
      </c>
      <c r="H20" s="555">
        <f t="shared" si="1"/>
        <v>0</v>
      </c>
      <c r="I20" s="555">
        <f t="shared" si="1"/>
        <v>780.22058823529414</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38.25" hidden="1">
      <c r="A28" s="580"/>
      <c r="B28" s="775">
        <v>35005</v>
      </c>
      <c r="C28" s="775">
        <v>8470</v>
      </c>
      <c r="D28" s="628"/>
      <c r="E28" s="627"/>
      <c r="F28" s="627"/>
      <c r="G28" s="627" t="s">
        <v>977</v>
      </c>
      <c r="H28" s="627" t="s">
        <v>978</v>
      </c>
      <c r="I28" s="627"/>
      <c r="J28" s="774"/>
      <c r="K28" s="774"/>
      <c r="L28" s="627" t="s">
        <v>979</v>
      </c>
      <c r="M28" s="627">
        <v>131</v>
      </c>
      <c r="N28" s="627">
        <v>589.5</v>
      </c>
      <c r="O28" s="627">
        <v>663.1875</v>
      </c>
      <c r="P28" s="627">
        <v>0</v>
      </c>
      <c r="Q28" s="627">
        <v>0</v>
      </c>
      <c r="R28" s="627">
        <v>0</v>
      </c>
      <c r="S28" s="627">
        <v>0</v>
      </c>
      <c r="T28" s="627">
        <v>0</v>
      </c>
      <c r="U28" s="627">
        <v>1473.75</v>
      </c>
      <c r="V28" s="627">
        <v>0</v>
      </c>
      <c r="W28" s="627">
        <v>0</v>
      </c>
      <c r="X28" s="627">
        <v>1300</v>
      </c>
      <c r="Y28" s="627" t="s">
        <v>53</v>
      </c>
      <c r="Z28" s="629" t="s">
        <v>149</v>
      </c>
    </row>
    <row r="29" spans="1:26" s="563" customFormat="1" hidden="1">
      <c r="A29" s="583" t="s">
        <v>269</v>
      </c>
      <c r="B29" s="584"/>
      <c r="C29" s="584"/>
      <c r="D29" s="584"/>
      <c r="E29" s="584"/>
      <c r="F29" s="584"/>
      <c r="G29" s="584"/>
      <c r="H29" s="584"/>
      <c r="I29" s="584"/>
      <c r="J29" s="584"/>
      <c r="K29" s="584"/>
      <c r="L29" s="585"/>
      <c r="M29" s="585">
        <f>SUM(M28:M28)</f>
        <v>131</v>
      </c>
      <c r="N29" s="585">
        <f>SUM(N28:N28)</f>
        <v>589.5</v>
      </c>
      <c r="O29" s="585">
        <f>SUM(O28:O28)</f>
        <v>663.1875</v>
      </c>
      <c r="P29" s="585">
        <f>SUM(P28:P28)</f>
        <v>0</v>
      </c>
      <c r="Q29" s="585">
        <f>SUM(Q28:Q28)</f>
        <v>0</v>
      </c>
      <c r="R29" s="585">
        <f>SUM(R28:R28)</f>
        <v>0</v>
      </c>
      <c r="S29" s="585">
        <f>SUM(S28:S28)</f>
        <v>0</v>
      </c>
      <c r="T29" s="585">
        <f>SUM(T28:T28)</f>
        <v>0</v>
      </c>
      <c r="U29" s="585">
        <f>SUM(U28:U28)</f>
        <v>1473.75</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131</v>
      </c>
      <c r="N31" s="585">
        <f ca="1">SUMIF($Z$28:AD28,"tertiair",N28:N28)</f>
        <v>589.5</v>
      </c>
      <c r="O31" s="585">
        <f ca="1">SUMIF($Z$28:AE28,"tertiair",O28:O28)</f>
        <v>663.1875</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1473.75</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38.25" hidden="1">
      <c r="A35" s="582"/>
      <c r="B35" s="775">
        <v>35005</v>
      </c>
      <c r="C35" s="775">
        <v>8470</v>
      </c>
      <c r="D35" s="630"/>
      <c r="E35" s="630"/>
      <c r="F35" s="630"/>
      <c r="G35" s="630" t="s">
        <v>980</v>
      </c>
      <c r="H35" s="630" t="s">
        <v>981</v>
      </c>
      <c r="I35" s="630"/>
      <c r="J35" s="774"/>
      <c r="K35" s="774"/>
      <c r="L35" s="630" t="s">
        <v>982</v>
      </c>
      <c r="M35" s="630">
        <v>90</v>
      </c>
      <c r="N35" s="630">
        <v>405</v>
      </c>
      <c r="O35" s="630">
        <v>0</v>
      </c>
      <c r="P35" s="630">
        <v>0</v>
      </c>
      <c r="Q35" s="630">
        <v>0</v>
      </c>
      <c r="R35" s="630">
        <v>0</v>
      </c>
      <c r="S35" s="630">
        <v>0</v>
      </c>
      <c r="T35" s="630">
        <v>0</v>
      </c>
      <c r="U35" s="630">
        <v>1012.5</v>
      </c>
      <c r="V35" s="630">
        <v>0</v>
      </c>
      <c r="W35" s="630">
        <v>0</v>
      </c>
      <c r="X35" s="630">
        <v>10</v>
      </c>
      <c r="Y35" s="630" t="s">
        <v>105</v>
      </c>
      <c r="Z35" s="631" t="s">
        <v>105</v>
      </c>
    </row>
    <row r="36" spans="1:27" s="563" customFormat="1" hidden="1">
      <c r="A36" s="583" t="s">
        <v>269</v>
      </c>
      <c r="B36" s="584"/>
      <c r="C36" s="584"/>
      <c r="D36" s="584"/>
      <c r="E36" s="584"/>
      <c r="F36" s="584"/>
      <c r="G36" s="584"/>
      <c r="H36" s="584"/>
      <c r="I36" s="584"/>
      <c r="J36" s="584"/>
      <c r="K36" s="584"/>
      <c r="L36" s="585"/>
      <c r="M36" s="585">
        <f>SUM(M35:M35)</f>
        <v>90</v>
      </c>
      <c r="N36" s="585">
        <f>SUM(N35:N35)</f>
        <v>405</v>
      </c>
      <c r="O36" s="585">
        <f>SUM(O35:O35)</f>
        <v>0</v>
      </c>
      <c r="P36" s="585">
        <f>SUM(P35:P35)</f>
        <v>0</v>
      </c>
      <c r="Q36" s="585">
        <f>SUM(Q35:Q35)</f>
        <v>0</v>
      </c>
      <c r="R36" s="585">
        <f>SUM(R35:R35)</f>
        <v>0</v>
      </c>
      <c r="S36" s="585">
        <f>SUM(S35:S35)</f>
        <v>0</v>
      </c>
      <c r="T36" s="585">
        <f>SUM(T35:T35)</f>
        <v>0</v>
      </c>
      <c r="U36" s="585">
        <f>SUM(U35:U35)</f>
        <v>1012.5</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90</v>
      </c>
      <c r="N39" s="590">
        <f>SUMIF($Z$35:$Z$37,"landbouw",N35:N37)</f>
        <v>405</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1012.5</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0.52941176470588236</v>
      </c>
      <c r="C45" s="610">
        <f>IF(ISERROR(N29/(O29+N29)),0,N29/(N29+O29))</f>
        <v>0.47058823529411764</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693.52941176470586</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780.22058823529414</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2021-11-11T13:46:11Z</dcterms:modified>
</cp:coreProperties>
</file>