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56A9C52-F2DB-4431-9052-770C39120AF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I17" i="18"/>
  <c r="O17" i="18" s="1"/>
  <c r="O20" i="18" s="1"/>
  <c r="M90" i="14"/>
  <c r="Q14" i="48"/>
  <c r="B77" i="14"/>
  <c r="B9" i="55" s="1"/>
  <c r="C77" i="14"/>
  <c r="C9" i="55" s="1"/>
  <c r="C10" i="18"/>
  <c r="J8" i="18"/>
  <c r="J76" i="14" s="1"/>
  <c r="J17" i="18"/>
  <c r="E20" i="18"/>
  <c r="F87" i="14"/>
  <c r="I8" i="18"/>
  <c r="I10" i="18" s="1"/>
  <c r="H10" i="18"/>
  <c r="M76" i="14"/>
  <c r="E10" i="18"/>
  <c r="F76" i="14"/>
  <c r="P9" i="55"/>
  <c r="I76" i="14"/>
  <c r="I8" i="55" s="1"/>
  <c r="I10" i="55" s="1"/>
  <c r="J20" i="18"/>
  <c r="J87" i="14"/>
  <c r="I20" i="18"/>
  <c r="I87" i="14"/>
  <c r="I17" i="55" s="1"/>
  <c r="I20" i="55" s="1"/>
  <c r="O8" i="18"/>
  <c r="O10" i="18" s="1"/>
  <c r="Q87" i="14"/>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2" i="13"/>
  <c r="B35" i="13"/>
  <c r="C35" i="13" s="1"/>
  <c r="B34" i="13"/>
  <c r="B33" i="13"/>
  <c r="C34" i="13"/>
  <c r="P5" i="13"/>
  <c r="P8" i="13"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<sst xmlns="http://schemas.openxmlformats.org/spreadsheetml/2006/main" count="2569" uniqueCount="977">
  <si>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</si>
  <si>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</si>
  <si>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</si>
  <si>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</si>
  <si>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</si>
  <si>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</si>
  <si>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</si>
  <si>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</si>
  <si>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</si>
  <si>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</si>
  <si>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</si>
  <si>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</si>
  <si>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</si>
  <si>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</si>
  <si>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</si>
  <si>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</si>
  <si>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</si>
  <si>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</si>
  <si>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</si>
  <si>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</si>
  <si>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</si>
  <si>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</si>
  <si>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</si>
  <si>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</si>
  <si>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</si>
  <si>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</si>
  <si>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</si>
  <si>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</si>
  <si>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</si>
  <si>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</si>
  <si>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</si>
  <si>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</si>
  <si>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</si>
  <si>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</si>
  <si>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</si>
  <si>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</si>
  <si>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</si>
  <si>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</si>
  <si>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</si>
  <si>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</si>
  <si>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</si>
  <si>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</si>
  <si>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</si>
  <si>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</si>
  <si>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</si>
  <si>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</si>
  <si>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</si>
  <si>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</si>
  <si>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</si>
  <si>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</si>
  <si>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</si>
  <si>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</si>
  <si>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</si>
  <si>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</si>
  <si>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</si>
  <si>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</si>
  <si>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</si>
  <si>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</si>
  <si>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</si>
  <si>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</si>
  <si>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</si>
  <si>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</si>
  <si>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</si>
  <si>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</si>
  <si>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</si>
  <si>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</si>
  <si>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</si>
  <si>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</si>
  <si>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</si>
  <si>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</si>
  <si>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</si>
  <si>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</si>
  <si>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</si>
  <si>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</si>
  <si>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</si>
  <si>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</si>
  <si>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</si>
  <si>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</si>
  <si>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</si>
  <si>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</si>
  <si>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</si>
  <si>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</si>
  <si>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</si>
  <si>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</si>
  <si>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</si>
  <si>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</si>
  <si>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</si>
  <si>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</si>
  <si>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</si>
  <si>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</si>
  <si>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</si>
  <si>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</si>
  <si>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</si>
  <si>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</si>
  <si>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</si>
  <si>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</si>
  <si>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</si>
  <si>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</si>
  <si>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</si>
  <si>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</si>
  <si>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</si>
  <si>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</si>
  <si>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</si>
  <si>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</si>
  <si>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</si>
  <si>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</si>
  <si>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</si>
  <si>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</si>
  <si>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</si>
  <si>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</si>
  <si>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</si>
  <si>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</si>
  <si>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</si>
  <si>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</si>
  <si>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</si>
  <si>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</si>
  <si>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</si>
  <si>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</si>
  <si>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</si>
  <si>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</si>
  <si>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</si>
  <si>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</si>
  <si>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</si>
  <si>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</si>
  <si>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</si>
  <si>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</si>
  <si>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</si>
  <si>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</si>
  <si>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</si>
  <si>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</si>
  <si>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</si>
  <si>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</si>
  <si>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</si>
  <si>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</si>
  <si>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</si>
  <si>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</si>
  <si>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</si>
  <si>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</si>
  <si>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</si>
  <si>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</si>
  <si>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</si>
  <si>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</si>
  <si>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</si>
  <si>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</si>
  <si>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</si>
  <si>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</si>
  <si>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</si>
  <si>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</si>
  <si>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</si>
  <si>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</si>
  <si>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</si>
  <si>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</si>
  <si>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</si>
  <si>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</si>
  <si>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</si>
  <si>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</si>
  <si>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</si>
  <si>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</si>
  <si>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</si>
  <si>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</si>
  <si>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</si>
  <si>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</si>
  <si>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</si>
  <si>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</si>
  <si>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</si>
  <si>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</si>
  <si>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</si>
  <si>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</si>
  <si>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</si>
  <si>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</si>
  <si>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</si>
  <si>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</si>
  <si>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</si>
  <si>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</si>
  <si>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</si>
  <si>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</si>
  <si>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</si>
  <si>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</si>
  <si>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</si>
  <si>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</si>
  <si>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</si>
  <si>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</si>
  <si>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</si>
  <si>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</si>
  <si>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</si>
  <si>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</si>
  <si>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</si>
  <si>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</si>
  <si>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</si>
  <si>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</si>
  <si>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</si>
  <si>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</si>
  <si>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</si>
  <si>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</si>
  <si>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</si>
  <si>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</si>
  <si>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</si>
  <si>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</si>
  <si>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</si>
  <si>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</si>
  <si>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</si>
  <si>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</si>
  <si>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</si>
  <si>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</si>
  <si>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</si>
  <si>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</si>
  <si>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</si>
  <si>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</si>
  <si>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</si>
  <si>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</si>
  <si>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</si>
  <si>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</si>
  <si>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</si>
  <si>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</si>
  <si>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</si>
  <si>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</si>
  <si>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</si>
  <si>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</si>
  <si>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</si>
  <si>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</si>
  <si>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</si>
  <si>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</si>
  <si>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</si>
  <si>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</si>
  <si>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</si>
  <si>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</si>
  <si>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</si>
  <si>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</si>
  <si>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</si>
  <si>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</si>
  <si>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</si>
  <si>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</si>
  <si>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</si>
  <si>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</si>
  <si>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</si>
  <si>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</si>
  <si>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</si>
  <si>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</si>
  <si>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</si>
  <si>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</si>
  <si>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</si>
  <si>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</si>
  <si>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</si>
  <si>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</si>
  <si>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</si>
  <si>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</si>
  <si>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</si>
  <si>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</si>
  <si>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</si>
  <si>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</si>
  <si>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</si>
  <si>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</si>
  <si>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</si>
  <si>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</si>
  <si>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</si>
  <si>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</si>
  <si>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</si>
  <si>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</si>
  <si>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</si>
  <si>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</si>
  <si>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</si>
  <si>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</si>
  <si>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</si>
  <si>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</si>
  <si>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</si>
  <si>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</si>
  <si>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</si>
  <si>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</si>
  <si>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</si>
  <si>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</si>
  <si>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</si>
  <si>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</si>
  <si>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</si>
  <si>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</si>
  <si>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</si>
  <si>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</si>
  <si>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</si>
  <si>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</si>
  <si>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</si>
  <si>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</si>
  <si>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</si>
  <si>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</si>
  <si>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</si>
  <si>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</si>
  <si>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</si>
  <si>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</si>
  <si>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</si>
  <si>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</si>
  <si>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</si>
  <si>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</si>
  <si>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</si>
  <si>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</si>
  <si>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</si>
  <si>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</si>
  <si>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</si>
  <si>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</si>
  <si>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</si>
  <si>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</si>
  <si>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</si>
  <si>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</si>
  <si>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</si>
  <si>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</si>
  <si>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</si>
  <si>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</si>
  <si>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</si>
  <si>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</si>
  <si>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</si>
  <si>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</si>
  <si>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</si>
  <si>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</si>
  <si>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</si>
  <si>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</si>
  <si>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</si>
  <si>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</si>
  <si>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</si>
  <si>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</si>
  <si>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</si>
  <si>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</si>
  <si>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</si>
  <si>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</si>
  <si>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</si>
  <si>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</si>
  <si>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</si>
  <si>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</si>
  <si>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</si>
  <si>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</si>
  <si>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</si>
  <si>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</si>
  <si>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</si>
  <si>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</si>
  <si>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</si>
  <si>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</si>
  <si>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</si>
  <si>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</si>
  <si>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</si>
  <si>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</si>
  <si>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</si>
  <si>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</si>
  <si>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</si>
  <si>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</si>
  <si>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</si>
  <si>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</si>
  <si>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</si>
  <si>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</si>
  <si>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</si>
  <si>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</si>
  <si>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</si>
  <si>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</si>
  <si>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</si>
  <si>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</si>
  <si>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</si>
  <si>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</si>
  <si>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</si>
  <si>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</si>
  <si>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</si>
  <si>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</si>
  <si>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</si>
  <si>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</si>
  <si>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</si>
  <si>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</si>
  <si>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</si>
  <si>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</si>
  <si>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</si>
  <si>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</si>
  <si>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</si>
  <si>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</si>
  <si>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</si>
  <si>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</si>
  <si>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</si>
  <si>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</si>
  <si>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</si>
  <si>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</si>
  <si>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</si>
  <si>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</si>
  <si>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</si>
  <si>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</si>
  <si>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</si>
  <si>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</si>
  <si>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</si>
  <si>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</si>
  <si>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</si>
  <si>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</si>
  <si>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</si>
  <si>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</si>
  <si>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</si>
  <si>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</si>
  <si>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</si>
  <si>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</si>
  <si>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</si>
  <si>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</si>
  <si>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</si>
  <si>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</si>
  <si>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</si>
  <si>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</si>
  <si>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</si>
  <si>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</si>
  <si>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</si>
  <si>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</si>
  <si>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</si>
  <si>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</si>
  <si>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</si>
  <si>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</si>
  <si>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</si>
  <si>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</si>
  <si>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</si>
  <si>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</si>
  <si>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</si>
  <si>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</si>
  <si>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</si>
  <si>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</si>
  <si>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</si>
  <si>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</si>
  <si>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</si>
  <si>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</si>
  <si>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</si>
  <si>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</si>
  <si>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</si>
  <si>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</si>
  <si>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</si>
  <si>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</si>
  <si>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</si>
  <si>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</si>
  <si>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</si>
  <si>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</si>
  <si>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</si>
  <si>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</si>
  <si>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</si>
  <si>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</si>
  <si>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</si>
  <si>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</si>
  <si>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</si>
  <si>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</si>
  <si>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</si>
  <si>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</si>
  <si>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</si>
  <si>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</si>
  <si>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</si>
  <si>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</si>
  <si>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</si>
  <si>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</si>
  <si>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</si>
  <si>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</si>
  <si>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</si>
  <si>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</si>
  <si>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</si>
  <si>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</si>
  <si>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</si>
  <si>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</si>
  <si>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</si>
  <si>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</si>
  <si>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</si>
  <si>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</si>
  <si>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</si>
  <si>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</si>
  <si>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</si>
  <si>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</si>
  <si>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</si>
  <si>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</si>
  <si>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</si>
  <si>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</si>
  <si>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</si>
  <si>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</si>
  <si>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</si>
  <si>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</si>
  <si>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</si>
  <si>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</si>
  <si>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</si>
  <si>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</si>
  <si>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</si>
  <si>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</si>
  <si>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</si>
  <si>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</si>
  <si>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</si>
  <si>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</si>
  <si>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</si>
  <si>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</si>
  <si>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</si>
  <si>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</si>
  <si>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</si>
  <si>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</si>
  <si>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</si>
  <si>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</si>
  <si>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</si>
  <si>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</si>
  <si>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</si>
  <si>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</si>
  <si>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</si>
  <si>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</si>
  <si>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</si>
  <si>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</si>
  <si>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</si>
  <si>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</si>
  <si>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</si>
  <si>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</si>
  <si>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</si>
  <si>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</si>
  <si>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</si>
  <si>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</si>
  <si>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</si>
  <si>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</si>
  <si>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</si>
  <si>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</si>
  <si>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</si>
  <si>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</si>
  <si>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</si>
  <si>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</si>
  <si>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</si>
  <si>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</si>
  <si>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</si>
  <si>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</si>
  <si>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</si>
  <si>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</si>
  <si>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</si>
  <si>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</si>
  <si>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</si>
  <si>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</si>
  <si>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</si>
  <si>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</si>
  <si>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</si>
  <si>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</si>
  <si>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</si>
  <si>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</si>
  <si>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</si>
  <si>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</si>
  <si>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</si>
  <si>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</si>
  <si>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</si>
  <si>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</si>
  <si>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</si>
  <si>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</si>
  <si>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</si>
  <si>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</si>
  <si>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</si>
  <si>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</si>
  <si>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</si>
  <si>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</si>
  <si>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</si>
  <si>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</si>
  <si>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</si>
  <si>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</si>
  <si>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</si>
  <si>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</si>
  <si>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</si>
  <si>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</si>
  <si>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</si>
  <si>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</si>
  <si>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</si>
  <si>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</si>
  <si>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</si>
  <si>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</si>
  <si>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</si>
  <si>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</si>
  <si>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</si>
  <si>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</si>
  <si>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</si>
  <si>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</si>
  <si>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</si>
  <si>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</si>
  <si>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</si>
  <si>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</si>
  <si>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</si>
  <si>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</si>
  <si>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</si>
  <si>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</si>
  <si>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</si>
  <si>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</si>
  <si>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</si>
  <si>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</si>
  <si>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</si>
  <si>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</si>
  <si>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</si>
  <si>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</si>
  <si>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</si>
  <si>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</si>
  <si>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</si>
  <si>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</si>
  <si>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</si>
  <si>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</si>
  <si>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</si>
  <si>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</si>
  <si>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</si>
  <si>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</si>
  <si>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</si>
  <si>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</si>
  <si>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</si>
  <si>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</si>
  <si>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</si>
  <si>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</si>
  <si>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</si>
  <si>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</si>
  <si>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</si>
  <si>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</si>
  <si>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</si>
  <si>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</si>
  <si>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</si>
  <si>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</si>
  <si>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</si>
  <si>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</si>
  <si>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</si>
  <si>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</si>
  <si>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</si>
  <si>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</si>
  <si>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</si>
  <si>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</si>
  <si>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</si>
  <si>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</si>
  <si>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</si>
  <si>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</si>
  <si>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</si>
  <si>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</si>
  <si>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</si>
  <si>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</si>
  <si>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</si>
  <si>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</si>
  <si>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</si>
  <si>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</si>
  <si>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</si>
  <si>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</si>
  <si>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</si>
  <si>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</si>
  <si>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</si>
  <si>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</si>
  <si>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</si>
  <si>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</si>
  <si>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</si>
  <si>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</si>
  <si>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</si>
  <si>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</si>
  <si>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</si>
  <si>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</si>
  <si>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</si>
  <si>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</si>
  <si>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</si>
  <si>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</si>
  <si>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</si>
  <si>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</si>
  <si>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</si>
  <si>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</si>
  <si>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</si>
  <si>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</si>
  <si>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</si>
  <si>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</si>
  <si>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</si>
  <si>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</si>
  <si>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</si>
  <si>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</si>
  <si>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</si>
  <si>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</si>
  <si>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</si>
  <si>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</si>
  <si>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</si>
  <si>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</si>
  <si>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</si>
  <si>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</si>
  <si>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</si>
  <si>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</si>
  <si>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</si>
  <si>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</si>
  <si>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</si>
  <si>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</si>
  <si>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</si>
  <si>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</si>
  <si>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</si>
  <si>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</si>
  <si>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</si>
  <si>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</si>
  <si>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</si>
  <si>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</si>
  <si>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</si>
  <si>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</si>
  <si>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</si>
  <si>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</si>
  <si>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</si>
  <si>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</si>
  <si>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</si>
  <si>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</si>
  <si>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</si>
  <si>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</si>
  <si>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</si>
  <si>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</si>
  <si>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</si>
  <si>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</si>
  <si>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</si>
  <si>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</si>
  <si>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</si>
  <si>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</si>
  <si>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</si>
  <si>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</si>
  <si>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</si>
  <si>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</si>
  <si>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</si>
  <si>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</si>
  <si>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</si>
  <si>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</si>
  <si>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</si>
  <si>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</si>
  <si>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</si>
  <si>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</si>
  <si>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</si>
  <si>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</si>
  <si>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</si>
  <si>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</si>
  <si>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</si>
  <si>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</si>
  <si>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</si>
  <si>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</si>
  <si>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</si>
  <si>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</si>
  <si>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</si>
  <si>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</si>
  <si>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</si>
  <si>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</si>
  <si>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</si>
  <si>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</si>
  <si>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</si>
  <si>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</si>
  <si>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</si>
  <si>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</si>
  <si>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</si>
  <si>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</si>
  <si>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</si>
  <si>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</si>
  <si>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</si>
  <si>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</si>
  <si>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</si>
  <si>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</si>
  <si>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</si>
  <si>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</si>
  <si>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</si>
  <si>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</si>
  <si>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</si>
  <si>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</si>
  <si>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</si>
  <si>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</si>
  <si>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</si>
  <si>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</si>
  <si>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</si>
  <si>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</si>
  <si>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</si>
  <si>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</si>
  <si>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</si>
  <si>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</si>
  <si>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</si>
  <si>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</si>
  <si>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</si>
  <si>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</si>
  <si>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</si>
  <si>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</si>
  <si>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</si>
  <si>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</si>
  <si>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</si>
  <si>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</si>
  <si>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</si>
  <si>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</si>
  <si>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</si>
  <si>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</si>
  <si>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</si>
  <si>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</si>
  <si>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</si>
  <si>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</si>
  <si>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</si>
  <si>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</si>
  <si>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</si>
  <si>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</si>
  <si>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</si>
  <si>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</si>
  <si>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</si>
  <si>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</si>
  <si>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</si>
  <si>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</si>
  <si>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</si>
  <si>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</si>
  <si>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</si>
  <si>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</si>
  <si>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</si>
  <si>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</si>
  <si>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</si>
  <si>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</si>
  <si>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</si>
  <si>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</si>
  <si>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</si>
  <si>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</si>
  <si>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</si>
  <si>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</si>
  <si>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</si>
  <si>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</si>
  <si>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</si>
  <si>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</si>
  <si>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</si>
  <si>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</si>
  <si>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</si>
  <si>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</si>
  <si>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</si>
  <si>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</si>
  <si>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</si>
  <si>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</si>
  <si>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</si>
  <si>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</si>
  <si>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</si>
  <si>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</si>
  <si>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</si>
  <si>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</si>
  <si>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</si>
  <si>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</si>
  <si>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</si>
  <si>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</si>
  <si>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</si>
  <si>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</si>
  <si>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</si>
  <si>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</si>
  <si>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</si>
  <si>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</si>
  <si>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</si>
  <si>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</si>
  <si>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</si>
  <si>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</si>
  <si>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</si>
  <si>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</si>
  <si>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</si>
  <si>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</si>
  <si>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</si>
  <si>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</si>
  <si>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</si>
  <si>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</si>
  <si>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</si>
  <si>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</si>
  <si>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</si>
  <si>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</si>
  <si>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</si>
  <si>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</si>
  <si>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</si>
  <si>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</si>
  <si>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</si>
  <si>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</si>
  <si>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</si>
  <si>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</si>
  <si>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</si>
  <si>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</si>
  <si>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</si>
  <si>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</si>
  <si>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</si>
  <si>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</si>
  <si>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</si>
  <si>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</si>
  <si>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</si>
  <si>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</si>
  <si>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</si>
  <si>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</si>
  <si>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</si>
  <si>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</si>
  <si>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</si>
  <si>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</si>
  <si>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</si>
  <si>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</si>
  <si>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</si>
  <si>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</si>
  <si>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</si>
  <si>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</si>
  <si>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</si>
  <si>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</si>
  <si>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</si>
  <si>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</si>
  <si>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</si>
  <si>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</si>
  <si>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</si>
  <si>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</si>
  <si>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</si>
  <si>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</si>
  <si>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</si>
  <si>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</si>
  <si>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</si>
  <si>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</si>
  <si>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</si>
  <si>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</si>
  <si>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</si>
  <si>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</si>
  <si>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</si>
  <si>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</si>
  <si>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</si>
  <si>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</si>
  <si>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</si>
  <si>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</si>
  <si>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</si>
  <si>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</si>
  <si>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</si>
  <si>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</si>
  <si>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</si>
  <si>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</si>
  <si>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</si>
  <si>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</si>
  <si>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</si>
  <si>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</si>
  <si>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</si>
  <si>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</si>
  <si>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</si>
  <si>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</si>
  <si>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</si>
  <si>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</si>
  <si>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</si>
  <si>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</si>
  <si>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</si>
  <si>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</si>
  <si>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</si>
  <si>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</si>
  <si>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</si>
  <si>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</si>
  <si>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</si>
  <si>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</si>
  <si>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</si>
  <si>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</si>
  <si>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</si>
  <si>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</si>
  <si>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</si>
  <si>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</si>
  <si>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</si>
  <si>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</si>
  <si>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</si>
  <si>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</si>
  <si>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</si>
  <si>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</si>
  <si>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</si>
  <si>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</si>
  <si>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</si>
  <si>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</si>
  <si>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</si>
  <si>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</si>
  <si>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</si>
  <si>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</si>
  <si>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</si>
  <si>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</si>
  <si>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</si>
  <si>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</si>
  <si>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</si>
  <si>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</si>
  <si>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</si>
  <si>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</si>
  <si>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</si>
  <si>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</si>
  <si>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</si>
  <si>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</si>
  <si>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</si>
  <si>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</si>
  <si>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</si>
  <si>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</si>
  <si>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</si>
  <si>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</si>
  <si>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</si>
  <si>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</si>
  <si>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</si>
  <si>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</si>
  <si>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</si>
  <si>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</si>
  <si>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</si>
  <si>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</si>
  <si>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</si>
  <si>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</si>
  <si>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</si>
  <si>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</si>
  <si>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</si>
  <si>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</si>
  <si>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</si>
  <si>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</si>
  <si>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</si>
  <si>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</si>
  <si>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</si>
  <si>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</si>
  <si>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</si>
  <si>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</si>
  <si>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</si>
  <si>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</si>
  <si>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35002</t>
  </si>
  <si>
    <t>BREDENE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</si>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</sst>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033FAC5-8669-4137-9A4D-9743194C385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35002</v>
      </c>
      <c r="B6" s="384"/>
      <c r="C6" s="385"/>
    </row>
    <row r="7" spans="1:7" s="382" customFormat="1" ht="15.75" customHeight="1">
      <c r="A7" s="386" t="str">
        <f>txtMunicipality</f>
        <v>BREDENE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18035.380633149878</v>
      </c>
      <c r="D10" s="674">
        <f ca="1">tertiair!C16</f>
        <v>0</v>
      </c>
      <c r="E10" s="674">
        <f ca="1">tertiair!D16</f>
        <v>13197.033225367933</v>
      </c>
      <c r="F10" s="674">
        <f>tertiair!E16</f>
        <v>522.09734290481117</v>
      </c>
      <c r="G10" s="674">
        <f ca="1">tertiair!F16</f>
        <v>3045.2214322040973</v>
      </c>
      <c r="H10" s="674">
        <f>tertiair!G16</f>
        <v>0</v>
      </c>
      <c r="I10" s="674">
        <f>tertiair!H16</f>
        <v>0</v>
      </c>
      <c r="J10" s="674">
        <f>tertiair!I16</f>
        <v>0</v>
      </c>
      <c r="K10" s="674">
        <f>tertiair!J16</f>
        <v>0</v>
      </c>
      <c r="L10" s="674">
        <f>tertiair!K16</f>
        <v>0</v>
      </c>
      <c r="M10" s="674">
        <f ca="1">tertiair!L16</f>
        <v>0</v>
      </c>
      <c r="N10" s="674">
        <f>tertiair!M16</f>
        <v>0</v>
      </c>
      <c r="O10" s="674">
        <f ca="1">tertiair!N16</f>
        <v>195.91327685882686</v>
      </c>
      <c r="P10" s="674">
        <f>tertiair!O16</f>
        <v>1.5633333333333335</v>
      </c>
      <c r="Q10" s="675">
        <f>tertiair!P16</f>
        <v>19.066666666666666</v>
      </c>
      <c r="R10" s="677">
        <f ca="1">SUM(C10:Q10)</f>
        <v>35016.275910485543</v>
      </c>
      <c r="S10" s="67"/>
    </row>
    <row r="11" spans="1:19" s="443" customFormat="1">
      <c r="A11" s="789" t="s">
        <v>214</v>
      </c>
      <c r="B11" s="794"/>
      <c r="C11" s="674">
        <f>huishoudens!B8</f>
        <v>38956.159392027395</v>
      </c>
      <c r="D11" s="674">
        <f>huishoudens!C8</f>
        <v>0</v>
      </c>
      <c r="E11" s="674">
        <f>huishoudens!D8</f>
        <v>57652.093512592503</v>
      </c>
      <c r="F11" s="674">
        <f>huishoudens!E8</f>
        <v>1319.6076393898268</v>
      </c>
      <c r="G11" s="674">
        <f>huishoudens!F8</f>
        <v>45044.009254455952</v>
      </c>
      <c r="H11" s="674">
        <f>huishoudens!G8</f>
        <v>0</v>
      </c>
      <c r="I11" s="674">
        <f>huishoudens!H8</f>
        <v>0</v>
      </c>
      <c r="J11" s="674">
        <f>huishoudens!I8</f>
        <v>0</v>
      </c>
      <c r="K11" s="674">
        <f>huishoudens!J8</f>
        <v>1014.2768889110151</v>
      </c>
      <c r="L11" s="674">
        <f>huishoudens!K8</f>
        <v>0</v>
      </c>
      <c r="M11" s="674">
        <f>huishoudens!L8</f>
        <v>0</v>
      </c>
      <c r="N11" s="674">
        <f>huishoudens!M8</f>
        <v>0</v>
      </c>
      <c r="O11" s="674">
        <f>huishoudens!N8</f>
        <v>8457.5982851621793</v>
      </c>
      <c r="P11" s="674">
        <f>huishoudens!O8</f>
        <v>37.520000000000003</v>
      </c>
      <c r="Q11" s="675">
        <f>huishoudens!P8</f>
        <v>152.53333333333333</v>
      </c>
      <c r="R11" s="677">
        <f>SUM(C11:Q11)</f>
        <v>152633.79830587219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7560.656605829723</v>
      </c>
      <c r="D13" s="674">
        <f>industrie!C18</f>
        <v>0</v>
      </c>
      <c r="E13" s="674">
        <f>industrie!D18</f>
        <v>3853.8409186643321</v>
      </c>
      <c r="F13" s="674">
        <f>industrie!E18</f>
        <v>84.016605424143677</v>
      </c>
      <c r="G13" s="674">
        <f>industrie!F18</f>
        <v>2668.7400062928568</v>
      </c>
      <c r="H13" s="674">
        <f>industrie!G18</f>
        <v>0</v>
      </c>
      <c r="I13" s="674">
        <f>industrie!H18</f>
        <v>0</v>
      </c>
      <c r="J13" s="674">
        <f>industrie!I18</f>
        <v>0</v>
      </c>
      <c r="K13" s="674">
        <f>industrie!J18</f>
        <v>37.201389602824051</v>
      </c>
      <c r="L13" s="674">
        <f>industrie!K18</f>
        <v>0</v>
      </c>
      <c r="M13" s="674">
        <f>industrie!L18</f>
        <v>0</v>
      </c>
      <c r="N13" s="674">
        <f>industrie!M18</f>
        <v>0</v>
      </c>
      <c r="O13" s="674">
        <f>industrie!N18</f>
        <v>247.23085657755189</v>
      </c>
      <c r="P13" s="674">
        <f>industrie!O18</f>
        <v>0</v>
      </c>
      <c r="Q13" s="675">
        <f>industrie!P18</f>
        <v>0</v>
      </c>
      <c r="R13" s="677">
        <f>SUM(C13:Q13)</f>
        <v>14451.68638239143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64552.196631006998</v>
      </c>
      <c r="D16" s="707">
        <f t="shared" ref="D16:R16" ca="1" si="0">SUM(D9:D15)</f>
        <v>0</v>
      </c>
      <c r="E16" s="707">
        <f t="shared" ca="1" si="0"/>
        <v>74702.967656624765</v>
      </c>
      <c r="F16" s="707">
        <f t="shared" si="0"/>
        <v>1925.7215877187814</v>
      </c>
      <c r="G16" s="707">
        <f t="shared" ca="1" si="0"/>
        <v>50757.970692952906</v>
      </c>
      <c r="H16" s="707">
        <f t="shared" si="0"/>
        <v>0</v>
      </c>
      <c r="I16" s="707">
        <f t="shared" si="0"/>
        <v>0</v>
      </c>
      <c r="J16" s="707">
        <f t="shared" si="0"/>
        <v>0</v>
      </c>
      <c r="K16" s="707">
        <f t="shared" si="0"/>
        <v>1051.4782785138391</v>
      </c>
      <c r="L16" s="707">
        <f t="shared" si="0"/>
        <v>0</v>
      </c>
      <c r="M16" s="707">
        <f t="shared" ca="1" si="0"/>
        <v>0</v>
      </c>
      <c r="N16" s="707">
        <f t="shared" si="0"/>
        <v>0</v>
      </c>
      <c r="O16" s="707">
        <f t="shared" ca="1" si="0"/>
        <v>8900.7424185985565</v>
      </c>
      <c r="P16" s="707">
        <f t="shared" si="0"/>
        <v>39.083333333333336</v>
      </c>
      <c r="Q16" s="707">
        <f t="shared" si="0"/>
        <v>171.6</v>
      </c>
      <c r="R16" s="707">
        <f t="shared" ca="1" si="0"/>
        <v>202101.76059874916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348.51487022030608</v>
      </c>
      <c r="D19" s="674">
        <f>transport!C54</f>
        <v>0</v>
      </c>
      <c r="E19" s="674">
        <f>transport!D54</f>
        <v>0</v>
      </c>
      <c r="F19" s="674">
        <f>transport!E54</f>
        <v>0</v>
      </c>
      <c r="G19" s="674">
        <f>transport!F54</f>
        <v>0</v>
      </c>
      <c r="H19" s="674">
        <f>transport!G54</f>
        <v>1579.6624533796912</v>
      </c>
      <c r="I19" s="674">
        <f>transport!H54</f>
        <v>0</v>
      </c>
      <c r="J19" s="674">
        <f>transport!I54</f>
        <v>0</v>
      </c>
      <c r="K19" s="674">
        <f>transport!J54</f>
        <v>0</v>
      </c>
      <c r="L19" s="674">
        <f>transport!K54</f>
        <v>0</v>
      </c>
      <c r="M19" s="674">
        <f>transport!L54</f>
        <v>0</v>
      </c>
      <c r="N19" s="674">
        <f>transport!M54</f>
        <v>67.635078376855191</v>
      </c>
      <c r="O19" s="674">
        <f>transport!N54</f>
        <v>0</v>
      </c>
      <c r="P19" s="674">
        <f>transport!O54</f>
        <v>0</v>
      </c>
      <c r="Q19" s="675">
        <f>transport!P54</f>
        <v>0</v>
      </c>
      <c r="R19" s="677">
        <f>SUM(C19:Q19)</f>
        <v>1995.8124019768525</v>
      </c>
      <c r="S19" s="67"/>
    </row>
    <row r="20" spans="1:19" s="443" customFormat="1">
      <c r="A20" s="789" t="s">
        <v>296</v>
      </c>
      <c r="B20" s="794"/>
      <c r="C20" s="674">
        <f>transport!B14</f>
        <v>0.3478813947482598</v>
      </c>
      <c r="D20" s="674">
        <f>transport!C14</f>
        <v>0</v>
      </c>
      <c r="E20" s="674">
        <f>transport!D14</f>
        <v>1.1906554710527306</v>
      </c>
      <c r="F20" s="674">
        <f>transport!E14</f>
        <v>122.1327829239124</v>
      </c>
      <c r="G20" s="674">
        <f>transport!F14</f>
        <v>0</v>
      </c>
      <c r="H20" s="674">
        <f>transport!G14</f>
        <v>22781.005731850735</v>
      </c>
      <c r="I20" s="674">
        <f>transport!H14</f>
        <v>3904.925875183671</v>
      </c>
      <c r="J20" s="674">
        <f>transport!I14</f>
        <v>0</v>
      </c>
      <c r="K20" s="674">
        <f>transport!J14</f>
        <v>0</v>
      </c>
      <c r="L20" s="674">
        <f>transport!K14</f>
        <v>0</v>
      </c>
      <c r="M20" s="674">
        <f>transport!L14</f>
        <v>0</v>
      </c>
      <c r="N20" s="674">
        <f>transport!M14</f>
        <v>1161.1114339340429</v>
      </c>
      <c r="O20" s="674">
        <f>transport!N14</f>
        <v>0</v>
      </c>
      <c r="P20" s="674">
        <f>transport!O14</f>
        <v>0</v>
      </c>
      <c r="Q20" s="675">
        <f>transport!P14</f>
        <v>0</v>
      </c>
      <c r="R20" s="677">
        <f>SUM(C20:Q20)</f>
        <v>27970.714360758164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348.86275161505432</v>
      </c>
      <c r="D22" s="792">
        <f t="shared" ref="D22:R22" si="1">SUM(D18:D21)</f>
        <v>0</v>
      </c>
      <c r="E22" s="792">
        <f t="shared" si="1"/>
        <v>1.1906554710527306</v>
      </c>
      <c r="F22" s="792">
        <f t="shared" si="1"/>
        <v>122.1327829239124</v>
      </c>
      <c r="G22" s="792">
        <f t="shared" si="1"/>
        <v>0</v>
      </c>
      <c r="H22" s="792">
        <f t="shared" si="1"/>
        <v>24360.668185230425</v>
      </c>
      <c r="I22" s="792">
        <f t="shared" si="1"/>
        <v>3904.925875183671</v>
      </c>
      <c r="J22" s="792">
        <f t="shared" si="1"/>
        <v>0</v>
      </c>
      <c r="K22" s="792">
        <f t="shared" si="1"/>
        <v>0</v>
      </c>
      <c r="L22" s="792">
        <f t="shared" si="1"/>
        <v>0</v>
      </c>
      <c r="M22" s="792">
        <f t="shared" si="1"/>
        <v>0</v>
      </c>
      <c r="N22" s="792">
        <f t="shared" si="1"/>
        <v>1228.7465123108982</v>
      </c>
      <c r="O22" s="792">
        <f t="shared" si="1"/>
        <v>0</v>
      </c>
      <c r="P22" s="792">
        <f t="shared" si="1"/>
        <v>0</v>
      </c>
      <c r="Q22" s="792">
        <f t="shared" si="1"/>
        <v>0</v>
      </c>
      <c r="R22" s="792">
        <f t="shared" si="1"/>
        <v>29966.526762735015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58.472121535794201</v>
      </c>
      <c r="D24" s="674">
        <f>+landbouw!C8</f>
        <v>0</v>
      </c>
      <c r="E24" s="674">
        <f>+landbouw!D8</f>
        <v>25.195170760056993</v>
      </c>
      <c r="F24" s="674">
        <f>+landbouw!E8</f>
        <v>0.6123327154209306</v>
      </c>
      <c r="G24" s="674">
        <f>+landbouw!F8</f>
        <v>250.30510954968631</v>
      </c>
      <c r="H24" s="674">
        <f>+landbouw!G8</f>
        <v>0</v>
      </c>
      <c r="I24" s="674">
        <f>+landbouw!H8</f>
        <v>0</v>
      </c>
      <c r="J24" s="674">
        <f>+landbouw!I8</f>
        <v>0</v>
      </c>
      <c r="K24" s="674">
        <f>+landbouw!J8</f>
        <v>5.2220845477126225</v>
      </c>
      <c r="L24" s="674">
        <f>+landbouw!K8</f>
        <v>0</v>
      </c>
      <c r="M24" s="674">
        <f>+landbouw!L8</f>
        <v>0</v>
      </c>
      <c r="N24" s="674">
        <f>+landbouw!M8</f>
        <v>0</v>
      </c>
      <c r="O24" s="674">
        <f>+landbouw!N8</f>
        <v>0</v>
      </c>
      <c r="P24" s="674">
        <f>+landbouw!O8</f>
        <v>0</v>
      </c>
      <c r="Q24" s="675">
        <f>+landbouw!P8</f>
        <v>0</v>
      </c>
      <c r="R24" s="677">
        <f>SUM(C24:Q24)</f>
        <v>339.80681910867105</v>
      </c>
      <c r="S24" s="67"/>
    </row>
    <row r="25" spans="1:19" s="443" customFormat="1" ht="15" thickBot="1">
      <c r="A25" s="811" t="s">
        <v>889</v>
      </c>
      <c r="B25" s="966"/>
      <c r="C25" s="967">
        <f>IF(Onbekend_ele_kWh="---",0,Onbekend_ele_kWh)/1000+IF(REST_rest_ele_kWh="---",0,REST_rest_ele_kWh)/1000</f>
        <v>1447.0255874873501</v>
      </c>
      <c r="D25" s="967"/>
      <c r="E25" s="967">
        <f>IF(onbekend_gas_kWh="---",0,onbekend_gas_kWh)/1000+IF(REST_rest_gas_kWh="---",0,REST_rest_gas_kWh)/1000</f>
        <v>2611.6485153997096</v>
      </c>
      <c r="F25" s="967"/>
      <c r="G25" s="967"/>
      <c r="H25" s="967"/>
      <c r="I25" s="967"/>
      <c r="J25" s="967"/>
      <c r="K25" s="967"/>
      <c r="L25" s="967"/>
      <c r="M25" s="967"/>
      <c r="N25" s="967"/>
      <c r="O25" s="967"/>
      <c r="P25" s="967"/>
      <c r="Q25" s="968"/>
      <c r="R25" s="677">
        <f>SUM(C25:Q25)</f>
        <v>4058.6741028870597</v>
      </c>
      <c r="S25" s="67"/>
    </row>
    <row r="26" spans="1:19" s="443" customFormat="1" ht="15.75" thickBot="1">
      <c r="A26" s="680" t="s">
        <v>890</v>
      </c>
      <c r="B26" s="797"/>
      <c r="C26" s="792">
        <f>SUM(C24:C25)</f>
        <v>1505.4977090231444</v>
      </c>
      <c r="D26" s="792">
        <f t="shared" ref="D26:R26" si="2">SUM(D24:D25)</f>
        <v>0</v>
      </c>
      <c r="E26" s="792">
        <f t="shared" si="2"/>
        <v>2636.8436861597665</v>
      </c>
      <c r="F26" s="792">
        <f t="shared" si="2"/>
        <v>0.6123327154209306</v>
      </c>
      <c r="G26" s="792">
        <f t="shared" si="2"/>
        <v>250.30510954968631</v>
      </c>
      <c r="H26" s="792">
        <f t="shared" si="2"/>
        <v>0</v>
      </c>
      <c r="I26" s="792">
        <f t="shared" si="2"/>
        <v>0</v>
      </c>
      <c r="J26" s="792">
        <f t="shared" si="2"/>
        <v>0</v>
      </c>
      <c r="K26" s="792">
        <f t="shared" si="2"/>
        <v>5.2220845477126225</v>
      </c>
      <c r="L26" s="792">
        <f t="shared" si="2"/>
        <v>0</v>
      </c>
      <c r="M26" s="792">
        <f t="shared" si="2"/>
        <v>0</v>
      </c>
      <c r="N26" s="792">
        <f t="shared" si="2"/>
        <v>0</v>
      </c>
      <c r="O26" s="792">
        <f t="shared" si="2"/>
        <v>0</v>
      </c>
      <c r="P26" s="792">
        <f t="shared" si="2"/>
        <v>0</v>
      </c>
      <c r="Q26" s="792">
        <f t="shared" si="2"/>
        <v>0</v>
      </c>
      <c r="R26" s="792">
        <f t="shared" si="2"/>
        <v>4398.4809219957306</v>
      </c>
      <c r="S26" s="67"/>
    </row>
    <row r="27" spans="1:19" s="443" customFormat="1" ht="17.25" thickTop="1" thickBot="1">
      <c r="A27" s="681" t="s">
        <v>109</v>
      </c>
      <c r="B27" s="784"/>
      <c r="C27" s="682">
        <f ca="1">C22+C16+C26</f>
        <v>66406.557091645198</v>
      </c>
      <c r="D27" s="682">
        <f t="shared" ref="D27:R27" ca="1" si="3">D22+D16+D26</f>
        <v>0</v>
      </c>
      <c r="E27" s="682">
        <f t="shared" ca="1" si="3"/>
        <v>77341.001998255597</v>
      </c>
      <c r="F27" s="682">
        <f t="shared" si="3"/>
        <v>2048.4667033581145</v>
      </c>
      <c r="G27" s="682">
        <f t="shared" ca="1" si="3"/>
        <v>51008.275802502591</v>
      </c>
      <c r="H27" s="682">
        <f t="shared" si="3"/>
        <v>24360.668185230425</v>
      </c>
      <c r="I27" s="682">
        <f t="shared" si="3"/>
        <v>3904.925875183671</v>
      </c>
      <c r="J27" s="682">
        <f t="shared" si="3"/>
        <v>0</v>
      </c>
      <c r="K27" s="682">
        <f t="shared" si="3"/>
        <v>1056.7003630615518</v>
      </c>
      <c r="L27" s="682">
        <f t="shared" si="3"/>
        <v>0</v>
      </c>
      <c r="M27" s="682">
        <f t="shared" ca="1" si="3"/>
        <v>0</v>
      </c>
      <c r="N27" s="682">
        <f t="shared" si="3"/>
        <v>1228.7465123108982</v>
      </c>
      <c r="O27" s="682">
        <f t="shared" ca="1" si="3"/>
        <v>8900.7424185985565</v>
      </c>
      <c r="P27" s="682">
        <f t="shared" si="3"/>
        <v>39.083333333333336</v>
      </c>
      <c r="Q27" s="682">
        <f t="shared" si="3"/>
        <v>171.6</v>
      </c>
      <c r="R27" s="682">
        <f t="shared" ca="1" si="3"/>
        <v>236466.76828347991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3895.2186145853034</v>
      </c>
      <c r="D40" s="674">
        <f ca="1">tertiair!C20</f>
        <v>0</v>
      </c>
      <c r="E40" s="674">
        <f ca="1">tertiair!D20</f>
        <v>2665.8007115243227</v>
      </c>
      <c r="F40" s="674">
        <f>tertiair!E20</f>
        <v>118.51609683939213</v>
      </c>
      <c r="G40" s="674">
        <f ca="1">tertiair!F20</f>
        <v>813.07412239849407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7492.6095453475127</v>
      </c>
    </row>
    <row r="41" spans="1:18">
      <c r="A41" s="802" t="s">
        <v>214</v>
      </c>
      <c r="B41" s="809"/>
      <c r="C41" s="674">
        <f ca="1">huishoudens!B12</f>
        <v>8413.6154541516516</v>
      </c>
      <c r="D41" s="674">
        <f ca="1">huishoudens!C12</f>
        <v>0</v>
      </c>
      <c r="E41" s="674">
        <f>huishoudens!D12</f>
        <v>11645.722889543686</v>
      </c>
      <c r="F41" s="674">
        <f>huishoudens!E12</f>
        <v>299.5509341414907</v>
      </c>
      <c r="G41" s="674">
        <f>huishoudens!F12</f>
        <v>12026.75047093974</v>
      </c>
      <c r="H41" s="674">
        <f>huishoudens!G12</f>
        <v>0</v>
      </c>
      <c r="I41" s="674">
        <f>huishoudens!H12</f>
        <v>0</v>
      </c>
      <c r="J41" s="674">
        <f>huishoudens!I12</f>
        <v>0</v>
      </c>
      <c r="K41" s="674">
        <f>huishoudens!J12</f>
        <v>359.05401867449933</v>
      </c>
      <c r="L41" s="674">
        <f>huishoudens!K12</f>
        <v>0</v>
      </c>
      <c r="M41" s="674">
        <f>huishoudens!L12</f>
        <v>0</v>
      </c>
      <c r="N41" s="674">
        <f>huishoudens!M12</f>
        <v>0</v>
      </c>
      <c r="O41" s="674">
        <f>huishoudens!N12</f>
        <v>0</v>
      </c>
      <c r="P41" s="674">
        <f>huishoudens!O12</f>
        <v>0</v>
      </c>
      <c r="Q41" s="749">
        <f>huishoudens!P12</f>
        <v>0</v>
      </c>
      <c r="R41" s="830">
        <f t="shared" ca="1" si="4"/>
        <v>32744.693767451066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1632.9242475417477</v>
      </c>
      <c r="D43" s="674">
        <f ca="1">industrie!C22</f>
        <v>0</v>
      </c>
      <c r="E43" s="674">
        <f>industrie!D22</f>
        <v>778.47586557019508</v>
      </c>
      <c r="F43" s="674">
        <f>industrie!E22</f>
        <v>19.071769431280615</v>
      </c>
      <c r="G43" s="674">
        <f>industrie!F22</f>
        <v>712.55358168019279</v>
      </c>
      <c r="H43" s="674">
        <f>industrie!G22</f>
        <v>0</v>
      </c>
      <c r="I43" s="674">
        <f>industrie!H22</f>
        <v>0</v>
      </c>
      <c r="J43" s="674">
        <f>industrie!I22</f>
        <v>0</v>
      </c>
      <c r="K43" s="674">
        <f>industrie!J22</f>
        <v>13.169291919399713</v>
      </c>
      <c r="L43" s="674">
        <f>industrie!K22</f>
        <v>0</v>
      </c>
      <c r="M43" s="674">
        <f>industrie!L22</f>
        <v>0</v>
      </c>
      <c r="N43" s="674">
        <f>industrie!M22</f>
        <v>0</v>
      </c>
      <c r="O43" s="674">
        <f>industrie!N22</f>
        <v>0</v>
      </c>
      <c r="P43" s="674">
        <f>industrie!O22</f>
        <v>0</v>
      </c>
      <c r="Q43" s="749">
        <f>industrie!P22</f>
        <v>0</v>
      </c>
      <c r="R43" s="829">
        <f t="shared" ca="1" si="4"/>
        <v>3156.1947561428165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13941.758316278701</v>
      </c>
      <c r="D46" s="707">
        <f t="shared" ref="D46:Q46" ca="1" si="5">SUM(D39:D45)</f>
        <v>0</v>
      </c>
      <c r="E46" s="707">
        <f t="shared" ca="1" si="5"/>
        <v>15089.999466638204</v>
      </c>
      <c r="F46" s="707">
        <f t="shared" si="5"/>
        <v>437.13880041216339</v>
      </c>
      <c r="G46" s="707">
        <f t="shared" ca="1" si="5"/>
        <v>13552.378175018426</v>
      </c>
      <c r="H46" s="707">
        <f t="shared" si="5"/>
        <v>0</v>
      </c>
      <c r="I46" s="707">
        <f t="shared" si="5"/>
        <v>0</v>
      </c>
      <c r="J46" s="707">
        <f t="shared" si="5"/>
        <v>0</v>
      </c>
      <c r="K46" s="707">
        <f t="shared" si="5"/>
        <v>372.22331059389904</v>
      </c>
      <c r="L46" s="707">
        <f t="shared" si="5"/>
        <v>0</v>
      </c>
      <c r="M46" s="707">
        <f t="shared" ca="1" si="5"/>
        <v>0</v>
      </c>
      <c r="N46" s="707">
        <f t="shared" si="5"/>
        <v>0</v>
      </c>
      <c r="O46" s="707">
        <f t="shared" ca="1" si="5"/>
        <v>0</v>
      </c>
      <c r="P46" s="707">
        <f t="shared" si="5"/>
        <v>0</v>
      </c>
      <c r="Q46" s="707">
        <f t="shared" si="5"/>
        <v>0</v>
      </c>
      <c r="R46" s="707">
        <f ca="1">SUM(R39:R45)</f>
        <v>43393.498068941393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75.271026298535233</v>
      </c>
      <c r="D49" s="674">
        <f ca="1">transport!C58</f>
        <v>0</v>
      </c>
      <c r="E49" s="674">
        <f>transport!D58</f>
        <v>0</v>
      </c>
      <c r="F49" s="674">
        <f>transport!E58</f>
        <v>0</v>
      </c>
      <c r="G49" s="674">
        <f>transport!F58</f>
        <v>0</v>
      </c>
      <c r="H49" s="674">
        <f>transport!G58</f>
        <v>421.76987505237759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497.0409013509128</v>
      </c>
    </row>
    <row r="50" spans="1:18">
      <c r="A50" s="805" t="s">
        <v>296</v>
      </c>
      <c r="B50" s="815"/>
      <c r="C50" s="973">
        <f ca="1">transport!B18</f>
        <v>7.5134210475193947E-2</v>
      </c>
      <c r="D50" s="973">
        <f>transport!C18</f>
        <v>0</v>
      </c>
      <c r="E50" s="973">
        <f>transport!D18</f>
        <v>0.2405124051526516</v>
      </c>
      <c r="F50" s="973">
        <f>transport!E18</f>
        <v>27.724141723728117</v>
      </c>
      <c r="G50" s="973">
        <f>transport!F18</f>
        <v>0</v>
      </c>
      <c r="H50" s="973">
        <f>transport!G18</f>
        <v>6082.5285304041463</v>
      </c>
      <c r="I50" s="973">
        <f>transport!H18</f>
        <v>972.32654292073403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7082.8948616642365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75.346160509010431</v>
      </c>
      <c r="D52" s="707">
        <f t="shared" ref="D52:Q52" ca="1" si="6">SUM(D48:D51)</f>
        <v>0</v>
      </c>
      <c r="E52" s="707">
        <f t="shared" si="6"/>
        <v>0.2405124051526516</v>
      </c>
      <c r="F52" s="707">
        <f t="shared" si="6"/>
        <v>27.724141723728117</v>
      </c>
      <c r="G52" s="707">
        <f t="shared" si="6"/>
        <v>0</v>
      </c>
      <c r="H52" s="707">
        <f t="shared" si="6"/>
        <v>6504.2984054565241</v>
      </c>
      <c r="I52" s="707">
        <f t="shared" si="6"/>
        <v>972.32654292073403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7579.935763015149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12.628604900186197</v>
      </c>
      <c r="D54" s="973">
        <f ca="1">+landbouw!C12</f>
        <v>0</v>
      </c>
      <c r="E54" s="973">
        <f>+landbouw!D12</f>
        <v>5.0894244935315127</v>
      </c>
      <c r="F54" s="973">
        <f>+landbouw!E12</f>
        <v>0.13899952640055124</v>
      </c>
      <c r="G54" s="973">
        <f>+landbouw!F12</f>
        <v>66.831464249766242</v>
      </c>
      <c r="H54" s="973">
        <f>+landbouw!G12</f>
        <v>0</v>
      </c>
      <c r="I54" s="973">
        <f>+landbouw!H12</f>
        <v>0</v>
      </c>
      <c r="J54" s="973">
        <f>+landbouw!I12</f>
        <v>0</v>
      </c>
      <c r="K54" s="973">
        <f>+landbouw!J12</f>
        <v>1.8486179298902683</v>
      </c>
      <c r="L54" s="973">
        <f>+landbouw!K12</f>
        <v>0</v>
      </c>
      <c r="M54" s="973">
        <f>+landbouw!L12</f>
        <v>0</v>
      </c>
      <c r="N54" s="973">
        <f>+landbouw!M12</f>
        <v>0</v>
      </c>
      <c r="O54" s="973">
        <f>+landbouw!N12</f>
        <v>0</v>
      </c>
      <c r="P54" s="973">
        <f>+landbouw!O12</f>
        <v>0</v>
      </c>
      <c r="Q54" s="974">
        <f>+landbouw!P12</f>
        <v>0</v>
      </c>
      <c r="R54" s="706">
        <f ca="1">SUM(C54:Q54)</f>
        <v>86.537111099774776</v>
      </c>
    </row>
    <row r="55" spans="1:18" ht="15" thickBot="1">
      <c r="A55" s="805" t="s">
        <v>889</v>
      </c>
      <c r="B55" s="815"/>
      <c r="C55" s="973">
        <f ca="1">C25*'EF ele_warmte'!B12</f>
        <v>312.52354019087591</v>
      </c>
      <c r="D55" s="973"/>
      <c r="E55" s="973">
        <f>E25*EF_CO2_aardgas</f>
        <v>527.55300011074132</v>
      </c>
      <c r="F55" s="973"/>
      <c r="G55" s="973"/>
      <c r="H55" s="973"/>
      <c r="I55" s="973"/>
      <c r="J55" s="973"/>
      <c r="K55" s="973"/>
      <c r="L55" s="973"/>
      <c r="M55" s="973"/>
      <c r="N55" s="973"/>
      <c r="O55" s="973"/>
      <c r="P55" s="973"/>
      <c r="Q55" s="974"/>
      <c r="R55" s="706">
        <f ca="1">SUM(C55:Q55)</f>
        <v>840.07654030161723</v>
      </c>
    </row>
    <row r="56" spans="1:18" ht="15.75" thickBot="1">
      <c r="A56" s="803" t="s">
        <v>890</v>
      </c>
      <c r="B56" s="816"/>
      <c r="C56" s="707">
        <f ca="1">SUM(C54:C55)</f>
        <v>325.1521450910621</v>
      </c>
      <c r="D56" s="707">
        <f t="shared" ref="D56:Q56" ca="1" si="7">SUM(D54:D55)</f>
        <v>0</v>
      </c>
      <c r="E56" s="707">
        <f t="shared" si="7"/>
        <v>532.64242460427283</v>
      </c>
      <c r="F56" s="707">
        <f t="shared" si="7"/>
        <v>0.13899952640055124</v>
      </c>
      <c r="G56" s="707">
        <f t="shared" si="7"/>
        <v>66.831464249766242</v>
      </c>
      <c r="H56" s="707">
        <f t="shared" si="7"/>
        <v>0</v>
      </c>
      <c r="I56" s="707">
        <f t="shared" si="7"/>
        <v>0</v>
      </c>
      <c r="J56" s="707">
        <f t="shared" si="7"/>
        <v>0</v>
      </c>
      <c r="K56" s="707">
        <f t="shared" si="7"/>
        <v>1.8486179298902683</v>
      </c>
      <c r="L56" s="707">
        <f t="shared" si="7"/>
        <v>0</v>
      </c>
      <c r="M56" s="707">
        <f t="shared" si="7"/>
        <v>0</v>
      </c>
      <c r="N56" s="707">
        <f t="shared" si="7"/>
        <v>0</v>
      </c>
      <c r="O56" s="707">
        <f t="shared" si="7"/>
        <v>0</v>
      </c>
      <c r="P56" s="707">
        <f t="shared" si="7"/>
        <v>0</v>
      </c>
      <c r="Q56" s="708">
        <f t="shared" si="7"/>
        <v>0</v>
      </c>
      <c r="R56" s="709">
        <f ca="1">SUM(R54:R55)</f>
        <v>926.61365140139196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14342.256621878774</v>
      </c>
      <c r="D61" s="715">
        <f t="shared" ref="D61:Q61" ca="1" si="8">D46+D52+D56</f>
        <v>0</v>
      </c>
      <c r="E61" s="715">
        <f t="shared" ca="1" si="8"/>
        <v>15622.882403647631</v>
      </c>
      <c r="F61" s="715">
        <f t="shared" si="8"/>
        <v>465.00194166229204</v>
      </c>
      <c r="G61" s="715">
        <f t="shared" ca="1" si="8"/>
        <v>13619.209639268192</v>
      </c>
      <c r="H61" s="715">
        <f t="shared" si="8"/>
        <v>6504.2984054565241</v>
      </c>
      <c r="I61" s="715">
        <f t="shared" si="8"/>
        <v>972.32654292073403</v>
      </c>
      <c r="J61" s="715">
        <f t="shared" si="8"/>
        <v>0</v>
      </c>
      <c r="K61" s="715">
        <f t="shared" si="8"/>
        <v>374.07192852378932</v>
      </c>
      <c r="L61" s="715">
        <f t="shared" si="8"/>
        <v>0</v>
      </c>
      <c r="M61" s="715">
        <f t="shared" ca="1" si="8"/>
        <v>0</v>
      </c>
      <c r="N61" s="715">
        <f t="shared" si="8"/>
        <v>0</v>
      </c>
      <c r="O61" s="715">
        <f t="shared" ca="1" si="8"/>
        <v>0</v>
      </c>
      <c r="P61" s="715">
        <f t="shared" si="8"/>
        <v>0</v>
      </c>
      <c r="Q61" s="715">
        <f t="shared" si="8"/>
        <v>0</v>
      </c>
      <c r="R61" s="715">
        <f ca="1">R46+R52+R56</f>
        <v>51900.047483357936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0.21597651271222454</v>
      </c>
      <c r="D63" s="759">
        <f t="shared" ca="1" si="9"/>
        <v>0</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1509.4683048634029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1509.4683048634029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38956.159392027395</v>
      </c>
      <c r="C4" s="447">
        <f>huishoudens!C8</f>
        <v>0</v>
      </c>
      <c r="D4" s="447">
        <f>huishoudens!D8</f>
        <v>57652.093512592503</v>
      </c>
      <c r="E4" s="447">
        <f>huishoudens!E8</f>
        <v>1319.6076393898268</v>
      </c>
      <c r="F4" s="447">
        <f>huishoudens!F8</f>
        <v>45044.009254455952</v>
      </c>
      <c r="G4" s="447">
        <f>huishoudens!G8</f>
        <v>0</v>
      </c>
      <c r="H4" s="447">
        <f>huishoudens!H8</f>
        <v>0</v>
      </c>
      <c r="I4" s="447">
        <f>huishoudens!I8</f>
        <v>0</v>
      </c>
      <c r="J4" s="447">
        <f>huishoudens!J8</f>
        <v>1014.2768889110151</v>
      </c>
      <c r="K4" s="447">
        <f>huishoudens!K8</f>
        <v>0</v>
      </c>
      <c r="L4" s="447">
        <f>huishoudens!L8</f>
        <v>0</v>
      </c>
      <c r="M4" s="447">
        <f>huishoudens!M8</f>
        <v>0</v>
      </c>
      <c r="N4" s="447">
        <f>huishoudens!N8</f>
        <v>8457.5982851621793</v>
      </c>
      <c r="O4" s="447">
        <f>huishoudens!O8</f>
        <v>37.520000000000003</v>
      </c>
      <c r="P4" s="448">
        <f>huishoudens!P8</f>
        <v>152.53333333333333</v>
      </c>
      <c r="Q4" s="449">
        <f>SUM(B4:P4)</f>
        <v>152633.79830587219</v>
      </c>
    </row>
    <row r="5" spans="1:17">
      <c r="A5" s="446" t="s">
        <v>149</v>
      </c>
      <c r="B5" s="447">
        <f ca="1">tertiair!B16</f>
        <v>16413.416633149878</v>
      </c>
      <c r="C5" s="447">
        <f ca="1">tertiair!C16</f>
        <v>0</v>
      </c>
      <c r="D5" s="447">
        <f ca="1">tertiair!D16</f>
        <v>13197.033225367933</v>
      </c>
      <c r="E5" s="447">
        <f>tertiair!E16</f>
        <v>522.09734290481117</v>
      </c>
      <c r="F5" s="447">
        <f ca="1">tertiair!F16</f>
        <v>3045.2214322040973</v>
      </c>
      <c r="G5" s="447">
        <f>tertiair!G16</f>
        <v>0</v>
      </c>
      <c r="H5" s="447">
        <f>tertiair!H16</f>
        <v>0</v>
      </c>
      <c r="I5" s="447">
        <f>tertiair!I16</f>
        <v>0</v>
      </c>
      <c r="J5" s="447">
        <f>tertiair!J16</f>
        <v>0</v>
      </c>
      <c r="K5" s="447">
        <f>tertiair!K16</f>
        <v>0</v>
      </c>
      <c r="L5" s="447">
        <f ca="1">tertiair!L16</f>
        <v>0</v>
      </c>
      <c r="M5" s="447">
        <f>tertiair!M16</f>
        <v>0</v>
      </c>
      <c r="N5" s="447">
        <f ca="1">tertiair!N16</f>
        <v>195.91327685882686</v>
      </c>
      <c r="O5" s="447">
        <f>tertiair!O16</f>
        <v>1.5633333333333335</v>
      </c>
      <c r="P5" s="448">
        <f>tertiair!P16</f>
        <v>19.066666666666666</v>
      </c>
      <c r="Q5" s="446">
        <f t="shared" ref="Q5:Q14" ca="1" si="0">SUM(B5:P5)</f>
        <v>33394.311910485543</v>
      </c>
    </row>
    <row r="6" spans="1:17">
      <c r="A6" s="446" t="s">
        <v>187</v>
      </c>
      <c r="B6" s="447">
        <f>'openbare verlichting'!B8</f>
        <v>1621.9639999999999</v>
      </c>
      <c r="C6" s="447"/>
      <c r="D6" s="447"/>
      <c r="E6" s="447"/>
      <c r="F6" s="447"/>
      <c r="G6" s="447"/>
      <c r="H6" s="447"/>
      <c r="I6" s="447"/>
      <c r="J6" s="447"/>
      <c r="K6" s="447"/>
      <c r="L6" s="447"/>
      <c r="M6" s="447"/>
      <c r="N6" s="447"/>
      <c r="O6" s="447"/>
      <c r="P6" s="448"/>
      <c r="Q6" s="446">
        <f t="shared" si="0"/>
        <v>1621.9639999999999</v>
      </c>
    </row>
    <row r="7" spans="1:17">
      <c r="A7" s="446" t="s">
        <v>105</v>
      </c>
      <c r="B7" s="447">
        <f>landbouw!B8</f>
        <v>58.472121535794201</v>
      </c>
      <c r="C7" s="447">
        <f>landbouw!C8</f>
        <v>0</v>
      </c>
      <c r="D7" s="447">
        <f>landbouw!D8</f>
        <v>25.195170760056993</v>
      </c>
      <c r="E7" s="447">
        <f>landbouw!E8</f>
        <v>0.6123327154209306</v>
      </c>
      <c r="F7" s="447">
        <f>landbouw!F8</f>
        <v>250.30510954968631</v>
      </c>
      <c r="G7" s="447">
        <f>landbouw!G8</f>
        <v>0</v>
      </c>
      <c r="H7" s="447">
        <f>landbouw!H8</f>
        <v>0</v>
      </c>
      <c r="I7" s="447">
        <f>landbouw!I8</f>
        <v>0</v>
      </c>
      <c r="J7" s="447">
        <f>landbouw!J8</f>
        <v>5.2220845477126225</v>
      </c>
      <c r="K7" s="447">
        <f>landbouw!K8</f>
        <v>0</v>
      </c>
      <c r="L7" s="447">
        <f>landbouw!L8</f>
        <v>0</v>
      </c>
      <c r="M7" s="447">
        <f>landbouw!M8</f>
        <v>0</v>
      </c>
      <c r="N7" s="447">
        <f>landbouw!N8</f>
        <v>0</v>
      </c>
      <c r="O7" s="447">
        <f>landbouw!O8</f>
        <v>0</v>
      </c>
      <c r="P7" s="448">
        <f>landbouw!P8</f>
        <v>0</v>
      </c>
      <c r="Q7" s="446">
        <f t="shared" si="0"/>
        <v>339.80681910867105</v>
      </c>
    </row>
    <row r="8" spans="1:17">
      <c r="A8" s="446" t="s">
        <v>637</v>
      </c>
      <c r="B8" s="447">
        <f>industrie!B18</f>
        <v>7560.656605829723</v>
      </c>
      <c r="C8" s="447">
        <f>industrie!C18</f>
        <v>0</v>
      </c>
      <c r="D8" s="447">
        <f>industrie!D18</f>
        <v>3853.8409186643321</v>
      </c>
      <c r="E8" s="447">
        <f>industrie!E18</f>
        <v>84.016605424143677</v>
      </c>
      <c r="F8" s="447">
        <f>industrie!F18</f>
        <v>2668.7400062928568</v>
      </c>
      <c r="G8" s="447">
        <f>industrie!G18</f>
        <v>0</v>
      </c>
      <c r="H8" s="447">
        <f>industrie!H18</f>
        <v>0</v>
      </c>
      <c r="I8" s="447">
        <f>industrie!I18</f>
        <v>0</v>
      </c>
      <c r="J8" s="447">
        <f>industrie!J18</f>
        <v>37.201389602824051</v>
      </c>
      <c r="K8" s="447">
        <f>industrie!K18</f>
        <v>0</v>
      </c>
      <c r="L8" s="447">
        <f>industrie!L18</f>
        <v>0</v>
      </c>
      <c r="M8" s="447">
        <f>industrie!M18</f>
        <v>0</v>
      </c>
      <c r="N8" s="447">
        <f>industrie!N18</f>
        <v>247.23085657755189</v>
      </c>
      <c r="O8" s="447">
        <f>industrie!O18</f>
        <v>0</v>
      </c>
      <c r="P8" s="448">
        <f>industrie!P18</f>
        <v>0</v>
      </c>
      <c r="Q8" s="446">
        <f t="shared" si="0"/>
        <v>14451.68638239143</v>
      </c>
    </row>
    <row r="9" spans="1:17" s="452" customFormat="1">
      <c r="A9" s="450" t="s">
        <v>556</v>
      </c>
      <c r="B9" s="451">
        <f>transport!B14</f>
        <v>0.3478813947482598</v>
      </c>
      <c r="C9" s="451">
        <f>transport!C14</f>
        <v>0</v>
      </c>
      <c r="D9" s="451">
        <f>transport!D14</f>
        <v>1.1906554710527306</v>
      </c>
      <c r="E9" s="451">
        <f>transport!E14</f>
        <v>122.1327829239124</v>
      </c>
      <c r="F9" s="451">
        <f>transport!F14</f>
        <v>0</v>
      </c>
      <c r="G9" s="451">
        <f>transport!G14</f>
        <v>22781.005731850735</v>
      </c>
      <c r="H9" s="451">
        <f>transport!H14</f>
        <v>3904.925875183671</v>
      </c>
      <c r="I9" s="451">
        <f>transport!I14</f>
        <v>0</v>
      </c>
      <c r="J9" s="451">
        <f>transport!J14</f>
        <v>0</v>
      </c>
      <c r="K9" s="451">
        <f>transport!K14</f>
        <v>0</v>
      </c>
      <c r="L9" s="451">
        <f>transport!L14</f>
        <v>0</v>
      </c>
      <c r="M9" s="451">
        <f>transport!M14</f>
        <v>1161.1114339340429</v>
      </c>
      <c r="N9" s="451">
        <f>transport!N14</f>
        <v>0</v>
      </c>
      <c r="O9" s="451">
        <f>transport!O14</f>
        <v>0</v>
      </c>
      <c r="P9" s="451">
        <f>transport!P14</f>
        <v>0</v>
      </c>
      <c r="Q9" s="450">
        <f>SUM(B9:P9)</f>
        <v>27970.714360758164</v>
      </c>
    </row>
    <row r="10" spans="1:17">
      <c r="A10" s="446" t="s">
        <v>546</v>
      </c>
      <c r="B10" s="447">
        <f>transport!B54</f>
        <v>348.51487022030608</v>
      </c>
      <c r="C10" s="447">
        <f>transport!C54</f>
        <v>0</v>
      </c>
      <c r="D10" s="447">
        <f>transport!D54</f>
        <v>0</v>
      </c>
      <c r="E10" s="447">
        <f>transport!E54</f>
        <v>0</v>
      </c>
      <c r="F10" s="447">
        <f>transport!F54</f>
        <v>0</v>
      </c>
      <c r="G10" s="447">
        <f>transport!G54</f>
        <v>1579.6624533796912</v>
      </c>
      <c r="H10" s="447">
        <f>transport!H54</f>
        <v>0</v>
      </c>
      <c r="I10" s="447">
        <f>transport!I54</f>
        <v>0</v>
      </c>
      <c r="J10" s="447">
        <f>transport!J54</f>
        <v>0</v>
      </c>
      <c r="K10" s="447">
        <f>transport!K54</f>
        <v>0</v>
      </c>
      <c r="L10" s="447">
        <f>transport!L54</f>
        <v>0</v>
      </c>
      <c r="M10" s="447">
        <f>transport!M54</f>
        <v>67.635078376855191</v>
      </c>
      <c r="N10" s="447">
        <f>transport!N54</f>
        <v>0</v>
      </c>
      <c r="O10" s="447">
        <f>transport!O54</f>
        <v>0</v>
      </c>
      <c r="P10" s="448">
        <f>transport!P54</f>
        <v>0</v>
      </c>
      <c r="Q10" s="446">
        <f t="shared" si="0"/>
        <v>1995.8124019768525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1447.0255874873501</v>
      </c>
      <c r="C14" s="454"/>
      <c r="D14" s="454">
        <f>'SEAP template'!E25</f>
        <v>2611.6485153997096</v>
      </c>
      <c r="E14" s="454"/>
      <c r="F14" s="454"/>
      <c r="G14" s="454"/>
      <c r="H14" s="454"/>
      <c r="I14" s="454"/>
      <c r="J14" s="454"/>
      <c r="K14" s="454"/>
      <c r="L14" s="454"/>
      <c r="M14" s="454"/>
      <c r="N14" s="454"/>
      <c r="O14" s="454"/>
      <c r="P14" s="455"/>
      <c r="Q14" s="446">
        <f t="shared" si="0"/>
        <v>4058.6741028870597</v>
      </c>
    </row>
    <row r="15" spans="1:17" s="459" customFormat="1">
      <c r="A15" s="456" t="s">
        <v>550</v>
      </c>
      <c r="B15" s="457">
        <f ca="1">SUM(B4:B14)</f>
        <v>66406.557091645198</v>
      </c>
      <c r="C15" s="457">
        <f t="shared" ref="C15:Q15" ca="1" si="1">SUM(C4:C14)</f>
        <v>0</v>
      </c>
      <c r="D15" s="457">
        <f t="shared" ca="1" si="1"/>
        <v>77341.001998255582</v>
      </c>
      <c r="E15" s="457">
        <f t="shared" si="1"/>
        <v>2048.466703358115</v>
      </c>
      <c r="F15" s="457">
        <f t="shared" ca="1" si="1"/>
        <v>51008.275802502591</v>
      </c>
      <c r="G15" s="457">
        <f t="shared" si="1"/>
        <v>24360.668185230425</v>
      </c>
      <c r="H15" s="457">
        <f t="shared" si="1"/>
        <v>3904.925875183671</v>
      </c>
      <c r="I15" s="457">
        <f t="shared" si="1"/>
        <v>0</v>
      </c>
      <c r="J15" s="457">
        <f t="shared" si="1"/>
        <v>1056.7003630615518</v>
      </c>
      <c r="K15" s="457">
        <f t="shared" si="1"/>
        <v>0</v>
      </c>
      <c r="L15" s="457">
        <f t="shared" ca="1" si="1"/>
        <v>0</v>
      </c>
      <c r="M15" s="457">
        <f t="shared" si="1"/>
        <v>1228.7465123108982</v>
      </c>
      <c r="N15" s="457">
        <f t="shared" ca="1" si="1"/>
        <v>8900.7424185985565</v>
      </c>
      <c r="O15" s="457">
        <f t="shared" si="1"/>
        <v>39.083333333333336</v>
      </c>
      <c r="P15" s="457">
        <f t="shared" si="1"/>
        <v>171.6</v>
      </c>
      <c r="Q15" s="457">
        <f t="shared" ca="1" si="1"/>
        <v>236466.76828347991</v>
      </c>
    </row>
    <row r="17" spans="1:17">
      <c r="A17" s="460" t="s">
        <v>551</v>
      </c>
      <c r="B17" s="764">
        <f ca="1">huishoudens!B10</f>
        <v>0.21597651271222457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8413.6154541516516</v>
      </c>
      <c r="C22" s="447">
        <f t="shared" ref="C22:C32" ca="1" si="3">C4*$C$17</f>
        <v>0</v>
      </c>
      <c r="D22" s="447">
        <f t="shared" ref="D22:D32" si="4">D4*$D$17</f>
        <v>11645.722889543686</v>
      </c>
      <c r="E22" s="447">
        <f t="shared" ref="E22:E32" si="5">E4*$E$17</f>
        <v>299.5509341414907</v>
      </c>
      <c r="F22" s="447">
        <f t="shared" ref="F22:F32" si="6">F4*$F$17</f>
        <v>12026.75047093974</v>
      </c>
      <c r="G22" s="447">
        <f t="shared" ref="G22:G32" si="7">G4*$G$17</f>
        <v>0</v>
      </c>
      <c r="H22" s="447">
        <f t="shared" ref="H22:H32" si="8">H4*$H$17</f>
        <v>0</v>
      </c>
      <c r="I22" s="447">
        <f t="shared" ref="I22:I32" si="9">I4*$I$17</f>
        <v>0</v>
      </c>
      <c r="J22" s="447">
        <f t="shared" ref="J22:J32" si="10">J4*$J$17</f>
        <v>359.05401867449933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32744.693767451066</v>
      </c>
    </row>
    <row r="23" spans="1:17">
      <c r="A23" s="446" t="s">
        <v>149</v>
      </c>
      <c r="B23" s="447">
        <f t="shared" ca="1" si="2"/>
        <v>3544.9124861205328</v>
      </c>
      <c r="C23" s="447">
        <f t="shared" ca="1" si="3"/>
        <v>0</v>
      </c>
      <c r="D23" s="447">
        <f t="shared" ca="1" si="4"/>
        <v>2665.8007115243227</v>
      </c>
      <c r="E23" s="447">
        <f t="shared" si="5"/>
        <v>118.51609683939213</v>
      </c>
      <c r="F23" s="447">
        <f t="shared" ca="1" si="6"/>
        <v>813.07412239849407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7142.3034168827417</v>
      </c>
    </row>
    <row r="24" spans="1:17">
      <c r="A24" s="446" t="s">
        <v>187</v>
      </c>
      <c r="B24" s="447">
        <f t="shared" ca="1" si="2"/>
        <v>350.30612846477061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350.30612846477061</v>
      </c>
    </row>
    <row r="25" spans="1:17">
      <c r="A25" s="446" t="s">
        <v>105</v>
      </c>
      <c r="B25" s="447">
        <f t="shared" ca="1" si="2"/>
        <v>12.628604900186197</v>
      </c>
      <c r="C25" s="447">
        <f t="shared" ca="1" si="3"/>
        <v>0</v>
      </c>
      <c r="D25" s="447">
        <f t="shared" si="4"/>
        <v>5.0894244935315127</v>
      </c>
      <c r="E25" s="447">
        <f t="shared" si="5"/>
        <v>0.13899952640055124</v>
      </c>
      <c r="F25" s="447">
        <f t="shared" si="6"/>
        <v>66.831464249766242</v>
      </c>
      <c r="G25" s="447">
        <f t="shared" si="7"/>
        <v>0</v>
      </c>
      <c r="H25" s="447">
        <f t="shared" si="8"/>
        <v>0</v>
      </c>
      <c r="I25" s="447">
        <f t="shared" si="9"/>
        <v>0</v>
      </c>
      <c r="J25" s="447">
        <f t="shared" si="10"/>
        <v>1.8486179298902683</v>
      </c>
      <c r="K25" s="447">
        <f t="shared" si="11"/>
        <v>0</v>
      </c>
      <c r="L25" s="447">
        <f t="shared" si="12"/>
        <v>0</v>
      </c>
      <c r="M25" s="447">
        <f t="shared" si="13"/>
        <v>0</v>
      </c>
      <c r="N25" s="447">
        <f t="shared" si="14"/>
        <v>0</v>
      </c>
      <c r="O25" s="447">
        <f t="shared" si="15"/>
        <v>0</v>
      </c>
      <c r="P25" s="448">
        <f t="shared" si="16"/>
        <v>0</v>
      </c>
      <c r="Q25" s="446">
        <f t="shared" ca="1" si="17"/>
        <v>86.537111099774776</v>
      </c>
    </row>
    <row r="26" spans="1:17">
      <c r="A26" s="446" t="s">
        <v>637</v>
      </c>
      <c r="B26" s="447">
        <f t="shared" ca="1" si="2"/>
        <v>1632.9242475417477</v>
      </c>
      <c r="C26" s="447">
        <f t="shared" ca="1" si="3"/>
        <v>0</v>
      </c>
      <c r="D26" s="447">
        <f t="shared" si="4"/>
        <v>778.47586557019508</v>
      </c>
      <c r="E26" s="447">
        <f t="shared" si="5"/>
        <v>19.071769431280615</v>
      </c>
      <c r="F26" s="447">
        <f t="shared" si="6"/>
        <v>712.55358168019279</v>
      </c>
      <c r="G26" s="447">
        <f t="shared" si="7"/>
        <v>0</v>
      </c>
      <c r="H26" s="447">
        <f t="shared" si="8"/>
        <v>0</v>
      </c>
      <c r="I26" s="447">
        <f t="shared" si="9"/>
        <v>0</v>
      </c>
      <c r="J26" s="447">
        <f t="shared" si="10"/>
        <v>13.169291919399713</v>
      </c>
      <c r="K26" s="447">
        <f t="shared" si="11"/>
        <v>0</v>
      </c>
      <c r="L26" s="447">
        <f t="shared" si="12"/>
        <v>0</v>
      </c>
      <c r="M26" s="447">
        <f t="shared" si="13"/>
        <v>0</v>
      </c>
      <c r="N26" s="447">
        <f t="shared" si="14"/>
        <v>0</v>
      </c>
      <c r="O26" s="447">
        <f t="shared" si="15"/>
        <v>0</v>
      </c>
      <c r="P26" s="448">
        <f t="shared" si="16"/>
        <v>0</v>
      </c>
      <c r="Q26" s="446">
        <f t="shared" ca="1" si="17"/>
        <v>3156.1947561428165</v>
      </c>
    </row>
    <row r="27" spans="1:17" s="452" customFormat="1">
      <c r="A27" s="450" t="s">
        <v>556</v>
      </c>
      <c r="B27" s="758">
        <f t="shared" ca="1" si="2"/>
        <v>7.5134210475193947E-2</v>
      </c>
      <c r="C27" s="451">
        <f t="shared" ca="1" si="3"/>
        <v>0</v>
      </c>
      <c r="D27" s="451">
        <f t="shared" si="4"/>
        <v>0.2405124051526516</v>
      </c>
      <c r="E27" s="451">
        <f t="shared" si="5"/>
        <v>27.724141723728117</v>
      </c>
      <c r="F27" s="451">
        <f t="shared" si="6"/>
        <v>0</v>
      </c>
      <c r="G27" s="451">
        <f t="shared" si="7"/>
        <v>6082.5285304041463</v>
      </c>
      <c r="H27" s="451">
        <f t="shared" si="8"/>
        <v>972.32654292073403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7082.8948616642365</v>
      </c>
    </row>
    <row r="28" spans="1:17">
      <c r="A28" s="446" t="s">
        <v>546</v>
      </c>
      <c r="B28" s="447">
        <f t="shared" ca="1" si="2"/>
        <v>75.271026298535233</v>
      </c>
      <c r="C28" s="447">
        <f t="shared" ca="1" si="3"/>
        <v>0</v>
      </c>
      <c r="D28" s="447">
        <f t="shared" si="4"/>
        <v>0</v>
      </c>
      <c r="E28" s="447">
        <f t="shared" si="5"/>
        <v>0</v>
      </c>
      <c r="F28" s="447">
        <f t="shared" si="6"/>
        <v>0</v>
      </c>
      <c r="G28" s="447">
        <f t="shared" si="7"/>
        <v>421.76987505237759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497.0409013509128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312.52354019087591</v>
      </c>
      <c r="C32" s="447">
        <f t="shared" ca="1" si="3"/>
        <v>0</v>
      </c>
      <c r="D32" s="447">
        <f t="shared" si="4"/>
        <v>527.55300011074132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840.07654030161723</v>
      </c>
    </row>
    <row r="33" spans="1:17" s="459" customFormat="1">
      <c r="A33" s="456" t="s">
        <v>550</v>
      </c>
      <c r="B33" s="457">
        <f ca="1">SUM(B22:B32)</f>
        <v>14342.256621878774</v>
      </c>
      <c r="C33" s="457">
        <f t="shared" ref="C33:Q33" ca="1" si="19">SUM(C22:C32)</f>
        <v>0</v>
      </c>
      <c r="D33" s="457">
        <f t="shared" ca="1" si="19"/>
        <v>15622.882403647631</v>
      </c>
      <c r="E33" s="457">
        <f t="shared" si="19"/>
        <v>465.00194166229204</v>
      </c>
      <c r="F33" s="457">
        <f t="shared" ca="1" si="19"/>
        <v>13619.209639268192</v>
      </c>
      <c r="G33" s="457">
        <f t="shared" si="19"/>
        <v>6504.2984054565241</v>
      </c>
      <c r="H33" s="457">
        <f t="shared" si="19"/>
        <v>972.32654292073403</v>
      </c>
      <c r="I33" s="457">
        <f t="shared" si="19"/>
        <v>0</v>
      </c>
      <c r="J33" s="457">
        <f t="shared" si="19"/>
        <v>374.07192852378932</v>
      </c>
      <c r="K33" s="457">
        <f t="shared" si="19"/>
        <v>0</v>
      </c>
      <c r="L33" s="457">
        <f t="shared" ca="1" si="19"/>
        <v>0</v>
      </c>
      <c r="M33" s="457">
        <f t="shared" si="19"/>
        <v>0</v>
      </c>
      <c r="N33" s="457">
        <f t="shared" ca="1" si="19"/>
        <v>0</v>
      </c>
      <c r="O33" s="457">
        <f t="shared" si="19"/>
        <v>0</v>
      </c>
      <c r="P33" s="457">
        <f t="shared" si="19"/>
        <v>0</v>
      </c>
      <c r="Q33" s="457">
        <f t="shared" ca="1" si="19"/>
        <v>51900.047483357936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1509.4683048634029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1509.4683048634029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0.21597651271222457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0.21597651271222457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0.21597651271222457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0.21597651271222457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7072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524</v>
      </c>
      <c r="C14" s="326"/>
      <c r="D14" s="326"/>
      <c r="E14" s="326"/>
      <c r="F14" s="326"/>
    </row>
    <row r="15" spans="1:6">
      <c r="A15" s="1280" t="s">
        <v>177</v>
      </c>
      <c r="B15" s="1281">
        <v>1</v>
      </c>
      <c r="C15" s="326"/>
      <c r="D15" s="326"/>
      <c r="E15" s="326"/>
      <c r="F15" s="326"/>
    </row>
    <row r="16" spans="1:6">
      <c r="A16" s="1280" t="s">
        <v>6</v>
      </c>
      <c r="B16" s="1281">
        <v>64</v>
      </c>
      <c r="C16" s="326"/>
      <c r="D16" s="326"/>
      <c r="E16" s="326"/>
      <c r="F16" s="326"/>
    </row>
    <row r="17" spans="1:6">
      <c r="A17" s="1280" t="s">
        <v>7</v>
      </c>
      <c r="B17" s="1281">
        <v>49</v>
      </c>
      <c r="C17" s="326"/>
      <c r="D17" s="326"/>
      <c r="E17" s="326"/>
      <c r="F17" s="326"/>
    </row>
    <row r="18" spans="1:6">
      <c r="A18" s="1280" t="s">
        <v>8</v>
      </c>
      <c r="B18" s="1281">
        <v>88</v>
      </c>
      <c r="C18" s="326"/>
      <c r="D18" s="326"/>
      <c r="E18" s="326"/>
      <c r="F18" s="326"/>
    </row>
    <row r="19" spans="1:6">
      <c r="A19" s="1280" t="s">
        <v>9</v>
      </c>
      <c r="B19" s="1281">
        <v>75</v>
      </c>
      <c r="C19" s="326"/>
      <c r="D19" s="326"/>
      <c r="E19" s="326"/>
      <c r="F19" s="326"/>
    </row>
    <row r="20" spans="1:6">
      <c r="A20" s="1280" t="s">
        <v>10</v>
      </c>
      <c r="B20" s="1281">
        <v>61</v>
      </c>
      <c r="C20" s="326"/>
      <c r="D20" s="326"/>
      <c r="E20" s="326"/>
      <c r="F20" s="326"/>
    </row>
    <row r="21" spans="1:6">
      <c r="A21" s="1280" t="s">
        <v>11</v>
      </c>
      <c r="B21" s="1281">
        <v>0</v>
      </c>
      <c r="C21" s="326"/>
      <c r="D21" s="326"/>
      <c r="E21" s="326"/>
      <c r="F21" s="326"/>
    </row>
    <row r="22" spans="1:6">
      <c r="A22" s="1280" t="s">
        <v>12</v>
      </c>
      <c r="B22" s="1281">
        <v>2</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26</v>
      </c>
      <c r="C26" s="326"/>
      <c r="D26" s="326"/>
      <c r="E26" s="326"/>
      <c r="F26" s="326"/>
    </row>
    <row r="27" spans="1:6">
      <c r="A27" s="1280" t="s">
        <v>17</v>
      </c>
      <c r="B27" s="1281">
        <v>6</v>
      </c>
      <c r="C27" s="326"/>
      <c r="D27" s="326"/>
      <c r="E27" s="326"/>
      <c r="F27" s="326"/>
    </row>
    <row r="28" spans="1:6">
      <c r="A28" s="1280" t="s">
        <v>18</v>
      </c>
      <c r="B28" s="1282">
        <v>60</v>
      </c>
      <c r="C28" s="326"/>
      <c r="D28" s="326"/>
      <c r="E28" s="326"/>
      <c r="F28" s="326"/>
    </row>
    <row r="29" spans="1:6">
      <c r="A29" s="1280" t="s">
        <v>972</v>
      </c>
      <c r="B29" s="1282">
        <v>109</v>
      </c>
      <c r="C29" s="326"/>
      <c r="D29" s="326"/>
      <c r="E29" s="326"/>
      <c r="F29" s="326"/>
    </row>
    <row r="30" spans="1:6">
      <c r="A30" s="1275" t="s">
        <v>973</v>
      </c>
      <c r="B30" s="1283">
        <v>41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5047.8039459205002</v>
      </c>
    </row>
    <row r="39" spans="1:6">
      <c r="A39" s="1280" t="s">
        <v>29</v>
      </c>
      <c r="B39" s="1280" t="s">
        <v>30</v>
      </c>
      <c r="C39" s="1281">
        <v>4558</v>
      </c>
      <c r="D39" s="1281">
        <v>63915846.466288798</v>
      </c>
      <c r="E39" s="1281">
        <v>8344</v>
      </c>
      <c r="F39" s="1281">
        <v>37743767.0414382</v>
      </c>
    </row>
    <row r="40" spans="1:6">
      <c r="A40" s="1280" t="s">
        <v>29</v>
      </c>
      <c r="B40" s="1280" t="s">
        <v>28</v>
      </c>
      <c r="C40" s="1281">
        <v>0</v>
      </c>
      <c r="D40" s="1281">
        <v>0</v>
      </c>
      <c r="E40" s="1281">
        <v>0</v>
      </c>
      <c r="F40" s="1281">
        <v>0</v>
      </c>
    </row>
    <row r="41" spans="1:6">
      <c r="A41" s="1280" t="s">
        <v>31</v>
      </c>
      <c r="B41" s="1280" t="s">
        <v>32</v>
      </c>
      <c r="C41" s="1281">
        <v>42</v>
      </c>
      <c r="D41" s="1281">
        <v>826912.67472605698</v>
      </c>
      <c r="E41" s="1281">
        <v>169</v>
      </c>
      <c r="F41" s="1281">
        <v>2054601.38073572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108178.285682487</v>
      </c>
      <c r="E44" s="1281">
        <v>4</v>
      </c>
      <c r="F44" s="1281">
        <v>126289.45482223399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10</v>
      </c>
      <c r="D48" s="1281">
        <v>2229661.5892293602</v>
      </c>
      <c r="E48" s="1281">
        <v>26</v>
      </c>
      <c r="F48" s="1281">
        <v>4686224.9689234598</v>
      </c>
    </row>
    <row r="49" spans="1:6">
      <c r="A49" s="1280" t="s">
        <v>31</v>
      </c>
      <c r="B49" s="1280" t="s">
        <v>39</v>
      </c>
      <c r="C49" s="1281">
        <v>0</v>
      </c>
      <c r="D49" s="1281">
        <v>0</v>
      </c>
      <c r="E49" s="1281">
        <v>0</v>
      </c>
      <c r="F49" s="1281">
        <v>0</v>
      </c>
    </row>
    <row r="50" spans="1:6">
      <c r="A50" s="1280" t="s">
        <v>31</v>
      </c>
      <c r="B50" s="1280" t="s">
        <v>40</v>
      </c>
      <c r="C50" s="1281">
        <v>9</v>
      </c>
      <c r="D50" s="1281">
        <v>1107798.3579722201</v>
      </c>
      <c r="E50" s="1281">
        <v>17</v>
      </c>
      <c r="F50" s="1281">
        <v>693540.80134830996</v>
      </c>
    </row>
    <row r="51" spans="1:6">
      <c r="A51" s="1280" t="s">
        <v>41</v>
      </c>
      <c r="B51" s="1280" t="s">
        <v>42</v>
      </c>
      <c r="C51" s="1281">
        <v>0</v>
      </c>
      <c r="D51" s="1281">
        <v>0</v>
      </c>
      <c r="E51" s="1281">
        <v>4</v>
      </c>
      <c r="F51" s="1281">
        <v>35276.4236576654</v>
      </c>
    </row>
    <row r="52" spans="1:6">
      <c r="A52" s="1280" t="s">
        <v>41</v>
      </c>
      <c r="B52" s="1280" t="s">
        <v>28</v>
      </c>
      <c r="C52" s="1281">
        <v>2</v>
      </c>
      <c r="D52" s="1281">
        <v>27932.561818245002</v>
      </c>
      <c r="E52" s="1281">
        <v>4</v>
      </c>
      <c r="F52" s="1281">
        <v>23195.697878128802</v>
      </c>
    </row>
    <row r="53" spans="1:6">
      <c r="A53" s="1280" t="s">
        <v>43</v>
      </c>
      <c r="B53" s="1280" t="s">
        <v>44</v>
      </c>
      <c r="C53" s="1281">
        <v>150</v>
      </c>
      <c r="D53" s="1281">
        <v>2611648.5153997098</v>
      </c>
      <c r="E53" s="1281">
        <v>307</v>
      </c>
      <c r="F53" s="1281">
        <v>1447025.58748735</v>
      </c>
    </row>
    <row r="54" spans="1:6">
      <c r="A54" s="1280" t="s">
        <v>45</v>
      </c>
      <c r="B54" s="1280" t="s">
        <v>46</v>
      </c>
      <c r="C54" s="1281">
        <v>0</v>
      </c>
      <c r="D54" s="1281">
        <v>0</v>
      </c>
      <c r="E54" s="1281">
        <v>1</v>
      </c>
      <c r="F54" s="1281">
        <v>1621964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13</v>
      </c>
      <c r="D57" s="1281">
        <v>328162.91531299998</v>
      </c>
      <c r="E57" s="1281">
        <v>41</v>
      </c>
      <c r="F57" s="1281">
        <v>471268.57394840301</v>
      </c>
    </row>
    <row r="58" spans="1:6">
      <c r="A58" s="1280" t="s">
        <v>48</v>
      </c>
      <c r="B58" s="1280" t="s">
        <v>50</v>
      </c>
      <c r="C58" s="1281">
        <v>0</v>
      </c>
      <c r="D58" s="1281">
        <v>0</v>
      </c>
      <c r="E58" s="1281">
        <v>4</v>
      </c>
      <c r="F58" s="1281">
        <v>249593.912944354</v>
      </c>
    </row>
    <row r="59" spans="1:6">
      <c r="A59" s="1280" t="s">
        <v>48</v>
      </c>
      <c r="B59" s="1280" t="s">
        <v>51</v>
      </c>
      <c r="C59" s="1281">
        <v>49</v>
      </c>
      <c r="D59" s="1281">
        <v>1488080.6695005901</v>
      </c>
      <c r="E59" s="1281">
        <v>141</v>
      </c>
      <c r="F59" s="1281">
        <v>3924938.6443421799</v>
      </c>
    </row>
    <row r="60" spans="1:6">
      <c r="A60" s="1280" t="s">
        <v>48</v>
      </c>
      <c r="B60" s="1280" t="s">
        <v>52</v>
      </c>
      <c r="C60" s="1281">
        <v>56</v>
      </c>
      <c r="D60" s="1281">
        <v>2364038.5425833198</v>
      </c>
      <c r="E60" s="1281">
        <v>120</v>
      </c>
      <c r="F60" s="1281">
        <v>5998241.3282686304</v>
      </c>
    </row>
    <row r="61" spans="1:6">
      <c r="A61" s="1280" t="s">
        <v>48</v>
      </c>
      <c r="B61" s="1280" t="s">
        <v>53</v>
      </c>
      <c r="C61" s="1281">
        <v>95</v>
      </c>
      <c r="D61" s="1281">
        <v>5613856.7178235902</v>
      </c>
      <c r="E61" s="1281">
        <v>328</v>
      </c>
      <c r="F61" s="1281">
        <v>3368556.1500706999</v>
      </c>
    </row>
    <row r="62" spans="1:6">
      <c r="A62" s="1280" t="s">
        <v>48</v>
      </c>
      <c r="B62" s="1280" t="s">
        <v>54</v>
      </c>
      <c r="C62" s="1281">
        <v>7</v>
      </c>
      <c r="D62" s="1281">
        <v>1283181.1301484499</v>
      </c>
      <c r="E62" s="1281">
        <v>11</v>
      </c>
      <c r="F62" s="1281">
        <v>426056.07063118502</v>
      </c>
    </row>
    <row r="63" spans="1:6">
      <c r="A63" s="1280" t="s">
        <v>48</v>
      </c>
      <c r="B63" s="1280" t="s">
        <v>28</v>
      </c>
      <c r="C63" s="1281">
        <v>77</v>
      </c>
      <c r="D63" s="1281">
        <v>3553537.25896357</v>
      </c>
      <c r="E63" s="1281">
        <v>88</v>
      </c>
      <c r="F63" s="1281">
        <v>1974761.9529444301</v>
      </c>
    </row>
    <row r="64" spans="1:6">
      <c r="A64" s="1280" t="s">
        <v>55</v>
      </c>
      <c r="B64" s="1280" t="s">
        <v>56</v>
      </c>
      <c r="C64" s="1281">
        <v>0</v>
      </c>
      <c r="D64" s="1281">
        <v>0</v>
      </c>
      <c r="E64" s="1281">
        <v>0</v>
      </c>
      <c r="F64" s="1281">
        <v>0</v>
      </c>
    </row>
    <row r="65" spans="1:6">
      <c r="A65" s="1280" t="s">
        <v>55</v>
      </c>
      <c r="B65" s="1280" t="s">
        <v>28</v>
      </c>
      <c r="C65" s="1281">
        <v>2</v>
      </c>
      <c r="D65" s="1281">
        <v>46051.015218794899</v>
      </c>
      <c r="E65" s="1281">
        <v>4</v>
      </c>
      <c r="F65" s="1281">
        <v>21831.9259475898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38273.576554588602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25707899</v>
      </c>
      <c r="E73" s="445"/>
      <c r="F73" s="326"/>
    </row>
    <row r="74" spans="1:6">
      <c r="A74" s="1280" t="s">
        <v>63</v>
      </c>
      <c r="B74" s="1280" t="s">
        <v>754</v>
      </c>
      <c r="C74" s="1293" t="s">
        <v>755</v>
      </c>
      <c r="D74" s="1281">
        <v>2562183.8055489804</v>
      </c>
      <c r="E74" s="445"/>
      <c r="F74" s="326"/>
    </row>
    <row r="75" spans="1:6">
      <c r="A75" s="1280" t="s">
        <v>64</v>
      </c>
      <c r="B75" s="1280" t="s">
        <v>752</v>
      </c>
      <c r="C75" s="1293" t="s">
        <v>756</v>
      </c>
      <c r="D75" s="1281">
        <v>5834952</v>
      </c>
      <c r="E75" s="445"/>
      <c r="F75" s="326"/>
    </row>
    <row r="76" spans="1:6">
      <c r="A76" s="1280" t="s">
        <v>64</v>
      </c>
      <c r="B76" s="1280" t="s">
        <v>754</v>
      </c>
      <c r="C76" s="1293" t="s">
        <v>757</v>
      </c>
      <c r="D76" s="1281">
        <v>19972.400000000001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433256.38890203909</v>
      </c>
      <c r="C83" s="445"/>
      <c r="D83" s="326"/>
      <c r="E83" s="326"/>
      <c r="F83" s="326"/>
    </row>
    <row r="84" spans="1:6">
      <c r="A84" s="1275" t="s">
        <v>324</v>
      </c>
      <c r="B84" s="1283">
        <v>96803.774488069466</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1212.3923505891937</v>
      </c>
      <c r="C91" s="326"/>
      <c r="D91" s="326"/>
      <c r="E91" s="326"/>
      <c r="F91" s="326"/>
    </row>
    <row r="92" spans="1:6">
      <c r="A92" s="1275" t="s">
        <v>68</v>
      </c>
      <c r="B92" s="1276">
        <v>297.07595427420915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2961</v>
      </c>
      <c r="C97" s="326"/>
      <c r="D97" s="326"/>
      <c r="E97" s="326"/>
      <c r="F97" s="326"/>
    </row>
    <row r="98" spans="1:6">
      <c r="A98" s="1280" t="s">
        <v>71</v>
      </c>
      <c r="B98" s="1281">
        <v>1</v>
      </c>
      <c r="C98" s="326"/>
      <c r="D98" s="326"/>
      <c r="E98" s="326"/>
      <c r="F98" s="326"/>
    </row>
    <row r="99" spans="1:6">
      <c r="A99" s="1280" t="s">
        <v>72</v>
      </c>
      <c r="B99" s="1281">
        <v>39</v>
      </c>
      <c r="C99" s="326"/>
      <c r="D99" s="326"/>
      <c r="E99" s="326"/>
      <c r="F99" s="326"/>
    </row>
    <row r="100" spans="1:6">
      <c r="A100" s="1280" t="s">
        <v>73</v>
      </c>
      <c r="B100" s="1281">
        <v>1232</v>
      </c>
      <c r="C100" s="326"/>
      <c r="D100" s="326"/>
      <c r="E100" s="326"/>
      <c r="F100" s="326"/>
    </row>
    <row r="101" spans="1:6">
      <c r="A101" s="1280" t="s">
        <v>74</v>
      </c>
      <c r="B101" s="1281">
        <v>44</v>
      </c>
      <c r="C101" s="326"/>
      <c r="D101" s="326"/>
      <c r="E101" s="326"/>
      <c r="F101" s="326"/>
    </row>
    <row r="102" spans="1:6">
      <c r="A102" s="1280" t="s">
        <v>75</v>
      </c>
      <c r="B102" s="1281">
        <v>123</v>
      </c>
      <c r="C102" s="326"/>
      <c r="D102" s="326"/>
      <c r="E102" s="326"/>
      <c r="F102" s="326"/>
    </row>
    <row r="103" spans="1:6">
      <c r="A103" s="1280" t="s">
        <v>76</v>
      </c>
      <c r="B103" s="1281">
        <v>123</v>
      </c>
      <c r="C103" s="326"/>
      <c r="D103" s="326"/>
      <c r="E103" s="326"/>
      <c r="F103" s="326"/>
    </row>
    <row r="104" spans="1:6">
      <c r="A104" s="1280" t="s">
        <v>77</v>
      </c>
      <c r="B104" s="1281">
        <v>1184</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20</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66406.557091645198</v>
      </c>
      <c r="C3" s="43" t="s">
        <v>163</v>
      </c>
      <c r="D3" s="43"/>
      <c r="E3" s="156"/>
      <c r="F3" s="43"/>
      <c r="G3" s="43"/>
      <c r="H3" s="43"/>
      <c r="I3" s="43"/>
      <c r="J3" s="43"/>
      <c r="K3" s="96"/>
    </row>
    <row r="4" spans="1:11">
      <c r="A4" s="352" t="s">
        <v>164</v>
      </c>
      <c r="B4" s="49">
        <f>IF(ISERROR('SEAP template'!B78+'SEAP template'!C78),0,'SEAP template'!B78+'SEAP template'!C78)</f>
        <v>1509.4683048634029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0.21597651271222457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1621.9639999999999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1621.9639999999999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0.21597651271222457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350.30612846477061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37743.767041438201</v>
      </c>
      <c r="C5" s="17">
        <f>IF(ISERROR('Eigen informatie GS &amp; warmtenet'!B57),0,'Eigen informatie GS &amp; warmtenet'!B57)</f>
        <v>0</v>
      </c>
      <c r="D5" s="30">
        <f>(SUM(HH_hh_gas_kWh,HH_rest_gas_kWh)/1000)*0.902</f>
        <v>57652.093512592503</v>
      </c>
      <c r="E5" s="17">
        <f>B32*B41</f>
        <v>1319.6076393898268</v>
      </c>
      <c r="F5" s="17">
        <f>B36*B45</f>
        <v>45044.009254455952</v>
      </c>
      <c r="G5" s="18"/>
      <c r="H5" s="17"/>
      <c r="I5" s="17"/>
      <c r="J5" s="17">
        <f>B35*B44+C35*C44</f>
        <v>1014.2768889110151</v>
      </c>
      <c r="K5" s="17"/>
      <c r="L5" s="17"/>
      <c r="M5" s="17"/>
      <c r="N5" s="17">
        <f>B34*B43+C34*C43</f>
        <v>8457.5982851621793</v>
      </c>
      <c r="O5" s="17">
        <f>B52*B53*B54</f>
        <v>37.520000000000003</v>
      </c>
      <c r="P5" s="17">
        <f>B60*B61*B62/1000-B60*B61*B62/1000/B63</f>
        <v>152.53333333333333</v>
      </c>
    </row>
    <row r="6" spans="1:16">
      <c r="A6" s="16" t="s">
        <v>615</v>
      </c>
      <c r="B6" s="766">
        <f>kWh_PV_kleiner_dan_10kW</f>
        <v>1212.3923505891937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38956.159392027395</v>
      </c>
      <c r="C8" s="21">
        <f>C5</f>
        <v>0</v>
      </c>
      <c r="D8" s="21">
        <f>D5</f>
        <v>57652.093512592503</v>
      </c>
      <c r="E8" s="21">
        <f>E5</f>
        <v>1319.6076393898268</v>
      </c>
      <c r="F8" s="21">
        <f>F5</f>
        <v>45044.009254455952</v>
      </c>
      <c r="G8" s="21"/>
      <c r="H8" s="21"/>
      <c r="I8" s="21"/>
      <c r="J8" s="21">
        <f>J5</f>
        <v>1014.2768889110151</v>
      </c>
      <c r="K8" s="21"/>
      <c r="L8" s="21">
        <f>L5</f>
        <v>0</v>
      </c>
      <c r="M8" s="21">
        <f>M5</f>
        <v>0</v>
      </c>
      <c r="N8" s="21">
        <f>N5</f>
        <v>8457.5982851621793</v>
      </c>
      <c r="O8" s="21">
        <f>O5</f>
        <v>37.520000000000003</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0.21597651271222457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8413.6154541516516</v>
      </c>
      <c r="C12" s="23">
        <f ca="1">C10*C8</f>
        <v>0</v>
      </c>
      <c r="D12" s="23">
        <f>D8*D10</f>
        <v>11645.722889543686</v>
      </c>
      <c r="E12" s="23">
        <f>E10*E8</f>
        <v>299.5509341414907</v>
      </c>
      <c r="F12" s="23">
        <f>F10*F8</f>
        <v>12026.75047093974</v>
      </c>
      <c r="G12" s="23"/>
      <c r="H12" s="23"/>
      <c r="I12" s="23"/>
      <c r="J12" s="23">
        <f>J10*J8</f>
        <v>359.05401867449933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7072</v>
      </c>
      <c r="C26" s="36"/>
      <c r="D26" s="226"/>
    </row>
    <row r="27" spans="1:5" s="15" customFormat="1">
      <c r="A27" s="228" t="s">
        <v>695</v>
      </c>
      <c r="B27" s="37">
        <f>SUM(HH_hh_gas_aantal,HH_rest_gas_aantal)</f>
        <v>4558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4330.1000000000004</v>
      </c>
      <c r="C31" s="34" t="s">
        <v>104</v>
      </c>
      <c r="D31" s="172"/>
    </row>
    <row r="32" spans="1:5">
      <c r="A32" s="169" t="s">
        <v>72</v>
      </c>
      <c r="B32" s="33">
        <f>IF((B21*($B$26-($B$27-0.05*$B$27)-$B$60))&lt;0,0,B21*($B$26-($B$27-0.05*$B$27)-$B$60))</f>
        <v>19.382171735837908</v>
      </c>
      <c r="C32" s="34" t="s">
        <v>104</v>
      </c>
      <c r="D32" s="172"/>
    </row>
    <row r="33" spans="1:6">
      <c r="A33" s="169" t="s">
        <v>73</v>
      </c>
      <c r="B33" s="33">
        <f>IF((B22*($B$26-($B$27-0.05*$B$27)-$B$60))&lt;0,0,B22*($B$26-($B$27-0.05*$B$27)-$B$60))</f>
        <v>555.49040491894641</v>
      </c>
      <c r="C33" s="34" t="s">
        <v>104</v>
      </c>
      <c r="D33" s="172"/>
    </row>
    <row r="34" spans="1:6">
      <c r="A34" s="169" t="s">
        <v>74</v>
      </c>
      <c r="B34" s="33">
        <f>IF((B24*($B$26-($B$27-0.05*$B$27)-$B$60))&lt;0,0,B24*($B$26-($B$27-0.05*$B$27)-$B$60))</f>
        <v>110.77065734069633</v>
      </c>
      <c r="C34" s="33">
        <f>B26*C24</f>
        <v>1446.0656913705545</v>
      </c>
      <c r="D34" s="231"/>
    </row>
    <row r="35" spans="1:6">
      <c r="A35" s="169" t="s">
        <v>76</v>
      </c>
      <c r="B35" s="33">
        <f>IF((B19*($B$26-($B$27-0.05*$B$27)-$B$60))&lt;0,0,B19*($B$26-($B$27-0.05*$B$27)-$B$60))</f>
        <v>57.685034928089017</v>
      </c>
      <c r="C35" s="33">
        <f>B35/2</f>
        <v>28.842517464044509</v>
      </c>
      <c r="D35" s="231"/>
    </row>
    <row r="36" spans="1:6">
      <c r="A36" s="169" t="s">
        <v>77</v>
      </c>
      <c r="B36" s="33">
        <f>IF((B18*($B$26-($B$27-0.05*$B$27)-$B$60))&lt;0,0,B18*($B$26-($B$27-0.05*$B$27)-$B$60))</f>
        <v>1990.5717310764301</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16413.416633149878</v>
      </c>
      <c r="C5" s="17">
        <f>IF(ISERROR('Eigen informatie GS &amp; warmtenet'!B58),0,'Eigen informatie GS &amp; warmtenet'!B58)</f>
        <v>0</v>
      </c>
      <c r="D5" s="30">
        <f>SUM(D6:D12)</f>
        <v>13197.033225367933</v>
      </c>
      <c r="E5" s="17">
        <f>SUM(E6:E12)</f>
        <v>522.09734290481117</v>
      </c>
      <c r="F5" s="17">
        <f>SUM(F6:F12)</f>
        <v>3045.2214322040973</v>
      </c>
      <c r="G5" s="18"/>
      <c r="H5" s="17"/>
      <c r="I5" s="17"/>
      <c r="J5" s="17">
        <f>SUM(J6:J12)</f>
        <v>0</v>
      </c>
      <c r="K5" s="17"/>
      <c r="L5" s="17"/>
      <c r="M5" s="17"/>
      <c r="N5" s="17">
        <f>SUM(N6:N12)</f>
        <v>195.91327685882686</v>
      </c>
      <c r="O5" s="17">
        <f>B38*B39*B40</f>
        <v>1.5633333333333335</v>
      </c>
      <c r="P5" s="17">
        <f>B46*B47*B48/1000-B46*B47*B48/1000/B49</f>
        <v>19.066666666666666</v>
      </c>
      <c r="R5" s="32"/>
    </row>
    <row r="6" spans="1:18">
      <c r="A6" s="32" t="s">
        <v>53</v>
      </c>
      <c r="B6" s="37">
        <f>B26</f>
        <v>3368.5561500706999</v>
      </c>
      <c r="C6" s="33"/>
      <c r="D6" s="37">
        <f>IF(ISERROR(TER_kantoor_gas_kWh/1000),0,TER_kantoor_gas_kWh/1000)*0.902</f>
        <v>5063.698759476878</v>
      </c>
      <c r="E6" s="33">
        <f>$C$26*'E Balans VL '!I12/100/3.6*1000000</f>
        <v>117.91271629889546</v>
      </c>
      <c r="F6" s="33">
        <f>$C$26*('E Balans VL '!L12+'E Balans VL '!N12)/100/3.6*1000000</f>
        <v>510.74543454256758</v>
      </c>
      <c r="G6" s="34"/>
      <c r="H6" s="33"/>
      <c r="I6" s="33"/>
      <c r="J6" s="33">
        <f>$C$26*('E Balans VL '!D12+'E Balans VL '!E12)/100/3.6*1000000</f>
        <v>0</v>
      </c>
      <c r="K6" s="33"/>
      <c r="L6" s="33"/>
      <c r="M6" s="33"/>
      <c r="N6" s="33">
        <f>$C$26*'E Balans VL '!Y12/100/3.6*1000000</f>
        <v>26.037884710987981</v>
      </c>
      <c r="O6" s="33"/>
      <c r="P6" s="33"/>
      <c r="R6" s="32"/>
    </row>
    <row r="7" spans="1:18">
      <c r="A7" s="32" t="s">
        <v>52</v>
      </c>
      <c r="B7" s="37">
        <f t="shared" ref="B7:B12" si="0">B27</f>
        <v>5998.2413282686302</v>
      </c>
      <c r="C7" s="33"/>
      <c r="D7" s="37">
        <f>IF(ISERROR(TER_horeca_gas_kWh/1000),0,TER_horeca_gas_kWh/1000)*0.902</f>
        <v>2132.3627654101542</v>
      </c>
      <c r="E7" s="33">
        <f>$C$27*'E Balans VL '!I9/100/3.6*1000000</f>
        <v>338.38056809985073</v>
      </c>
      <c r="F7" s="33">
        <f>$C$27*('E Balans VL '!L9+'E Balans VL '!N9)/100/3.6*1000000</f>
        <v>1044.9268340781055</v>
      </c>
      <c r="G7" s="34"/>
      <c r="H7" s="33"/>
      <c r="I7" s="33"/>
      <c r="J7" s="33">
        <f>$C$27*('E Balans VL '!D9+'E Balans VL '!E9)/100/3.6*1000000</f>
        <v>0</v>
      </c>
      <c r="K7" s="33"/>
      <c r="L7" s="33"/>
      <c r="M7" s="33"/>
      <c r="N7" s="33">
        <f>$C$27*'E Balans VL '!Y9/100/3.6*1000000</f>
        <v>0</v>
      </c>
      <c r="O7" s="33"/>
      <c r="P7" s="33"/>
      <c r="R7" s="32"/>
    </row>
    <row r="8" spans="1:18">
      <c r="A8" s="6" t="s">
        <v>51</v>
      </c>
      <c r="B8" s="37">
        <f t="shared" si="0"/>
        <v>3924.9386443421799</v>
      </c>
      <c r="C8" s="33"/>
      <c r="D8" s="37">
        <f>IF(ISERROR(TER_handel_gas_kWh/1000),0,TER_handel_gas_kWh/1000)*0.902</f>
        <v>1342.2487638895323</v>
      </c>
      <c r="E8" s="33">
        <f>$C$28*'E Balans VL '!I13/100/3.6*1000000</f>
        <v>20.150236232069968</v>
      </c>
      <c r="F8" s="33">
        <f>$C$28*('E Balans VL '!L13+'E Balans VL '!N13)/100/3.6*1000000</f>
        <v>605.1648924298712</v>
      </c>
      <c r="G8" s="34"/>
      <c r="H8" s="33"/>
      <c r="I8" s="33"/>
      <c r="J8" s="33">
        <f>$C$28*('E Balans VL '!D13+'E Balans VL '!E13)/100/3.6*1000000</f>
        <v>0</v>
      </c>
      <c r="K8" s="33"/>
      <c r="L8" s="33"/>
      <c r="M8" s="33"/>
      <c r="N8" s="33">
        <f>$C$28*'E Balans VL '!Y13/100/3.6*1000000</f>
        <v>1.8357417142839012</v>
      </c>
      <c r="O8" s="33"/>
      <c r="P8" s="33"/>
      <c r="R8" s="32"/>
    </row>
    <row r="9" spans="1:18">
      <c r="A9" s="32" t="s">
        <v>50</v>
      </c>
      <c r="B9" s="37">
        <f t="shared" si="0"/>
        <v>249.593912944354</v>
      </c>
      <c r="C9" s="33"/>
      <c r="D9" s="37">
        <f>IF(ISERROR(TER_gezond_gas_kWh/1000),0,TER_gezond_gas_kWh/1000)*0.902</f>
        <v>0</v>
      </c>
      <c r="E9" s="33">
        <f>$C$29*'E Balans VL '!I10/100/3.6*1000000</f>
        <v>0.10345489937129353</v>
      </c>
      <c r="F9" s="33">
        <f>$C$29*('E Balans VL '!L10+'E Balans VL '!N10)/100/3.6*1000000</f>
        <v>61.471401103983652</v>
      </c>
      <c r="G9" s="34"/>
      <c r="H9" s="33"/>
      <c r="I9" s="33"/>
      <c r="J9" s="33">
        <f>$C$29*('E Balans VL '!D10+'E Balans VL '!E10)/100/3.6*1000000</f>
        <v>0</v>
      </c>
      <c r="K9" s="33"/>
      <c r="L9" s="33"/>
      <c r="M9" s="33"/>
      <c r="N9" s="33">
        <f>$C$29*'E Balans VL '!Y10/100/3.6*1000000</f>
        <v>2.1571091840024081</v>
      </c>
      <c r="O9" s="33"/>
      <c r="P9" s="33"/>
      <c r="R9" s="32"/>
    </row>
    <row r="10" spans="1:18">
      <c r="A10" s="32" t="s">
        <v>49</v>
      </c>
      <c r="B10" s="37">
        <f t="shared" si="0"/>
        <v>471.268573948403</v>
      </c>
      <c r="C10" s="33"/>
      <c r="D10" s="37">
        <f>IF(ISERROR(TER_ander_gas_kWh/1000),0,TER_ander_gas_kWh/1000)*0.902</f>
        <v>296.00294961232601</v>
      </c>
      <c r="E10" s="33">
        <f>$C$30*'E Balans VL '!I14/100/3.6*1000000</f>
        <v>2.8728648542564081</v>
      </c>
      <c r="F10" s="33">
        <f>$C$30*('E Balans VL '!L14+'E Balans VL '!N14)/100/3.6*1000000</f>
        <v>124.93975460088888</v>
      </c>
      <c r="G10" s="34"/>
      <c r="H10" s="33"/>
      <c r="I10" s="33"/>
      <c r="J10" s="33">
        <f>$C$30*('E Balans VL '!D14+'E Balans VL '!E14)/100/3.6*1000000</f>
        <v>0</v>
      </c>
      <c r="K10" s="33"/>
      <c r="L10" s="33"/>
      <c r="M10" s="33"/>
      <c r="N10" s="33">
        <f>$C$30*'E Balans VL '!Y14/100/3.6*1000000</f>
        <v>108.61722293076244</v>
      </c>
      <c r="O10" s="33"/>
      <c r="P10" s="33"/>
      <c r="R10" s="32"/>
    </row>
    <row r="11" spans="1:18">
      <c r="A11" s="32" t="s">
        <v>54</v>
      </c>
      <c r="B11" s="37">
        <f t="shared" si="0"/>
        <v>426.05607063118504</v>
      </c>
      <c r="C11" s="33"/>
      <c r="D11" s="37">
        <f>IF(ISERROR(TER_onderwijs_gas_kWh/1000),0,TER_onderwijs_gas_kWh/1000)*0.902</f>
        <v>1157.4293793939019</v>
      </c>
      <c r="E11" s="33">
        <f>$C$31*'E Balans VL '!I11/100/3.6*1000000</f>
        <v>0.32467691079493022</v>
      </c>
      <c r="F11" s="33">
        <f>$C$31*('E Balans VL '!L11+'E Balans VL '!N11)/100/3.6*1000000</f>
        <v>308.31752155289075</v>
      </c>
      <c r="G11" s="34"/>
      <c r="H11" s="33"/>
      <c r="I11" s="33"/>
      <c r="J11" s="33">
        <f>$C$31*('E Balans VL '!D11+'E Balans VL '!E11)/100/3.6*1000000</f>
        <v>0</v>
      </c>
      <c r="K11" s="33"/>
      <c r="L11" s="33"/>
      <c r="M11" s="33"/>
      <c r="N11" s="33">
        <f>$C$31*'E Balans VL '!Y11/100/3.6*1000000</f>
        <v>1.2556890656955217</v>
      </c>
      <c r="O11" s="33"/>
      <c r="P11" s="33"/>
      <c r="R11" s="32"/>
    </row>
    <row r="12" spans="1:18">
      <c r="A12" s="32" t="s">
        <v>249</v>
      </c>
      <c r="B12" s="37">
        <f t="shared" si="0"/>
        <v>1974.76195294443</v>
      </c>
      <c r="C12" s="33"/>
      <c r="D12" s="37">
        <f>IF(ISERROR(TER_rest_gas_kWh/1000),0,TER_rest_gas_kWh/1000)*0.902</f>
        <v>3205.2906075851402</v>
      </c>
      <c r="E12" s="33">
        <f>$C$32*'E Balans VL '!I8/100/3.6*1000000</f>
        <v>42.352825609572314</v>
      </c>
      <c r="F12" s="33">
        <f>$C$32*('E Balans VL '!L8+'E Balans VL '!N8)/100/3.6*1000000</f>
        <v>389.65559389578954</v>
      </c>
      <c r="G12" s="34"/>
      <c r="H12" s="33"/>
      <c r="I12" s="33"/>
      <c r="J12" s="33">
        <f>$C$32*('E Balans VL '!D8+'E Balans VL '!E8)/100/3.6*1000000</f>
        <v>0</v>
      </c>
      <c r="K12" s="33"/>
      <c r="L12" s="33"/>
      <c r="M12" s="33"/>
      <c r="N12" s="33">
        <f>$C$32*'E Balans VL '!Y8/100/3.6*1000000</f>
        <v>56.009629253094595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16413.416633149878</v>
      </c>
      <c r="C16" s="21">
        <f ca="1">C5+C13+C14</f>
        <v>0</v>
      </c>
      <c r="D16" s="21">
        <f t="shared" ref="D16:N16" ca="1" si="1">MAX((D5+D13+D14),0)</f>
        <v>13197.033225367933</v>
      </c>
      <c r="E16" s="21">
        <f t="shared" si="1"/>
        <v>522.09734290481117</v>
      </c>
      <c r="F16" s="21">
        <f t="shared" ca="1" si="1"/>
        <v>3045.2214322040973</v>
      </c>
      <c r="G16" s="21">
        <f t="shared" si="1"/>
        <v>0</v>
      </c>
      <c r="H16" s="21">
        <f t="shared" si="1"/>
        <v>0</v>
      </c>
      <c r="I16" s="21">
        <f t="shared" si="1"/>
        <v>0</v>
      </c>
      <c r="J16" s="21">
        <f t="shared" si="1"/>
        <v>0</v>
      </c>
      <c r="K16" s="21">
        <f t="shared" si="1"/>
        <v>0</v>
      </c>
      <c r="L16" s="21">
        <f t="shared" ca="1" si="1"/>
        <v>0</v>
      </c>
      <c r="M16" s="21">
        <f t="shared" si="1"/>
        <v>0</v>
      </c>
      <c r="N16" s="21">
        <f t="shared" ca="1" si="1"/>
        <v>195.91327685882686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0.21597651271222457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3544.9124861205328</v>
      </c>
      <c r="C20" s="23">
        <f t="shared" ref="C20:P20" ca="1" si="2">C16*C18</f>
        <v>0</v>
      </c>
      <c r="D20" s="23">
        <f t="shared" ca="1" si="2"/>
        <v>2665.8007115243227</v>
      </c>
      <c r="E20" s="23">
        <f t="shared" si="2"/>
        <v>118.51609683939213</v>
      </c>
      <c r="F20" s="23">
        <f t="shared" ca="1" si="2"/>
        <v>813.07412239849407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3368.5561500706999</v>
      </c>
      <c r="C26" s="39">
        <f>IF(ISERROR(B26*3.6/1000000/'E Balans VL '!Z12*100),0,B26*3.6/1000000/'E Balans VL '!Z12*100)</f>
        <v>7.088567784835953E-2</v>
      </c>
      <c r="D26" s="234" t="s">
        <v>700</v>
      </c>
      <c r="F26" s="6"/>
    </row>
    <row r="27" spans="1:18">
      <c r="A27" s="229" t="s">
        <v>52</v>
      </c>
      <c r="B27" s="33">
        <f>IF(ISERROR(TER_horeca_ele_kWh/1000),0,TER_horeca_ele_kWh/1000)</f>
        <v>5998.2413282686302</v>
      </c>
      <c r="C27" s="39">
        <f>IF(ISERROR(B27*3.6/1000000/'E Balans VL '!Z9*100),0,B27*3.6/1000000/'E Balans VL '!Z9*100)</f>
        <v>0.50785423836245935</v>
      </c>
      <c r="D27" s="234" t="s">
        <v>700</v>
      </c>
      <c r="F27" s="6"/>
    </row>
    <row r="28" spans="1:18">
      <c r="A28" s="169" t="s">
        <v>51</v>
      </c>
      <c r="B28" s="33">
        <f>IF(ISERROR(TER_handel_ele_kWh/1000),0,TER_handel_ele_kWh/1000)</f>
        <v>3924.9386443421799</v>
      </c>
      <c r="C28" s="39">
        <f>IF(ISERROR(B28*3.6/1000000/'E Balans VL '!Z13*100),0,B28*3.6/1000000/'E Balans VL '!Z13*100)</f>
        <v>0.10866138363184305</v>
      </c>
      <c r="D28" s="234" t="s">
        <v>700</v>
      </c>
      <c r="F28" s="6"/>
    </row>
    <row r="29" spans="1:18">
      <c r="A29" s="229" t="s">
        <v>50</v>
      </c>
      <c r="B29" s="33">
        <f>IF(ISERROR(TER_gezond_ele_kWh/1000),0,TER_gezond_ele_kWh/1000)</f>
        <v>249.593912944354</v>
      </c>
      <c r="C29" s="39">
        <f>IF(ISERROR(B29*3.6/1000000/'E Balans VL '!Z10*100),0,B29*3.6/1000000/'E Balans VL '!Z10*100)</f>
        <v>3.2444441611628981E-2</v>
      </c>
      <c r="D29" s="234" t="s">
        <v>700</v>
      </c>
      <c r="F29" s="6"/>
    </row>
    <row r="30" spans="1:18">
      <c r="A30" s="229" t="s">
        <v>49</v>
      </c>
      <c r="B30" s="33">
        <f>IF(ISERROR(TER_ander_ele_kWh/1000),0,TER_ander_ele_kWh/1000)</f>
        <v>471.268573948403</v>
      </c>
      <c r="C30" s="39">
        <f>IF(ISERROR(B30*3.6/1000000/'E Balans VL '!Z14*100),0,B30*3.6/1000000/'E Balans VL '!Z14*100)</f>
        <v>3.6527636343975857E-2</v>
      </c>
      <c r="D30" s="234" t="s">
        <v>700</v>
      </c>
      <c r="F30" s="6"/>
    </row>
    <row r="31" spans="1:18">
      <c r="A31" s="229" t="s">
        <v>54</v>
      </c>
      <c r="B31" s="33">
        <f>IF(ISERROR(TER_onderwijs_ele_kWh/1000),0,TER_onderwijs_ele_kWh/1000)</f>
        <v>426.05607063118504</v>
      </c>
      <c r="C31" s="39">
        <f>IF(ISERROR(B31*3.6/1000000/'E Balans VL '!Z11*100),0,B31*3.6/1000000/'E Balans VL '!Z11*100)</f>
        <v>8.1511786153555449E-2</v>
      </c>
      <c r="D31" s="234" t="s">
        <v>700</v>
      </c>
    </row>
    <row r="32" spans="1:18">
      <c r="A32" s="229" t="s">
        <v>249</v>
      </c>
      <c r="B32" s="33">
        <f>IF(ISERROR(TER_rest_ele_kWh/1000),0,TER_rest_ele_kWh/1000)</f>
        <v>1974.76195294443</v>
      </c>
      <c r="C32" s="39">
        <f>IF(ISERROR(B32*3.6/1000000/'E Balans VL '!Z8*100),0,B32*3.6/1000000/'E Balans VL '!Z8*100)</f>
        <v>1.6283428752464191E-2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7560.656605829723</v>
      </c>
      <c r="C5" s="17">
        <f>IF(ISERROR('Eigen informatie GS &amp; warmtenet'!B59),0,'Eigen informatie GS &amp; warmtenet'!B59)</f>
        <v>0</v>
      </c>
      <c r="D5" s="30">
        <f>SUM(D6:D15)</f>
        <v>3853.8409186643321</v>
      </c>
      <c r="E5" s="17">
        <f>SUM(E6:E15)</f>
        <v>84.016605424143677</v>
      </c>
      <c r="F5" s="17">
        <f>SUM(F6:F15)</f>
        <v>2668.7400062928568</v>
      </c>
      <c r="G5" s="18"/>
      <c r="H5" s="17"/>
      <c r="I5" s="17"/>
      <c r="J5" s="17">
        <f>SUM(J6:J15)</f>
        <v>37.201389602824051</v>
      </c>
      <c r="K5" s="17"/>
      <c r="L5" s="17"/>
      <c r="M5" s="17"/>
      <c r="N5" s="17">
        <f>SUM(N6:N15)</f>
        <v>247.23085657755189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126.28945482223399</v>
      </c>
      <c r="C8" s="33"/>
      <c r="D8" s="37">
        <f>IF( ISERROR(IND_metaal_Gas_kWH/1000),0,IND_metaal_Gas_kWH/1000)*0.902</f>
        <v>97.576813685603284</v>
      </c>
      <c r="E8" s="33">
        <f>C30*'E Balans VL '!I18/100/3.6*1000000</f>
        <v>0.88740813453157297</v>
      </c>
      <c r="F8" s="33">
        <f>C30*'E Balans VL '!L18/100/3.6*1000000+C30*'E Balans VL '!N18/100/3.6*1000000</f>
        <v>13.865843273445076</v>
      </c>
      <c r="G8" s="34"/>
      <c r="H8" s="33"/>
      <c r="I8" s="33"/>
      <c r="J8" s="40">
        <f>C30*'E Balans VL '!D18/100/3.6*1000000+C30*'E Balans VL '!E18/100/3.6*1000000</f>
        <v>2.6056236562345525</v>
      </c>
      <c r="K8" s="33"/>
      <c r="L8" s="33"/>
      <c r="M8" s="33"/>
      <c r="N8" s="33">
        <f>C30*'E Balans VL '!Y18/100/3.6*1000000</f>
        <v>0.47334197203051342</v>
      </c>
      <c r="O8" s="33"/>
      <c r="P8" s="33"/>
      <c r="R8" s="32"/>
    </row>
    <row r="9" spans="1:18">
      <c r="A9" s="6" t="s">
        <v>32</v>
      </c>
      <c r="B9" s="37">
        <f t="shared" si="0"/>
        <v>2054.6013807357199</v>
      </c>
      <c r="C9" s="33"/>
      <c r="D9" s="37">
        <f>IF( ISERROR(IND_andere_gas_kWh/1000),0,IND_andere_gas_kWh/1000)*0.902</f>
        <v>745.87523260290334</v>
      </c>
      <c r="E9" s="33">
        <f>C31*'E Balans VL '!I19/100/3.6*1000000</f>
        <v>34.509547156510109</v>
      </c>
      <c r="F9" s="33">
        <f>C31*'E Balans VL '!L19/100/3.6*1000000+C31*'E Balans VL '!N19/100/3.6*1000000</f>
        <v>1606.1703381022403</v>
      </c>
      <c r="G9" s="34"/>
      <c r="H9" s="33"/>
      <c r="I9" s="33"/>
      <c r="J9" s="40">
        <f>C31*'E Balans VL '!D19/100/3.6*1000000+C31*'E Balans VL '!E19/100/3.6*1000000</f>
        <v>0.18530690778512993</v>
      </c>
      <c r="K9" s="33"/>
      <c r="L9" s="33"/>
      <c r="M9" s="33"/>
      <c r="N9" s="33">
        <f>C31*'E Balans VL '!Y19/100/3.6*1000000</f>
        <v>152.27892548968268</v>
      </c>
      <c r="O9" s="33"/>
      <c r="P9" s="33"/>
      <c r="R9" s="32"/>
    </row>
    <row r="10" spans="1:18">
      <c r="A10" s="6" t="s">
        <v>40</v>
      </c>
      <c r="B10" s="37">
        <f t="shared" si="0"/>
        <v>693.54080134830997</v>
      </c>
      <c r="C10" s="33"/>
      <c r="D10" s="37">
        <f>IF( ISERROR(IND_voed_gas_kWh/1000),0,IND_voed_gas_kWh/1000)*0.902</f>
        <v>999.23411889094245</v>
      </c>
      <c r="E10" s="33">
        <f>C32*'E Balans VL '!I20/100/3.6*1000000</f>
        <v>6.3275780706358358</v>
      </c>
      <c r="F10" s="33">
        <f>C32*'E Balans VL '!L20/100/3.6*1000000+C32*'E Balans VL '!N20/100/3.6*1000000</f>
        <v>111.88982394424836</v>
      </c>
      <c r="G10" s="34"/>
      <c r="H10" s="33"/>
      <c r="I10" s="33"/>
      <c r="J10" s="40">
        <f>C32*'E Balans VL '!D20/100/3.6*1000000+C32*'E Balans VL '!E20/100/3.6*1000000</f>
        <v>2.8564557273118512</v>
      </c>
      <c r="K10" s="33"/>
      <c r="L10" s="33"/>
      <c r="M10" s="33"/>
      <c r="N10" s="33">
        <f>C32*'E Balans VL '!Y20/100/3.6*1000000</f>
        <v>10.145955051455358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4686.2249689234595</v>
      </c>
      <c r="C15" s="33"/>
      <c r="D15" s="37">
        <f>IF( ISERROR(IND_rest_gas_kWh/1000),0,IND_rest_gas_kWh/1000)*0.902</f>
        <v>2011.154753484883</v>
      </c>
      <c r="E15" s="33">
        <f>C37*'E Balans VL '!I15/100/3.6*1000000</f>
        <v>42.292072062466147</v>
      </c>
      <c r="F15" s="33">
        <f>C37*'E Balans VL '!L15/100/3.6*1000000+C37*'E Balans VL '!N15/100/3.6*1000000</f>
        <v>936.81400097292317</v>
      </c>
      <c r="G15" s="34"/>
      <c r="H15" s="33"/>
      <c r="I15" s="33"/>
      <c r="J15" s="40">
        <f>C37*'E Balans VL '!D15/100/3.6*1000000+C37*'E Balans VL '!E15/100/3.6*1000000</f>
        <v>31.554003311492515</v>
      </c>
      <c r="K15" s="33"/>
      <c r="L15" s="33"/>
      <c r="M15" s="33"/>
      <c r="N15" s="33">
        <f>C37*'E Balans VL '!Y15/100/3.6*1000000</f>
        <v>84.332634064383342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7560.656605829723</v>
      </c>
      <c r="C18" s="21">
        <f>C5+C16</f>
        <v>0</v>
      </c>
      <c r="D18" s="21">
        <f>MAX((D5+D16),0)</f>
        <v>3853.8409186643321</v>
      </c>
      <c r="E18" s="21">
        <f>MAX((E5+E16),0)</f>
        <v>84.016605424143677</v>
      </c>
      <c r="F18" s="21">
        <f>MAX((F5+F16),0)</f>
        <v>2668.7400062928568</v>
      </c>
      <c r="G18" s="21"/>
      <c r="H18" s="21"/>
      <c r="I18" s="21"/>
      <c r="J18" s="21">
        <f>MAX((J5+J16),0)</f>
        <v>37.201389602824051</v>
      </c>
      <c r="K18" s="21"/>
      <c r="L18" s="21">
        <f>MAX((L5+L16),0)</f>
        <v>0</v>
      </c>
      <c r="M18" s="21"/>
      <c r="N18" s="21">
        <f>MAX((N5+N16),0)</f>
        <v>247.23085657755189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0.21597651271222457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1632.9242475417477</v>
      </c>
      <c r="C22" s="23">
        <f ca="1">C18*C20</f>
        <v>0</v>
      </c>
      <c r="D22" s="23">
        <f>D18*D20</f>
        <v>778.47586557019508</v>
      </c>
      <c r="E22" s="23">
        <f>E18*E20</f>
        <v>19.071769431280615</v>
      </c>
      <c r="F22" s="23">
        <f>F18*F20</f>
        <v>712.55358168019279</v>
      </c>
      <c r="G22" s="23"/>
      <c r="H22" s="23"/>
      <c r="I22" s="23"/>
      <c r="J22" s="23">
        <f>J18*J20</f>
        <v>13.169291919399713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126.28945482223399</v>
      </c>
      <c r="C30" s="39">
        <f>IF(ISERROR(B30*3.6/1000000/'E Balans VL '!Z18*100),0,B30*3.6/1000000/'E Balans VL '!Z18*100)</f>
        <v>8.4071661263196498E-3</v>
      </c>
      <c r="D30" s="234" t="s">
        <v>700</v>
      </c>
    </row>
    <row r="31" spans="1:18">
      <c r="A31" s="6" t="s">
        <v>32</v>
      </c>
      <c r="B31" s="37">
        <f>IF( ISERROR(IND_ander_ele_kWh/1000),0,IND_ander_ele_kWh/1000)</f>
        <v>2054.6013807357199</v>
      </c>
      <c r="C31" s="39">
        <f>IF(ISERROR(B31*3.6/1000000/'E Balans VL '!Z19*100),0,B31*3.6/1000000/'E Balans VL '!Z19*100)</f>
        <v>9.1072336931941E-2</v>
      </c>
      <c r="D31" s="234" t="s">
        <v>700</v>
      </c>
    </row>
    <row r="32" spans="1:18">
      <c r="A32" s="169" t="s">
        <v>40</v>
      </c>
      <c r="B32" s="37">
        <f>IF( ISERROR(IND_voed_ele_kWh/1000),0,IND_voed_ele_kWh/1000)</f>
        <v>693.54080134830997</v>
      </c>
      <c r="C32" s="39">
        <f>IF(ISERROR(B32*3.6/1000000/'E Balans VL '!Z20*100),0,B32*3.6/1000000/'E Balans VL '!Z20*100)</f>
        <v>2.3166252276099569E-2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4686.2249689234595</v>
      </c>
      <c r="C37" s="39">
        <f>IF(ISERROR(B37*3.6/1000000/'E Balans VL '!Z15*100),0,B37*3.6/1000000/'E Balans VL '!Z15*100)</f>
        <v>3.4857879255265643E-2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58.472121535794201</v>
      </c>
      <c r="C5" s="17">
        <f>'Eigen informatie GS &amp; warmtenet'!B60</f>
        <v>0</v>
      </c>
      <c r="D5" s="30">
        <f>IF(ISERROR(SUM(LB_lb_gas_kWh,LB_rest_gas_kWh)/1000),0,SUM(LB_lb_gas_kWh,LB_rest_gas_kWh)/1000)*0.902</f>
        <v>25.195170760056993</v>
      </c>
      <c r="E5" s="17">
        <f>B17*'E Balans VL '!I25/3.6*1000000/100</f>
        <v>0.6123327154209306</v>
      </c>
      <c r="F5" s="17">
        <f>B17*('E Balans VL '!L25/3.6*1000000+'E Balans VL '!N25/3.6*1000000)/100</f>
        <v>250.30510954968631</v>
      </c>
      <c r="G5" s="18"/>
      <c r="H5" s="17"/>
      <c r="I5" s="17"/>
      <c r="J5" s="17">
        <f>('E Balans VL '!D25+'E Balans VL '!E25)/3.6*1000000*landbouw!B17/100</f>
        <v>5.2220845477126225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58.472121535794201</v>
      </c>
      <c r="C8" s="21">
        <f>C5+C6</f>
        <v>0</v>
      </c>
      <c r="D8" s="21">
        <f>MAX((D5+D6),0)</f>
        <v>25.195170760056993</v>
      </c>
      <c r="E8" s="21">
        <f>MAX((E5+E6),0)</f>
        <v>0.6123327154209306</v>
      </c>
      <c r="F8" s="21">
        <f>MAX((F5+F6),0)</f>
        <v>250.30510954968631</v>
      </c>
      <c r="G8" s="21"/>
      <c r="H8" s="21"/>
      <c r="I8" s="21"/>
      <c r="J8" s="21">
        <f>MAX((J5+J6),0)</f>
        <v>5.2220845477126225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0.21597651271222457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12.628604900186197</v>
      </c>
      <c r="C12" s="23">
        <f ca="1">C8*C10</f>
        <v>0</v>
      </c>
      <c r="D12" s="23">
        <f>D8*D10</f>
        <v>5.0894244935315127</v>
      </c>
      <c r="E12" s="23">
        <f>E8*E10</f>
        <v>0.13899952640055124</v>
      </c>
      <c r="F12" s="23">
        <f>F8*F10</f>
        <v>66.831464249766242</v>
      </c>
      <c r="G12" s="23"/>
      <c r="H12" s="23"/>
      <c r="I12" s="23"/>
      <c r="J12" s="23">
        <f>J8*J10</f>
        <v>1.8486179298902683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8.999988224890159E-3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22.799976388412883</v>
      </c>
      <c r="C26" s="244">
        <f>B26*'GWP N2O_CH4'!B5</f>
        <v>478.79950415667054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2.942340381516948</v>
      </c>
      <c r="C27" s="244">
        <f>B27*'GWP N2O_CH4'!B5</f>
        <v>61.789148011855907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0.32438598043639189</v>
      </c>
      <c r="C28" s="244">
        <f>B28*'GWP N2O_CH4'!B4</f>
        <v>100.55965393528149</v>
      </c>
      <c r="D28" s="50"/>
    </row>
    <row r="29" spans="1:4">
      <c r="A29" s="41" t="s">
        <v>266</v>
      </c>
      <c r="B29" s="244">
        <f>B34*'ha_N2O bodem landbouw'!B4</f>
        <v>4.7144606796838291</v>
      </c>
      <c r="C29" s="244">
        <f>B29*'GWP N2O_CH4'!B4</f>
        <v>1461.4828107019871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7.7912654561458812E-4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1.2523730210937353E-6</v>
      </c>
      <c r="C5" s="433" t="s">
        <v>204</v>
      </c>
      <c r="D5" s="418">
        <f>SUM(D6:D11)</f>
        <v>4.2863596957898296E-6</v>
      </c>
      <c r="E5" s="418">
        <f>SUM(E6:E11)</f>
        <v>4.3967801852608468E-4</v>
      </c>
      <c r="F5" s="431" t="s">
        <v>204</v>
      </c>
      <c r="G5" s="418">
        <f>SUM(G6:G11)</f>
        <v>8.2011620634662649E-2</v>
      </c>
      <c r="H5" s="418">
        <f>SUM(H6:H11)</f>
        <v>1.4057733150661215E-2</v>
      </c>
      <c r="I5" s="433" t="s">
        <v>204</v>
      </c>
      <c r="J5" s="433" t="s">
        <v>204</v>
      </c>
      <c r="K5" s="433" t="s">
        <v>204</v>
      </c>
      <c r="L5" s="433" t="s">
        <v>204</v>
      </c>
      <c r="M5" s="418">
        <f>SUM(M6:M11)</f>
        <v>4.1800011621625542E-3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9.7693870757530905E-7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3.0932038256466068E-6</v>
      </c>
      <c r="E6" s="421">
        <f>vkm_GW_PW*SUMIFS(TableVerdeelsleutelVkm[LPG],TableVerdeelsleutelVkm[Voertuigtype],"Lichte voertuigen")*SUMIFS(TableECFTransport[EnergieConsumptieFactor (PJ per km)],TableECFTransport[Index],CONCATENATE($A6,"_LPG_LPG"))</f>
        <v>3.2233873598511284E-4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4.2935599989833657E-2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1.0300157728547157E-2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2.3236958353977026E-3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5.3282051506759556E-8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2.401833203018185E-2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6.5029589107279292E-7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1.0347197315912653E-3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2.2173692473445476E-7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1.1931558701432228E-6</v>
      </c>
      <c r="E8" s="421">
        <f>vkm_NGW_PW*SUMIFS(TableVerdeelsleutelVkm[LPG],TableVerdeelsleutelVkm[Voertuigtype],"Lichte voertuigen")*SUMIFS(TableECFTransport[EnergieConsumptieFactor (PJ per km)],TableECFTransport[Index],CONCATENATE($A8,"_LPG_LPG"))</f>
        <v>1.1733928254097186E-4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1.4798353196270375E-2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3.7569190076882537E-3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8.1041335906758345E-4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4.1533727721208227E-10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2.5933541837676229E-4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6.1185347314936021E-9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1.1172236106003142E-5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0.3478813947482598</v>
      </c>
      <c r="C14" s="21"/>
      <c r="D14" s="21">
        <f t="shared" ref="D14:M14" si="0">((D5)*10^9/3600)+D12</f>
        <v>1.1906554710527306</v>
      </c>
      <c r="E14" s="21">
        <f t="shared" si="0"/>
        <v>122.1327829239124</v>
      </c>
      <c r="F14" s="21"/>
      <c r="G14" s="21">
        <f t="shared" si="0"/>
        <v>22781.005731850735</v>
      </c>
      <c r="H14" s="21">
        <f t="shared" si="0"/>
        <v>3904.925875183671</v>
      </c>
      <c r="I14" s="21"/>
      <c r="J14" s="21"/>
      <c r="K14" s="21"/>
      <c r="L14" s="21"/>
      <c r="M14" s="21">
        <f t="shared" si="0"/>
        <v>1161.1114339340429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0.21597651271222457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7.5134210475193947E-2</v>
      </c>
      <c r="C18" s="23"/>
      <c r="D18" s="23">
        <f t="shared" ref="D18:M18" si="1">D14*D16</f>
        <v>0.2405124051526516</v>
      </c>
      <c r="E18" s="23">
        <f t="shared" si="1"/>
        <v>27.724141723728117</v>
      </c>
      <c r="F18" s="23"/>
      <c r="G18" s="23">
        <f t="shared" si="1"/>
        <v>6082.5285304041463</v>
      </c>
      <c r="H18" s="23">
        <f t="shared" si="1"/>
        <v>972.32654292073403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1.2546535327931018E-3</v>
      </c>
      <c r="C50" s="315">
        <f t="shared" ref="C50:P50" si="2">SUM(C51:C52)</f>
        <v>0</v>
      </c>
      <c r="D50" s="315">
        <f t="shared" si="2"/>
        <v>0</v>
      </c>
      <c r="E50" s="315">
        <f t="shared" si="2"/>
        <v>0</v>
      </c>
      <c r="F50" s="315">
        <f t="shared" si="2"/>
        <v>0</v>
      </c>
      <c r="G50" s="315">
        <f t="shared" si="2"/>
        <v>5.6867848321668886E-3</v>
      </c>
      <c r="H50" s="315">
        <f t="shared" si="2"/>
        <v>0</v>
      </c>
      <c r="I50" s="315">
        <f t="shared" si="2"/>
        <v>0</v>
      </c>
      <c r="J50" s="315">
        <f t="shared" si="2"/>
        <v>0</v>
      </c>
      <c r="K50" s="315">
        <f t="shared" si="2"/>
        <v>0</v>
      </c>
      <c r="L50" s="315">
        <f t="shared" si="2"/>
        <v>0</v>
      </c>
      <c r="M50" s="315">
        <f t="shared" si="2"/>
        <v>2.434862821566787E-4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2.6213634539500416E-5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5.6867848321668886E-3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2.434862821566787E-4</v>
      </c>
      <c r="N51" s="317"/>
      <c r="O51" s="317"/>
      <c r="P51" s="320"/>
    </row>
    <row r="52" spans="1:18">
      <c r="A52" s="4" t="s">
        <v>318</v>
      </c>
      <c r="B52" s="321">
        <f>vkm_tram*SUMIFS(TableECFTransport[EnergieConsumptieFactor (PJ per km)],TableECFTransport[Index],"Tram_gemiddeld_Electric_Electric")</f>
        <v>1.2284398982536015E-3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348.51487022030608</v>
      </c>
      <c r="C54" s="21">
        <f t="shared" ref="C54:P54" si="3">(C50)*10^9/3600</f>
        <v>0</v>
      </c>
      <c r="D54" s="21">
        <f t="shared" si="3"/>
        <v>0</v>
      </c>
      <c r="E54" s="21">
        <f t="shared" si="3"/>
        <v>0</v>
      </c>
      <c r="F54" s="21">
        <f t="shared" si="3"/>
        <v>0</v>
      </c>
      <c r="G54" s="21">
        <f t="shared" si="3"/>
        <v>1579.6624533796912</v>
      </c>
      <c r="H54" s="21">
        <f t="shared" si="3"/>
        <v>0</v>
      </c>
      <c r="I54" s="21">
        <f t="shared" si="3"/>
        <v>0</v>
      </c>
      <c r="J54" s="21">
        <f t="shared" si="3"/>
        <v>0</v>
      </c>
      <c r="K54" s="21">
        <f t="shared" si="3"/>
        <v>0</v>
      </c>
      <c r="L54" s="21">
        <f t="shared" si="3"/>
        <v>0</v>
      </c>
      <c r="M54" s="21">
        <f t="shared" si="3"/>
        <v>67.635078376855191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0.21597651271222457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75.271026298535233</v>
      </c>
      <c r="C58" s="23">
        <f t="shared" ref="C58:P58" ca="1" si="4">C54*C56</f>
        <v>0</v>
      </c>
      <c r="D58" s="23">
        <f t="shared" si="4"/>
        <v>0</v>
      </c>
      <c r="E58" s="23">
        <f t="shared" si="4"/>
        <v>0</v>
      </c>
      <c r="F58" s="23">
        <f t="shared" si="4"/>
        <v>0</v>
      </c>
      <c r="G58" s="23">
        <f t="shared" si="4"/>
        <v>421.76987505237759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1509.4683048634029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1509.4683048634029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2021-11-11T13:46:09Z</dcterms:modified>
</cp:coreProperties>
</file>