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5844095-9260-4E1C-A23C-7FC0B5788C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3" i="13" l="1"/>
  <c r="B36" i="13"/>
  <c r="B32" i="13"/>
  <c r="B35" i="13"/>
  <c r="C35" i="13" s="1"/>
  <c r="B34" i="13"/>
  <c r="C34" i="13"/>
  <c r="P5" i="13"/>
  <c r="P8" i="13"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<sst xmlns="http://schemas.openxmlformats.org/spreadsheetml/2006/main" count="2569" uniqueCount="977">
  <si>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</si>
  <si>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</si>
  <si>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</si>
  <si>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</si>
  <si>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</si>
  <si>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</si>
  <si>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</si>
  <si>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</si>
  <si>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</si>
  <si>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</si>
  <si>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</si>
  <si>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</si>
  <si>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</si>
  <si>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</si>
  <si>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</si>
  <si>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</si>
  <si>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</si>
  <si>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</si>
  <si>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</si>
  <si>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</si>
  <si>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</si>
  <si>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</si>
  <si>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</si>
  <si>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</si>
  <si>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</si>
  <si>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</si>
  <si>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</si>
  <si>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</si>
  <si>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</si>
  <si>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</si>
  <si>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</si>
  <si>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</si>
  <si>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</si>
  <si>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</si>
  <si>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</si>
  <si>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</si>
  <si>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</si>
  <si>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</si>
  <si>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</si>
  <si>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</si>
  <si>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</si>
  <si>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</si>
  <si>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</si>
  <si>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</si>
  <si>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</si>
  <si>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</si>
  <si>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</si>
  <si>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</si>
  <si>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</si>
  <si>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</si>
  <si>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</si>
  <si>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</si>
  <si>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</si>
  <si>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</si>
  <si>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</si>
  <si>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</si>
  <si>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</si>
  <si>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</si>
  <si>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</si>
  <si>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</si>
  <si>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</si>
  <si>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</si>
  <si>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</si>
  <si>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</si>
  <si>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</si>
  <si>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</si>
  <si>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</si>
  <si>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</si>
  <si>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</si>
  <si>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</si>
  <si>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</si>
  <si>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</si>
  <si>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</si>
  <si>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</si>
  <si>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</si>
  <si>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</si>
  <si>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</si>
  <si>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</si>
  <si>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</si>
  <si>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</si>
  <si>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</si>
  <si>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</si>
  <si>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</si>
  <si>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</si>
  <si>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</si>
  <si>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</si>
  <si>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</si>
  <si>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</si>
  <si>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</si>
  <si>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</si>
  <si>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</si>
  <si>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</si>
  <si>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</si>
  <si>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</si>
  <si>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</si>
  <si>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</si>
  <si>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</si>
  <si>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</si>
  <si>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</si>
  <si>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</si>
  <si>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</si>
  <si>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</si>
  <si>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</si>
  <si>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</si>
  <si>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</si>
  <si>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</si>
  <si>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</si>
  <si>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</si>
  <si>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</si>
  <si>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</si>
  <si>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</si>
  <si>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</si>
  <si>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</si>
  <si>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</si>
  <si>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</si>
  <si>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</si>
  <si>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</si>
  <si>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</si>
  <si>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</si>
  <si>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</si>
  <si>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</si>
  <si>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</si>
  <si>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</si>
  <si>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</si>
  <si>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</si>
  <si>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</si>
  <si>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</si>
  <si>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</si>
  <si>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</si>
  <si>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</si>
  <si>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</si>
  <si>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</si>
  <si>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</si>
  <si>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</si>
  <si>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</si>
  <si>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</si>
  <si>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</si>
  <si>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</si>
  <si>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</si>
  <si>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</si>
  <si>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</si>
  <si>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</si>
  <si>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</si>
  <si>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</si>
  <si>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</si>
  <si>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</si>
  <si>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</si>
  <si>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</si>
  <si>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</si>
  <si>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</si>
  <si>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</si>
  <si>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</si>
  <si>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</si>
  <si>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</si>
  <si>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</si>
  <si>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</si>
  <si>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</si>
  <si>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</si>
  <si>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</si>
  <si>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</si>
  <si>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</si>
  <si>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</si>
  <si>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</si>
  <si>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</si>
  <si>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</si>
  <si>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</si>
  <si>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</si>
  <si>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</si>
  <si>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</si>
  <si>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</si>
  <si>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</si>
  <si>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</si>
  <si>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</si>
  <si>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</si>
  <si>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</si>
  <si>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</si>
  <si>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</si>
  <si>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</si>
  <si>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</si>
  <si>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</si>
  <si>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</si>
  <si>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</si>
  <si>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</si>
  <si>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</si>
  <si>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</si>
  <si>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</si>
  <si>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</si>
  <si>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</si>
  <si>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</si>
  <si>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</si>
  <si>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</si>
  <si>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</si>
  <si>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</si>
  <si>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</si>
  <si>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</si>
  <si>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</si>
  <si>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</si>
  <si>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</si>
  <si>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</si>
  <si>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</si>
  <si>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</si>
  <si>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</si>
  <si>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</si>
  <si>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</si>
  <si>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</si>
  <si>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</si>
  <si>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</si>
  <si>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</si>
  <si>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</si>
  <si>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</si>
  <si>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</si>
  <si>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</si>
  <si>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</si>
  <si>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</si>
  <si>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</si>
  <si>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</si>
  <si>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</si>
  <si>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</si>
  <si>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</si>
  <si>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</si>
  <si>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</si>
  <si>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</si>
  <si>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</si>
  <si>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</si>
  <si>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</si>
  <si>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</si>
  <si>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</si>
  <si>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</si>
  <si>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</si>
  <si>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</si>
  <si>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</si>
  <si>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</si>
  <si>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</si>
  <si>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</si>
  <si>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</si>
  <si>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</si>
  <si>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</si>
  <si>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</si>
  <si>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</si>
  <si>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</si>
  <si>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</si>
  <si>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</si>
  <si>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</si>
  <si>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</si>
  <si>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</si>
  <si>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</si>
  <si>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</si>
  <si>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</si>
  <si>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</si>
  <si>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</si>
  <si>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</si>
  <si>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</si>
  <si>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</si>
  <si>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</si>
  <si>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</si>
  <si>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</si>
  <si>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</si>
  <si>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</si>
  <si>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</si>
  <si>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</si>
  <si>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</si>
  <si>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</si>
  <si>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</si>
  <si>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</si>
  <si>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</si>
  <si>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</si>
  <si>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</si>
  <si>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</si>
  <si>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</si>
  <si>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</si>
  <si>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</si>
  <si>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</si>
  <si>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</si>
  <si>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</si>
  <si>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</si>
  <si>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</si>
  <si>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</si>
  <si>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</si>
  <si>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</si>
  <si>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</si>
  <si>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</si>
  <si>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</si>
  <si>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</si>
  <si>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</si>
  <si>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</si>
  <si>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</si>
  <si>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</si>
  <si>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</si>
  <si>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</si>
  <si>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</si>
  <si>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</si>
  <si>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</si>
  <si>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</si>
  <si>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</si>
  <si>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</si>
  <si>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</si>
  <si>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</si>
  <si>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</si>
  <si>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</si>
  <si>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</si>
  <si>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</si>
  <si>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</si>
  <si>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</si>
  <si>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</si>
  <si>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</si>
  <si>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</si>
  <si>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</si>
  <si>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</si>
  <si>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</si>
  <si>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</si>
  <si>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</si>
  <si>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</si>
  <si>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</si>
  <si>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</si>
  <si>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</si>
  <si>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</si>
  <si>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</si>
  <si>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</si>
  <si>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</si>
  <si>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</si>
  <si>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</si>
  <si>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</si>
  <si>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</si>
  <si>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</si>
  <si>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</si>
  <si>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</si>
  <si>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</si>
  <si>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</si>
  <si>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</si>
  <si>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</si>
  <si>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</si>
  <si>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</si>
  <si>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</si>
  <si>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</si>
  <si>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</si>
  <si>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</si>
  <si>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</si>
  <si>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</si>
  <si>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</si>
  <si>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</si>
  <si>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</si>
  <si>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</si>
  <si>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</si>
  <si>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</si>
  <si>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</si>
  <si>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</si>
  <si>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</si>
  <si>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</si>
  <si>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</si>
  <si>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</si>
  <si>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</si>
  <si>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</si>
  <si>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</si>
  <si>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</si>
  <si>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</si>
  <si>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</si>
  <si>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</si>
  <si>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</si>
  <si>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</si>
  <si>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</si>
  <si>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</si>
  <si>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</si>
  <si>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</si>
  <si>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</si>
  <si>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</si>
  <si>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</si>
  <si>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</si>
  <si>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</si>
  <si>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</si>
  <si>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</si>
  <si>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</si>
  <si>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</si>
  <si>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</si>
  <si>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</si>
  <si>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</si>
  <si>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</si>
  <si>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</si>
  <si>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</si>
  <si>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</si>
  <si>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</si>
  <si>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</si>
  <si>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</si>
  <si>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</si>
  <si>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</si>
  <si>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</si>
  <si>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</si>
  <si>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</si>
  <si>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</si>
  <si>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</si>
  <si>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</si>
  <si>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</si>
  <si>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</si>
  <si>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</si>
  <si>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</si>
  <si>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</si>
  <si>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</si>
  <si>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</si>
  <si>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</si>
  <si>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</si>
  <si>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</si>
  <si>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</si>
  <si>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</si>
  <si>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</si>
  <si>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</si>
  <si>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</si>
  <si>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</si>
  <si>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</si>
  <si>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</si>
  <si>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</si>
  <si>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</si>
  <si>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</si>
  <si>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</si>
  <si>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</si>
  <si>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</si>
  <si>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</si>
  <si>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</si>
  <si>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</si>
  <si>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</si>
  <si>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</si>
  <si>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</si>
  <si>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</si>
  <si>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</si>
  <si>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</si>
  <si>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</si>
  <si>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</si>
  <si>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</si>
  <si>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</si>
  <si>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</si>
  <si>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</si>
  <si>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</si>
  <si>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</si>
  <si>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</si>
  <si>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</si>
  <si>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</si>
  <si>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</si>
  <si>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</si>
  <si>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</si>
  <si>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</si>
  <si>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</si>
  <si>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</si>
  <si>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</si>
  <si>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</si>
  <si>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</si>
  <si>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</si>
  <si>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</si>
  <si>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</si>
  <si>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</si>
  <si>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</si>
  <si>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</si>
  <si>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</si>
  <si>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</si>
  <si>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</si>
  <si>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</si>
  <si>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</si>
  <si>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</si>
  <si>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</si>
  <si>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</si>
  <si>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</si>
  <si>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</si>
  <si>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</si>
  <si>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</si>
  <si>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</si>
  <si>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</si>
  <si>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</si>
  <si>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</si>
  <si>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</si>
  <si>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</si>
  <si>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</si>
  <si>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</si>
  <si>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</si>
  <si>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</si>
  <si>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</si>
  <si>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</si>
  <si>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</si>
  <si>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</si>
  <si>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</si>
  <si>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</si>
  <si>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</si>
  <si>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</si>
  <si>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</si>
  <si>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</si>
  <si>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</si>
  <si>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</si>
  <si>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</si>
  <si>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</si>
  <si>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</si>
  <si>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</si>
  <si>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</si>
  <si>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</si>
  <si>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</si>
  <si>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</si>
  <si>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</si>
  <si>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</si>
  <si>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</si>
  <si>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</si>
  <si>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</si>
  <si>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</si>
  <si>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</si>
  <si>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</si>
  <si>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</si>
  <si>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</si>
  <si>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</si>
  <si>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</si>
  <si>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</si>
  <si>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</si>
  <si>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</si>
  <si>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</si>
  <si>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</si>
  <si>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</si>
  <si>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</si>
  <si>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</si>
  <si>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</si>
  <si>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</si>
  <si>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</si>
  <si>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</si>
  <si>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</si>
  <si>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</si>
  <si>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</si>
  <si>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</si>
  <si>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</si>
  <si>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</si>
  <si>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</si>
  <si>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</si>
  <si>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</si>
  <si>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</si>
  <si>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</si>
  <si>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</si>
  <si>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</si>
  <si>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</si>
  <si>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</si>
  <si>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</si>
  <si>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</si>
  <si>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</si>
  <si>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</si>
  <si>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</si>
  <si>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</si>
  <si>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</si>
  <si>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</si>
  <si>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</si>
  <si>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</si>
  <si>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</si>
  <si>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</si>
  <si>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</si>
  <si>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</si>
  <si>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</si>
  <si>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</si>
  <si>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</si>
  <si>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</si>
  <si>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</si>
  <si>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</si>
  <si>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</si>
  <si>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</si>
  <si>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</si>
  <si>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</si>
  <si>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</si>
  <si>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</si>
  <si>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</si>
  <si>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</si>
  <si>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</si>
  <si>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</si>
  <si>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</si>
  <si>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</si>
  <si>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</si>
  <si>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</si>
  <si>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</si>
  <si>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</si>
  <si>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</si>
  <si>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</si>
  <si>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</si>
  <si>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</si>
  <si>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</si>
  <si>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</si>
  <si>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</si>
  <si>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</si>
  <si>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</si>
  <si>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</si>
  <si>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</si>
  <si>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</si>
  <si>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</si>
  <si>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</si>
  <si>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</si>
  <si>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</si>
  <si>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</si>
  <si>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</si>
  <si>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</si>
  <si>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</si>
  <si>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</si>
  <si>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</si>
  <si>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</si>
  <si>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</si>
  <si>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</si>
  <si>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</si>
  <si>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</si>
  <si>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</si>
  <si>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</si>
  <si>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</si>
  <si>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</si>
  <si>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</si>
  <si>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</si>
  <si>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</si>
  <si>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</si>
  <si>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</si>
  <si>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</si>
  <si>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</si>
  <si>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</si>
  <si>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</si>
  <si>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</si>
  <si>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</si>
  <si>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</si>
  <si>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</si>
  <si>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</si>
  <si>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</si>
  <si>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</si>
  <si>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</si>
  <si>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</si>
  <si>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</si>
  <si>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</si>
  <si>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</si>
  <si>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</si>
  <si>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</si>
  <si>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</si>
  <si>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</si>
  <si>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</si>
  <si>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</si>
  <si>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</si>
  <si>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</si>
  <si>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</si>
  <si>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</si>
  <si>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</si>
  <si>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</si>
  <si>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</si>
  <si>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</si>
  <si>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</si>
  <si>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</si>
  <si>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</si>
  <si>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</si>
  <si>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</si>
  <si>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</si>
  <si>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</si>
  <si>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</si>
  <si>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</si>
  <si>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</si>
  <si>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</si>
  <si>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</si>
  <si>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</si>
  <si>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</si>
  <si>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</si>
  <si>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</si>
  <si>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</si>
  <si>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</si>
  <si>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</si>
  <si>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</si>
  <si>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</si>
  <si>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</si>
  <si>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</si>
  <si>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</si>
  <si>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</si>
  <si>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</si>
  <si>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</si>
  <si>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</si>
  <si>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</si>
  <si>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</si>
  <si>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</si>
  <si>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</si>
  <si>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</si>
  <si>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</si>
  <si>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</si>
  <si>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</si>
  <si>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</si>
  <si>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</si>
  <si>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</si>
  <si>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</si>
  <si>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</si>
  <si>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</si>
  <si>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</si>
  <si>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</si>
  <si>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</si>
  <si>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</si>
  <si>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</si>
  <si>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</si>
  <si>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</si>
  <si>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</si>
  <si>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</si>
  <si>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</si>
  <si>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</si>
  <si>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</si>
  <si>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</si>
  <si>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</si>
  <si>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</si>
  <si>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</si>
  <si>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</si>
  <si>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</si>
  <si>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</si>
  <si>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</si>
  <si>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</si>
  <si>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</si>
  <si>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</si>
  <si>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</si>
  <si>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</si>
  <si>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</si>
  <si>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</si>
  <si>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</si>
  <si>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</si>
  <si>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</si>
  <si>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</si>
  <si>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</si>
  <si>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</si>
  <si>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</si>
  <si>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</si>
  <si>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</si>
  <si>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</si>
  <si>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</si>
  <si>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</si>
  <si>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</si>
  <si>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</si>
  <si>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</si>
  <si>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</si>
  <si>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</si>
  <si>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</si>
  <si>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</si>
  <si>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</si>
  <si>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</si>
  <si>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</si>
  <si>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</si>
  <si>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</si>
  <si>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</si>
  <si>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</si>
  <si>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</si>
  <si>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</si>
  <si>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</si>
  <si>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</si>
  <si>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</si>
  <si>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</si>
  <si>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</si>
  <si>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</si>
  <si>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</si>
  <si>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</si>
  <si>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</si>
  <si>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</si>
  <si>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</si>
  <si>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</si>
  <si>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</si>
  <si>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</si>
  <si>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</si>
  <si>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</si>
  <si>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</si>
  <si>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</si>
  <si>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</si>
  <si>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</si>
  <si>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</si>
  <si>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</si>
  <si>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</si>
  <si>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</si>
  <si>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</si>
  <si>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</si>
  <si>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</si>
  <si>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</si>
  <si>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</si>
  <si>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</si>
  <si>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</si>
  <si>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</si>
  <si>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</si>
  <si>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</si>
  <si>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</si>
  <si>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</si>
  <si>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</si>
  <si>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</si>
  <si>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</si>
  <si>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</si>
  <si>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</si>
  <si>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</si>
  <si>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</si>
  <si>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</si>
  <si>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</si>
  <si>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</si>
  <si>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</si>
  <si>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</si>
  <si>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</si>
  <si>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</si>
  <si>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</si>
  <si>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</si>
  <si>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</si>
  <si>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</si>
  <si>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</si>
  <si>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</si>
  <si>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</si>
  <si>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</si>
  <si>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</si>
  <si>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</si>
  <si>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</si>
  <si>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</si>
  <si>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</si>
  <si>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</si>
  <si>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</si>
  <si>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</si>
  <si>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</si>
  <si>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</si>
  <si>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</si>
  <si>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</si>
  <si>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</si>
  <si>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</si>
  <si>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</si>
  <si>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</si>
  <si>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</si>
  <si>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</si>
  <si>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</si>
  <si>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</si>
  <si>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</si>
  <si>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</si>
  <si>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</si>
  <si>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</si>
  <si>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</si>
  <si>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</si>
  <si>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</si>
  <si>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</si>
  <si>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</si>
  <si>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</si>
  <si>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</si>
  <si>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</si>
  <si>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</si>
  <si>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</si>
  <si>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</si>
  <si>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</si>
  <si>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</si>
  <si>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</si>
  <si>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</si>
  <si>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</si>
  <si>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</si>
  <si>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</si>
  <si>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</si>
  <si>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</si>
  <si>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</si>
  <si>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</si>
  <si>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</si>
  <si>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</si>
  <si>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</si>
  <si>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</si>
  <si>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</si>
  <si>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</si>
  <si>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</si>
  <si>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</si>
  <si>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</si>
  <si>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</si>
  <si>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</si>
  <si>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</si>
  <si>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</si>
  <si>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</si>
  <si>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</si>
  <si>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</si>
  <si>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</si>
  <si>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</si>
  <si>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</si>
  <si>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</si>
  <si>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</si>
  <si>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</si>
  <si>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</si>
  <si>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</si>
  <si>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</si>
  <si>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</si>
  <si>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</si>
  <si>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</si>
  <si>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</si>
  <si>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</si>
  <si>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</si>
  <si>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</si>
  <si>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</si>
  <si>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</si>
  <si>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</si>
  <si>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</si>
  <si>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</si>
  <si>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</si>
  <si>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</si>
  <si>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</si>
  <si>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</si>
  <si>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</si>
  <si>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</si>
  <si>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</si>
  <si>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</si>
  <si>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</si>
  <si>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</si>
  <si>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</si>
  <si>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</si>
  <si>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</si>
  <si>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</si>
  <si>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</si>
  <si>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</si>
  <si>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</si>
  <si>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</si>
  <si>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</si>
  <si>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</si>
  <si>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</si>
  <si>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</si>
  <si>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</si>
  <si>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</si>
  <si>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</si>
  <si>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</si>
  <si>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</si>
  <si>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</si>
  <si>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</si>
  <si>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</si>
  <si>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</si>
  <si>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</si>
  <si>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</si>
  <si>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</si>
  <si>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</si>
  <si>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</si>
  <si>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</si>
  <si>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</si>
  <si>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</si>
  <si>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</si>
  <si>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</si>
  <si>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</si>
  <si>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</si>
  <si>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</si>
  <si>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</si>
  <si>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</si>
  <si>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</si>
  <si>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</si>
  <si>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</si>
  <si>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</si>
  <si>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</si>
  <si>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</si>
  <si>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</si>
  <si>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</si>
  <si>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</si>
  <si>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</si>
  <si>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</si>
  <si>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</si>
  <si>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</si>
  <si>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</si>
  <si>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</si>
  <si>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</si>
  <si>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</si>
  <si>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</si>
  <si>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</si>
  <si>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</si>
  <si>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</si>
  <si>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</si>
  <si>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</si>
  <si>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</si>
  <si>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</si>
  <si>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</si>
  <si>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</si>
  <si>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</si>
  <si>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</si>
  <si>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</si>
  <si>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</si>
  <si>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</si>
  <si>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</si>
  <si>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</si>
  <si>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</si>
  <si>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</si>
  <si>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</si>
  <si>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</si>
  <si>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</si>
  <si>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</si>
  <si>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</si>
  <si>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</si>
  <si>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</si>
  <si>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</si>
  <si>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</si>
  <si>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</si>
  <si>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</si>
  <si>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</si>
  <si>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</si>
  <si>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</si>
  <si>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</si>
  <si>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</si>
  <si>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</si>
  <si>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</si>
  <si>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34041</t>
  </si>
  <si>
    <t>WEVELGEM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</si>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</sst>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B9C8842-643F-42F4-BCFE-72EC7F70D7D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34041</v>
      </c>
      <c r="B6" s="384"/>
      <c r="C6" s="385"/>
    </row>
    <row r="7" spans="1:7" s="382" customFormat="1" ht="15.75" customHeight="1">
      <c r="A7" s="386" t="str">
        <f>txtMunicipality</f>
        <v>WEVELGEM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46618.694000000003</v>
      </c>
      <c r="D10" s="674">
        <f ca="1">tertiair!C16</f>
        <v>0</v>
      </c>
      <c r="E10" s="674">
        <f ca="1">tertiair!D16</f>
        <v>45999.304847939595</v>
      </c>
      <c r="F10" s="674">
        <f>tertiair!E16</f>
        <v>769.82017974485325</v>
      </c>
      <c r="G10" s="674">
        <f ca="1">tertiair!F16</f>
        <v>7453.2528549980507</v>
      </c>
      <c r="H10" s="674">
        <f>tertiair!G16</f>
        <v>0</v>
      </c>
      <c r="I10" s="674">
        <f>tertiair!H16</f>
        <v>0</v>
      </c>
      <c r="J10" s="674">
        <f>tertiair!I16</f>
        <v>0</v>
      </c>
      <c r="K10" s="674">
        <f>tertiair!J16</f>
        <v>0</v>
      </c>
      <c r="L10" s="674">
        <f>tertiair!K16</f>
        <v>0</v>
      </c>
      <c r="M10" s="674">
        <f ca="1">tertiair!L16</f>
        <v>0</v>
      </c>
      <c r="N10" s="674">
        <f>tertiair!M16</f>
        <v>0</v>
      </c>
      <c r="O10" s="674">
        <f ca="1">tertiair!N16</f>
        <v>818.58147933966097</v>
      </c>
      <c r="P10" s="674">
        <f>tertiair!O16</f>
        <v>4.6900000000000004</v>
      </c>
      <c r="Q10" s="675">
        <f>tertiair!P16</f>
        <v>76.266666666666666</v>
      </c>
      <c r="R10" s="677">
        <f ca="1">SUM(C10:Q10)</f>
        <v>101740.61002868882</v>
      </c>
      <c r="S10" s="67"/>
    </row>
    <row r="11" spans="1:19" s="443" customFormat="1">
      <c r="A11" s="789" t="s">
        <v>214</v>
      </c>
      <c r="B11" s="794"/>
      <c r="C11" s="674">
        <f>huishoudens!B8</f>
        <v>58886.140383579346</v>
      </c>
      <c r="D11" s="674">
        <f>huishoudens!C8</f>
        <v>0</v>
      </c>
      <c r="E11" s="674">
        <f>huishoudens!D8</f>
        <v>134443.79056423384</v>
      </c>
      <c r="F11" s="674">
        <f>huishoudens!E8</f>
        <v>1869.4320887218989</v>
      </c>
      <c r="G11" s="674">
        <f>huishoudens!F8</f>
        <v>63811.934541317511</v>
      </c>
      <c r="H11" s="674">
        <f>huishoudens!G8</f>
        <v>0</v>
      </c>
      <c r="I11" s="674">
        <f>huishoudens!H8</f>
        <v>0</v>
      </c>
      <c r="J11" s="674">
        <f>huishoudens!I8</f>
        <v>0</v>
      </c>
      <c r="K11" s="674">
        <f>huishoudens!J8</f>
        <v>1436.8829842907062</v>
      </c>
      <c r="L11" s="674">
        <f>huishoudens!K8</f>
        <v>0</v>
      </c>
      <c r="M11" s="674">
        <f>huishoudens!L8</f>
        <v>0</v>
      </c>
      <c r="N11" s="674">
        <f>huishoudens!M8</f>
        <v>0</v>
      </c>
      <c r="O11" s="674">
        <f>huishoudens!N8</f>
        <v>14783.66572146941</v>
      </c>
      <c r="P11" s="674">
        <f>huishoudens!O8</f>
        <v>109.43333333333334</v>
      </c>
      <c r="Q11" s="675">
        <f>huishoudens!P8</f>
        <v>247.86666666666667</v>
      </c>
      <c r="R11" s="677">
        <f>SUM(C11:Q11)</f>
        <v>275589.1462836127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75471.244731754341</v>
      </c>
      <c r="D13" s="674">
        <f>industrie!C18</f>
        <v>0</v>
      </c>
      <c r="E13" s="674">
        <f>industrie!D18</f>
        <v>121487.44113906698</v>
      </c>
      <c r="F13" s="674">
        <f>industrie!E18</f>
        <v>636.32827534567411</v>
      </c>
      <c r="G13" s="674">
        <f>industrie!F18</f>
        <v>15863.389194256406</v>
      </c>
      <c r="H13" s="674">
        <f>industrie!G18</f>
        <v>0</v>
      </c>
      <c r="I13" s="674">
        <f>industrie!H18</f>
        <v>0</v>
      </c>
      <c r="J13" s="674">
        <f>industrie!I18</f>
        <v>0</v>
      </c>
      <c r="K13" s="674">
        <f>industrie!J18</f>
        <v>496.73415140791104</v>
      </c>
      <c r="L13" s="674">
        <f>industrie!K18</f>
        <v>0</v>
      </c>
      <c r="M13" s="674">
        <f>industrie!L18</f>
        <v>0</v>
      </c>
      <c r="N13" s="674">
        <f>industrie!M18</f>
        <v>0</v>
      </c>
      <c r="O13" s="674">
        <f>industrie!N18</f>
        <v>1443.989737663263</v>
      </c>
      <c r="P13" s="674">
        <f>industrie!O18</f>
        <v>0</v>
      </c>
      <c r="Q13" s="675">
        <f>industrie!P18</f>
        <v>0</v>
      </c>
      <c r="R13" s="677">
        <f>SUM(C13:Q13)</f>
        <v>215399.12722949457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180976.07911533368</v>
      </c>
      <c r="D16" s="707">
        <f t="shared" ref="D16:R16" ca="1" si="0">SUM(D9:D15)</f>
        <v>0</v>
      </c>
      <c r="E16" s="707">
        <f t="shared" ca="1" si="0"/>
        <v>301930.53655124042</v>
      </c>
      <c r="F16" s="707">
        <f t="shared" si="0"/>
        <v>3275.5805438124262</v>
      </c>
      <c r="G16" s="707">
        <f t="shared" ca="1" si="0"/>
        <v>87128.576590571975</v>
      </c>
      <c r="H16" s="707">
        <f t="shared" si="0"/>
        <v>0</v>
      </c>
      <c r="I16" s="707">
        <f t="shared" si="0"/>
        <v>0</v>
      </c>
      <c r="J16" s="707">
        <f t="shared" si="0"/>
        <v>0</v>
      </c>
      <c r="K16" s="707">
        <f t="shared" si="0"/>
        <v>1933.6171356986172</v>
      </c>
      <c r="L16" s="707">
        <f t="shared" si="0"/>
        <v>0</v>
      </c>
      <c r="M16" s="707">
        <f t="shared" ca="1" si="0"/>
        <v>0</v>
      </c>
      <c r="N16" s="707">
        <f t="shared" si="0"/>
        <v>0</v>
      </c>
      <c r="O16" s="707">
        <f t="shared" ca="1" si="0"/>
        <v>17046.236938472332</v>
      </c>
      <c r="P16" s="707">
        <f t="shared" si="0"/>
        <v>114.12333333333333</v>
      </c>
      <c r="Q16" s="707">
        <f t="shared" si="0"/>
        <v>324.13333333333333</v>
      </c>
      <c r="R16" s="707">
        <f t="shared" ca="1" si="0"/>
        <v>592728.88354179612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7.198315363179141</v>
      </c>
      <c r="D19" s="674">
        <f>transport!C54</f>
        <v>0</v>
      </c>
      <c r="E19" s="674">
        <f>transport!D54</f>
        <v>0</v>
      </c>
      <c r="F19" s="674">
        <f>transport!E54</f>
        <v>0</v>
      </c>
      <c r="G19" s="674">
        <f>transport!F54</f>
        <v>0</v>
      </c>
      <c r="H19" s="674">
        <f>transport!G54</f>
        <v>1561.6022479750791</v>
      </c>
      <c r="I19" s="674">
        <f>transport!H54</f>
        <v>0</v>
      </c>
      <c r="J19" s="674">
        <f>transport!I54</f>
        <v>0</v>
      </c>
      <c r="K19" s="674">
        <f>transport!J54</f>
        <v>0</v>
      </c>
      <c r="L19" s="674">
        <f>transport!K54</f>
        <v>0</v>
      </c>
      <c r="M19" s="674">
        <f>transport!L54</f>
        <v>0</v>
      </c>
      <c r="N19" s="674">
        <f>transport!M54</f>
        <v>66.861809755176154</v>
      </c>
      <c r="O19" s="674">
        <f>transport!N54</f>
        <v>0</v>
      </c>
      <c r="P19" s="674">
        <f>transport!O54</f>
        <v>0</v>
      </c>
      <c r="Q19" s="675">
        <f>transport!P54</f>
        <v>0</v>
      </c>
      <c r="R19" s="677">
        <f>SUM(C19:Q19)</f>
        <v>1635.6623730934343</v>
      </c>
      <c r="S19" s="67"/>
    </row>
    <row r="20" spans="1:19" s="443" customFormat="1">
      <c r="A20" s="789" t="s">
        <v>296</v>
      </c>
      <c r="B20" s="794"/>
      <c r="C20" s="674">
        <f>transport!B14</f>
        <v>2.4638426483993978</v>
      </c>
      <c r="D20" s="674">
        <f>transport!C14</f>
        <v>0</v>
      </c>
      <c r="E20" s="674">
        <f>transport!D14</f>
        <v>8.303005844160829</v>
      </c>
      <c r="F20" s="674">
        <f>transport!E14</f>
        <v>958.1780543067382</v>
      </c>
      <c r="G20" s="674">
        <f>transport!F14</f>
        <v>0</v>
      </c>
      <c r="H20" s="674">
        <f>transport!G14</f>
        <v>198198.60415075812</v>
      </c>
      <c r="I20" s="674">
        <f>transport!H14</f>
        <v>28134.547834794703</v>
      </c>
      <c r="J20" s="674">
        <f>transport!I14</f>
        <v>0</v>
      </c>
      <c r="K20" s="674">
        <f>transport!J14</f>
        <v>0</v>
      </c>
      <c r="L20" s="674">
        <f>transport!K14</f>
        <v>0</v>
      </c>
      <c r="M20" s="674">
        <f>transport!L14</f>
        <v>0</v>
      </c>
      <c r="N20" s="674">
        <f>transport!M14</f>
        <v>9833.1268113343976</v>
      </c>
      <c r="O20" s="674">
        <f>transport!N14</f>
        <v>0</v>
      </c>
      <c r="P20" s="674">
        <f>transport!O14</f>
        <v>0</v>
      </c>
      <c r="Q20" s="675">
        <f>transport!P14</f>
        <v>0</v>
      </c>
      <c r="R20" s="677">
        <f>SUM(C20:Q20)</f>
        <v>237135.22369968652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9.6621580115785388</v>
      </c>
      <c r="D22" s="792">
        <f t="shared" ref="D22:R22" si="1">SUM(D18:D21)</f>
        <v>0</v>
      </c>
      <c r="E22" s="792">
        <f t="shared" si="1"/>
        <v>8.303005844160829</v>
      </c>
      <c r="F22" s="792">
        <f t="shared" si="1"/>
        <v>958.1780543067382</v>
      </c>
      <c r="G22" s="792">
        <f t="shared" si="1"/>
        <v>0</v>
      </c>
      <c r="H22" s="792">
        <f t="shared" si="1"/>
        <v>199760.20639873319</v>
      </c>
      <c r="I22" s="792">
        <f t="shared" si="1"/>
        <v>28134.547834794703</v>
      </c>
      <c r="J22" s="792">
        <f t="shared" si="1"/>
        <v>0</v>
      </c>
      <c r="K22" s="792">
        <f t="shared" si="1"/>
        <v>0</v>
      </c>
      <c r="L22" s="792">
        <f t="shared" si="1"/>
        <v>0</v>
      </c>
      <c r="M22" s="792">
        <f t="shared" si="1"/>
        <v>0</v>
      </c>
      <c r="N22" s="792">
        <f t="shared" si="1"/>
        <v>9899.9886210895729</v>
      </c>
      <c r="O22" s="792">
        <f t="shared" si="1"/>
        <v>0</v>
      </c>
      <c r="P22" s="792">
        <f t="shared" si="1"/>
        <v>0</v>
      </c>
      <c r="Q22" s="792">
        <f t="shared" si="1"/>
        <v>0</v>
      </c>
      <c r="R22" s="792">
        <f t="shared" si="1"/>
        <v>238770.88607277995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3636.6190000000001</v>
      </c>
      <c r="D24" s="674">
        <f>+landbouw!C8</f>
        <v>0</v>
      </c>
      <c r="E24" s="674">
        <f>+landbouw!D8</f>
        <v>70.640666818009962</v>
      </c>
      <c r="F24" s="674">
        <f>+landbouw!E8</f>
        <v>38.08346146390776</v>
      </c>
      <c r="G24" s="674">
        <f>+landbouw!F8</f>
        <v>15567.492563584252</v>
      </c>
      <c r="H24" s="674">
        <f>+landbouw!G8</f>
        <v>0</v>
      </c>
      <c r="I24" s="674">
        <f>+landbouw!H8</f>
        <v>0</v>
      </c>
      <c r="J24" s="674">
        <f>+landbouw!I8</f>
        <v>0</v>
      </c>
      <c r="K24" s="674">
        <f>+landbouw!J8</f>
        <v>324.78267227216639</v>
      </c>
      <c r="L24" s="674">
        <f>+landbouw!K8</f>
        <v>0</v>
      </c>
      <c r="M24" s="674">
        <f>+landbouw!L8</f>
        <v>0</v>
      </c>
      <c r="N24" s="674">
        <f>+landbouw!M8</f>
        <v>0</v>
      </c>
      <c r="O24" s="674">
        <f>+landbouw!N8</f>
        <v>0</v>
      </c>
      <c r="P24" s="674">
        <f>+landbouw!O8</f>
        <v>0</v>
      </c>
      <c r="Q24" s="675">
        <f>+landbouw!P8</f>
        <v>0</v>
      </c>
      <c r="R24" s="677">
        <f>SUM(C24:Q24)</f>
        <v>19637.618364138336</v>
      </c>
      <c r="S24" s="67"/>
    </row>
    <row r="25" spans="1:19" s="443" customFormat="1" ht="15" thickBot="1">
      <c r="A25" s="811" t="s">
        <v>889</v>
      </c>
      <c r="B25" s="966"/>
      <c r="C25" s="967">
        <f>IF(Onbekend_ele_kWh="---",0,Onbekend_ele_kWh)/1000+IF(REST_rest_ele_kWh="---",0,REST_rest_ele_kWh)/1000</f>
        <v>14617.780999999999</v>
      </c>
      <c r="D25" s="967"/>
      <c r="E25" s="967">
        <f>IF(onbekend_gas_kWh="---",0,onbekend_gas_kWh)/1000+IF(REST_rest_gas_kWh="---",0,REST_rest_gas_kWh)/1000</f>
        <v>8521.0657336353197</v>
      </c>
      <c r="F25" s="967"/>
      <c r="G25" s="967"/>
      <c r="H25" s="967"/>
      <c r="I25" s="967"/>
      <c r="J25" s="967"/>
      <c r="K25" s="967"/>
      <c r="L25" s="967"/>
      <c r="M25" s="967"/>
      <c r="N25" s="967"/>
      <c r="O25" s="967"/>
      <c r="P25" s="967"/>
      <c r="Q25" s="968"/>
      <c r="R25" s="677">
        <f>SUM(C25:Q25)</f>
        <v>23138.846733635321</v>
      </c>
      <c r="S25" s="67"/>
    </row>
    <row r="26" spans="1:19" s="443" customFormat="1" ht="15.75" thickBot="1">
      <c r="A26" s="680" t="s">
        <v>890</v>
      </c>
      <c r="B26" s="797"/>
      <c r="C26" s="792">
        <f>SUM(C24:C25)</f>
        <v>18254.399999999998</v>
      </c>
      <c r="D26" s="792">
        <f t="shared" ref="D26:R26" si="2">SUM(D24:D25)</f>
        <v>0</v>
      </c>
      <c r="E26" s="792">
        <f t="shared" si="2"/>
        <v>8591.7064004533295</v>
      </c>
      <c r="F26" s="792">
        <f t="shared" si="2"/>
        <v>38.08346146390776</v>
      </c>
      <c r="G26" s="792">
        <f t="shared" si="2"/>
        <v>15567.492563584252</v>
      </c>
      <c r="H26" s="792">
        <f t="shared" si="2"/>
        <v>0</v>
      </c>
      <c r="I26" s="792">
        <f t="shared" si="2"/>
        <v>0</v>
      </c>
      <c r="J26" s="792">
        <f t="shared" si="2"/>
        <v>0</v>
      </c>
      <c r="K26" s="792">
        <f t="shared" si="2"/>
        <v>324.78267227216639</v>
      </c>
      <c r="L26" s="792">
        <f t="shared" si="2"/>
        <v>0</v>
      </c>
      <c r="M26" s="792">
        <f t="shared" si="2"/>
        <v>0</v>
      </c>
      <c r="N26" s="792">
        <f t="shared" si="2"/>
        <v>0</v>
      </c>
      <c r="O26" s="792">
        <f t="shared" si="2"/>
        <v>0</v>
      </c>
      <c r="P26" s="792">
        <f t="shared" si="2"/>
        <v>0</v>
      </c>
      <c r="Q26" s="792">
        <f t="shared" si="2"/>
        <v>0</v>
      </c>
      <c r="R26" s="792">
        <f t="shared" si="2"/>
        <v>42776.46509777366</v>
      </c>
      <c r="S26" s="67"/>
    </row>
    <row r="27" spans="1:19" s="443" customFormat="1" ht="17.25" thickTop="1" thickBot="1">
      <c r="A27" s="681" t="s">
        <v>109</v>
      </c>
      <c r="B27" s="784"/>
      <c r="C27" s="682">
        <f ca="1">C22+C16+C26</f>
        <v>199240.14127334525</v>
      </c>
      <c r="D27" s="682">
        <f t="shared" ref="D27:R27" ca="1" si="3">D22+D16+D26</f>
        <v>0</v>
      </c>
      <c r="E27" s="682">
        <f t="shared" ca="1" si="3"/>
        <v>310530.54595753795</v>
      </c>
      <c r="F27" s="682">
        <f t="shared" si="3"/>
        <v>4271.8420595830721</v>
      </c>
      <c r="G27" s="682">
        <f t="shared" ca="1" si="3"/>
        <v>102696.06915415623</v>
      </c>
      <c r="H27" s="682">
        <f t="shared" si="3"/>
        <v>199760.20639873319</v>
      </c>
      <c r="I27" s="682">
        <f t="shared" si="3"/>
        <v>28134.547834794703</v>
      </c>
      <c r="J27" s="682">
        <f t="shared" si="3"/>
        <v>0</v>
      </c>
      <c r="K27" s="682">
        <f t="shared" si="3"/>
        <v>2258.3998079707835</v>
      </c>
      <c r="L27" s="682">
        <f t="shared" si="3"/>
        <v>0</v>
      </c>
      <c r="M27" s="682">
        <f t="shared" ca="1" si="3"/>
        <v>0</v>
      </c>
      <c r="N27" s="682">
        <f t="shared" si="3"/>
        <v>9899.9886210895729</v>
      </c>
      <c r="O27" s="682">
        <f t="shared" ca="1" si="3"/>
        <v>17046.236938472332</v>
      </c>
      <c r="P27" s="682">
        <f t="shared" si="3"/>
        <v>114.12333333333333</v>
      </c>
      <c r="Q27" s="682">
        <f t="shared" si="3"/>
        <v>324.13333333333333</v>
      </c>
      <c r="R27" s="682">
        <f t="shared" ca="1" si="3"/>
        <v>874276.23471234983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9880.7503689094683</v>
      </c>
      <c r="D40" s="674">
        <f ca="1">tertiair!C20</f>
        <v>0</v>
      </c>
      <c r="E40" s="674">
        <f ca="1">tertiair!D20</f>
        <v>9291.8595792837987</v>
      </c>
      <c r="F40" s="674">
        <f>tertiair!E20</f>
        <v>174.7491808020817</v>
      </c>
      <c r="G40" s="674">
        <f ca="1">tertiair!F20</f>
        <v>1990.0185122844796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21337.377641279832</v>
      </c>
    </row>
    <row r="41" spans="1:18">
      <c r="A41" s="802" t="s">
        <v>214</v>
      </c>
      <c r="B41" s="809"/>
      <c r="C41" s="674">
        <f ca="1">huishoudens!B12</f>
        <v>12480.814098282255</v>
      </c>
      <c r="D41" s="674">
        <f ca="1">huishoudens!C12</f>
        <v>0</v>
      </c>
      <c r="E41" s="674">
        <f>huishoudens!D12</f>
        <v>27157.645693975239</v>
      </c>
      <c r="F41" s="674">
        <f>huishoudens!E12</f>
        <v>424.36108413987108</v>
      </c>
      <c r="G41" s="674">
        <f>huishoudens!F12</f>
        <v>17037.786522531776</v>
      </c>
      <c r="H41" s="674">
        <f>huishoudens!G12</f>
        <v>0</v>
      </c>
      <c r="I41" s="674">
        <f>huishoudens!H12</f>
        <v>0</v>
      </c>
      <c r="J41" s="674">
        <f>huishoudens!I12</f>
        <v>0</v>
      </c>
      <c r="K41" s="674">
        <f>huishoudens!J12</f>
        <v>508.65657643890995</v>
      </c>
      <c r="L41" s="674">
        <f>huishoudens!K12</f>
        <v>0</v>
      </c>
      <c r="M41" s="674">
        <f>huishoudens!L12</f>
        <v>0</v>
      </c>
      <c r="N41" s="674">
        <f>huishoudens!M12</f>
        <v>0</v>
      </c>
      <c r="O41" s="674">
        <f>huishoudens!N12</f>
        <v>0</v>
      </c>
      <c r="P41" s="674">
        <f>huishoudens!O12</f>
        <v>0</v>
      </c>
      <c r="Q41" s="749">
        <f>huishoudens!P12</f>
        <v>0</v>
      </c>
      <c r="R41" s="830">
        <f t="shared" ca="1" si="4"/>
        <v>57609.263975368041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15995.997854966476</v>
      </c>
      <c r="D43" s="674">
        <f ca="1">industrie!C22</f>
        <v>0</v>
      </c>
      <c r="E43" s="674">
        <f>industrie!D22</f>
        <v>24540.463110091532</v>
      </c>
      <c r="F43" s="674">
        <f>industrie!E22</f>
        <v>144.44651850346804</v>
      </c>
      <c r="G43" s="674">
        <f>industrie!F22</f>
        <v>4235.5249148664607</v>
      </c>
      <c r="H43" s="674">
        <f>industrie!G22</f>
        <v>0</v>
      </c>
      <c r="I43" s="674">
        <f>industrie!H22</f>
        <v>0</v>
      </c>
      <c r="J43" s="674">
        <f>industrie!I22</f>
        <v>0</v>
      </c>
      <c r="K43" s="674">
        <f>industrie!J22</f>
        <v>175.84388959840049</v>
      </c>
      <c r="L43" s="674">
        <f>industrie!K22</f>
        <v>0</v>
      </c>
      <c r="M43" s="674">
        <f>industrie!L22</f>
        <v>0</v>
      </c>
      <c r="N43" s="674">
        <f>industrie!M22</f>
        <v>0</v>
      </c>
      <c r="O43" s="674">
        <f>industrie!N22</f>
        <v>0</v>
      </c>
      <c r="P43" s="674">
        <f>industrie!O22</f>
        <v>0</v>
      </c>
      <c r="Q43" s="749">
        <f>industrie!P22</f>
        <v>0</v>
      </c>
      <c r="R43" s="829">
        <f t="shared" ca="1" si="4"/>
        <v>45092.27628802634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38357.562322158199</v>
      </c>
      <c r="D46" s="707">
        <f t="shared" ref="D46:Q46" ca="1" si="5">SUM(D39:D45)</f>
        <v>0</v>
      </c>
      <c r="E46" s="707">
        <f t="shared" ca="1" si="5"/>
        <v>60989.96838335057</v>
      </c>
      <c r="F46" s="707">
        <f t="shared" si="5"/>
        <v>743.55678344542082</v>
      </c>
      <c r="G46" s="707">
        <f t="shared" ca="1" si="5"/>
        <v>23263.329949682717</v>
      </c>
      <c r="H46" s="707">
        <f t="shared" si="5"/>
        <v>0</v>
      </c>
      <c r="I46" s="707">
        <f t="shared" si="5"/>
        <v>0</v>
      </c>
      <c r="J46" s="707">
        <f t="shared" si="5"/>
        <v>0</v>
      </c>
      <c r="K46" s="707">
        <f t="shared" si="5"/>
        <v>684.50046603731039</v>
      </c>
      <c r="L46" s="707">
        <f t="shared" si="5"/>
        <v>0</v>
      </c>
      <c r="M46" s="707">
        <f t="shared" ca="1" si="5"/>
        <v>0</v>
      </c>
      <c r="N46" s="707">
        <f t="shared" si="5"/>
        <v>0</v>
      </c>
      <c r="O46" s="707">
        <f t="shared" ca="1" si="5"/>
        <v>0</v>
      </c>
      <c r="P46" s="707">
        <f t="shared" si="5"/>
        <v>0</v>
      </c>
      <c r="Q46" s="707">
        <f t="shared" si="5"/>
        <v>0</v>
      </c>
      <c r="R46" s="707">
        <f ca="1">SUM(R39:R45)</f>
        <v>124038.91790467422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1.5256703068571376</v>
      </c>
      <c r="D49" s="674">
        <f ca="1">transport!C58</f>
        <v>0</v>
      </c>
      <c r="E49" s="674">
        <f>transport!D58</f>
        <v>0</v>
      </c>
      <c r="F49" s="674">
        <f>transport!E58</f>
        <v>0</v>
      </c>
      <c r="G49" s="674">
        <f>transport!F58</f>
        <v>0</v>
      </c>
      <c r="H49" s="674">
        <f>transport!G58</f>
        <v>416.94780020934616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418.47347051620329</v>
      </c>
    </row>
    <row r="50" spans="1:18">
      <c r="A50" s="805" t="s">
        <v>296</v>
      </c>
      <c r="B50" s="815"/>
      <c r="C50" s="973">
        <f ca="1">transport!B18</f>
        <v>0.52220712483080789</v>
      </c>
      <c r="D50" s="973">
        <f>transport!C18</f>
        <v>0</v>
      </c>
      <c r="E50" s="973">
        <f>transport!D18</f>
        <v>1.6772071805204876</v>
      </c>
      <c r="F50" s="973">
        <f>transport!E18</f>
        <v>217.50641832762958</v>
      </c>
      <c r="G50" s="973">
        <f>transport!F18</f>
        <v>0</v>
      </c>
      <c r="H50" s="973">
        <f>transport!G18</f>
        <v>52919.027308252422</v>
      </c>
      <c r="I50" s="973">
        <f>transport!H18</f>
        <v>7005.5024108638809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60144.235551749283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2.0478774316879456</v>
      </c>
      <c r="D52" s="707">
        <f t="shared" ref="D52:Q52" ca="1" si="6">SUM(D48:D51)</f>
        <v>0</v>
      </c>
      <c r="E52" s="707">
        <f t="shared" si="6"/>
        <v>1.6772071805204876</v>
      </c>
      <c r="F52" s="707">
        <f t="shared" si="6"/>
        <v>217.50641832762958</v>
      </c>
      <c r="G52" s="707">
        <f t="shared" si="6"/>
        <v>0</v>
      </c>
      <c r="H52" s="707">
        <f t="shared" si="6"/>
        <v>53335.975108461767</v>
      </c>
      <c r="I52" s="707">
        <f t="shared" si="6"/>
        <v>7005.5024108638809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60562.709022265488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770.7750141141488</v>
      </c>
      <c r="D54" s="973">
        <f ca="1">+landbouw!C12</f>
        <v>0</v>
      </c>
      <c r="E54" s="973">
        <f>+landbouw!D12</f>
        <v>14.269414697238012</v>
      </c>
      <c r="F54" s="973">
        <f>+landbouw!E12</f>
        <v>8.644945752307061</v>
      </c>
      <c r="G54" s="973">
        <f>+landbouw!F12</f>
        <v>4156.5205144769952</v>
      </c>
      <c r="H54" s="973">
        <f>+landbouw!G12</f>
        <v>0</v>
      </c>
      <c r="I54" s="973">
        <f>+landbouw!H12</f>
        <v>0</v>
      </c>
      <c r="J54" s="973">
        <f>+landbouw!I12</f>
        <v>0</v>
      </c>
      <c r="K54" s="973">
        <f>+landbouw!J12</f>
        <v>114.9730659843469</v>
      </c>
      <c r="L54" s="973">
        <f>+landbouw!K12</f>
        <v>0</v>
      </c>
      <c r="M54" s="973">
        <f>+landbouw!L12</f>
        <v>0</v>
      </c>
      <c r="N54" s="973">
        <f>+landbouw!M12</f>
        <v>0</v>
      </c>
      <c r="O54" s="973">
        <f>+landbouw!N12</f>
        <v>0</v>
      </c>
      <c r="P54" s="973">
        <f>+landbouw!O12</f>
        <v>0</v>
      </c>
      <c r="Q54" s="974">
        <f>+landbouw!P12</f>
        <v>0</v>
      </c>
      <c r="R54" s="706">
        <f ca="1">SUM(C54:Q54)</f>
        <v>5065.1829550250359</v>
      </c>
    </row>
    <row r="55" spans="1:18" ht="15" thickBot="1">
      <c r="A55" s="805" t="s">
        <v>889</v>
      </c>
      <c r="B55" s="815"/>
      <c r="C55" s="973">
        <f ca="1">C25*'EF ele_warmte'!B12</f>
        <v>3098.2130260531926</v>
      </c>
      <c r="D55" s="973"/>
      <c r="E55" s="973">
        <f>E25*EF_CO2_aardgas</f>
        <v>1721.2552781943348</v>
      </c>
      <c r="F55" s="973"/>
      <c r="G55" s="973"/>
      <c r="H55" s="973"/>
      <c r="I55" s="973"/>
      <c r="J55" s="973"/>
      <c r="K55" s="973"/>
      <c r="L55" s="973"/>
      <c r="M55" s="973"/>
      <c r="N55" s="973"/>
      <c r="O55" s="973"/>
      <c r="P55" s="973"/>
      <c r="Q55" s="974"/>
      <c r="R55" s="706">
        <f ca="1">SUM(C55:Q55)</f>
        <v>4819.4683042475272</v>
      </c>
    </row>
    <row r="56" spans="1:18" ht="15.75" thickBot="1">
      <c r="A56" s="803" t="s">
        <v>890</v>
      </c>
      <c r="B56" s="816"/>
      <c r="C56" s="707">
        <f ca="1">SUM(C54:C55)</f>
        <v>3868.9880401673413</v>
      </c>
      <c r="D56" s="707">
        <f t="shared" ref="D56:Q56" ca="1" si="7">SUM(D54:D55)</f>
        <v>0</v>
      </c>
      <c r="E56" s="707">
        <f t="shared" si="7"/>
        <v>1735.5246928915728</v>
      </c>
      <c r="F56" s="707">
        <f t="shared" si="7"/>
        <v>8.644945752307061</v>
      </c>
      <c r="G56" s="707">
        <f t="shared" si="7"/>
        <v>4156.5205144769952</v>
      </c>
      <c r="H56" s="707">
        <f t="shared" si="7"/>
        <v>0</v>
      </c>
      <c r="I56" s="707">
        <f t="shared" si="7"/>
        <v>0</v>
      </c>
      <c r="J56" s="707">
        <f t="shared" si="7"/>
        <v>0</v>
      </c>
      <c r="K56" s="707">
        <f t="shared" si="7"/>
        <v>114.9730659843469</v>
      </c>
      <c r="L56" s="707">
        <f t="shared" si="7"/>
        <v>0</v>
      </c>
      <c r="M56" s="707">
        <f t="shared" si="7"/>
        <v>0</v>
      </c>
      <c r="N56" s="707">
        <f t="shared" si="7"/>
        <v>0</v>
      </c>
      <c r="O56" s="707">
        <f t="shared" si="7"/>
        <v>0</v>
      </c>
      <c r="P56" s="707">
        <f t="shared" si="7"/>
        <v>0</v>
      </c>
      <c r="Q56" s="708">
        <f t="shared" si="7"/>
        <v>0</v>
      </c>
      <c r="R56" s="709">
        <f ca="1">SUM(R54:R55)</f>
        <v>9884.651259272563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42228.59823975723</v>
      </c>
      <c r="D61" s="715">
        <f t="shared" ref="D61:Q61" ca="1" si="8">D46+D52+D56</f>
        <v>0</v>
      </c>
      <c r="E61" s="715">
        <f t="shared" ca="1" si="8"/>
        <v>62727.17028342266</v>
      </c>
      <c r="F61" s="715">
        <f t="shared" si="8"/>
        <v>969.7081475253575</v>
      </c>
      <c r="G61" s="715">
        <f t="shared" ca="1" si="8"/>
        <v>27419.85046415971</v>
      </c>
      <c r="H61" s="715">
        <f t="shared" si="8"/>
        <v>53335.975108461767</v>
      </c>
      <c r="I61" s="715">
        <f t="shared" si="8"/>
        <v>7005.5024108638809</v>
      </c>
      <c r="J61" s="715">
        <f t="shared" si="8"/>
        <v>0</v>
      </c>
      <c r="K61" s="715">
        <f t="shared" si="8"/>
        <v>799.47353202165732</v>
      </c>
      <c r="L61" s="715">
        <f t="shared" si="8"/>
        <v>0</v>
      </c>
      <c r="M61" s="715">
        <f t="shared" ca="1" si="8"/>
        <v>0</v>
      </c>
      <c r="N61" s="715">
        <f t="shared" si="8"/>
        <v>0</v>
      </c>
      <c r="O61" s="715">
        <f t="shared" ca="1" si="8"/>
        <v>0</v>
      </c>
      <c r="P61" s="715">
        <f t="shared" si="8"/>
        <v>0</v>
      </c>
      <c r="Q61" s="715">
        <f t="shared" si="8"/>
        <v>0</v>
      </c>
      <c r="R61" s="715">
        <f ca="1">R46+R52+R56</f>
        <v>194486.27818621226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0.21194824481589875</v>
      </c>
      <c r="D63" s="759">
        <f t="shared" ca="1" si="9"/>
        <v>0</v>
      </c>
      <c r="E63" s="975">
        <f t="shared" ca="1" si="9"/>
        <v>0.20199999999999999</v>
      </c>
      <c r="F63" s="759">
        <f t="shared" si="9"/>
        <v>0.22700000000000004</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8160.5112291949299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8160.5112291949299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58886.140383579346</v>
      </c>
      <c r="C4" s="447">
        <f>huishoudens!C8</f>
        <v>0</v>
      </c>
      <c r="D4" s="447">
        <f>huishoudens!D8</f>
        <v>134443.79056423384</v>
      </c>
      <c r="E4" s="447">
        <f>huishoudens!E8</f>
        <v>1869.4320887218989</v>
      </c>
      <c r="F4" s="447">
        <f>huishoudens!F8</f>
        <v>63811.934541317511</v>
      </c>
      <c r="G4" s="447">
        <f>huishoudens!G8</f>
        <v>0</v>
      </c>
      <c r="H4" s="447">
        <f>huishoudens!H8</f>
        <v>0</v>
      </c>
      <c r="I4" s="447">
        <f>huishoudens!I8</f>
        <v>0</v>
      </c>
      <c r="J4" s="447">
        <f>huishoudens!J8</f>
        <v>1436.8829842907062</v>
      </c>
      <c r="K4" s="447">
        <f>huishoudens!K8</f>
        <v>0</v>
      </c>
      <c r="L4" s="447">
        <f>huishoudens!L8</f>
        <v>0</v>
      </c>
      <c r="M4" s="447">
        <f>huishoudens!M8</f>
        <v>0</v>
      </c>
      <c r="N4" s="447">
        <f>huishoudens!N8</f>
        <v>14783.66572146941</v>
      </c>
      <c r="O4" s="447">
        <f>huishoudens!O8</f>
        <v>109.43333333333334</v>
      </c>
      <c r="P4" s="448">
        <f>huishoudens!P8</f>
        <v>247.86666666666667</v>
      </c>
      <c r="Q4" s="449">
        <f>SUM(B4:P4)</f>
        <v>275589.1462836127</v>
      </c>
    </row>
    <row r="5" spans="1:17">
      <c r="A5" s="446" t="s">
        <v>149</v>
      </c>
      <c r="B5" s="447">
        <f ca="1">tertiair!B16</f>
        <v>43878.566000000006</v>
      </c>
      <c r="C5" s="447">
        <f ca="1">tertiair!C16</f>
        <v>0</v>
      </c>
      <c r="D5" s="447">
        <f ca="1">tertiair!D16</f>
        <v>45999.304847939595</v>
      </c>
      <c r="E5" s="447">
        <f>tertiair!E16</f>
        <v>769.82017974485325</v>
      </c>
      <c r="F5" s="447">
        <f ca="1">tertiair!F16</f>
        <v>7453.2528549980507</v>
      </c>
      <c r="G5" s="447">
        <f>tertiair!G16</f>
        <v>0</v>
      </c>
      <c r="H5" s="447">
        <f>tertiair!H16</f>
        <v>0</v>
      </c>
      <c r="I5" s="447">
        <f>tertiair!I16</f>
        <v>0</v>
      </c>
      <c r="J5" s="447">
        <f>tertiair!J16</f>
        <v>0</v>
      </c>
      <c r="K5" s="447">
        <f>tertiair!K16</f>
        <v>0</v>
      </c>
      <c r="L5" s="447">
        <f ca="1">tertiair!L16</f>
        <v>0</v>
      </c>
      <c r="M5" s="447">
        <f>tertiair!M16</f>
        <v>0</v>
      </c>
      <c r="N5" s="447">
        <f ca="1">tertiair!N16</f>
        <v>818.58147933966097</v>
      </c>
      <c r="O5" s="447">
        <f>tertiair!O16</f>
        <v>4.6900000000000004</v>
      </c>
      <c r="P5" s="448">
        <f>tertiair!P16</f>
        <v>76.266666666666666</v>
      </c>
      <c r="Q5" s="446">
        <f t="shared" ref="Q5:Q14" ca="1" si="0">SUM(B5:P5)</f>
        <v>99000.482028688828</v>
      </c>
    </row>
    <row r="6" spans="1:17">
      <c r="A6" s="446" t="s">
        <v>187</v>
      </c>
      <c r="B6" s="447">
        <f>'openbare verlichting'!B8</f>
        <v>2740.1280000000002</v>
      </c>
      <c r="C6" s="447"/>
      <c r="D6" s="447"/>
      <c r="E6" s="447"/>
      <c r="F6" s="447"/>
      <c r="G6" s="447"/>
      <c r="H6" s="447"/>
      <c r="I6" s="447"/>
      <c r="J6" s="447"/>
      <c r="K6" s="447"/>
      <c r="L6" s="447"/>
      <c r="M6" s="447"/>
      <c r="N6" s="447"/>
      <c r="O6" s="447"/>
      <c r="P6" s="448"/>
      <c r="Q6" s="446">
        <f t="shared" si="0"/>
        <v>2740.1280000000002</v>
      </c>
    </row>
    <row r="7" spans="1:17">
      <c r="A7" s="446" t="s">
        <v>105</v>
      </c>
      <c r="B7" s="447">
        <f>landbouw!B8</f>
        <v>3636.6190000000001</v>
      </c>
      <c r="C7" s="447">
        <f>landbouw!C8</f>
        <v>0</v>
      </c>
      <c r="D7" s="447">
        <f>landbouw!D8</f>
        <v>70.640666818009962</v>
      </c>
      <c r="E7" s="447">
        <f>landbouw!E8</f>
        <v>38.08346146390776</v>
      </c>
      <c r="F7" s="447">
        <f>landbouw!F8</f>
        <v>15567.492563584252</v>
      </c>
      <c r="G7" s="447">
        <f>landbouw!G8</f>
        <v>0</v>
      </c>
      <c r="H7" s="447">
        <f>landbouw!H8</f>
        <v>0</v>
      </c>
      <c r="I7" s="447">
        <f>landbouw!I8</f>
        <v>0</v>
      </c>
      <c r="J7" s="447">
        <f>landbouw!J8</f>
        <v>324.78267227216639</v>
      </c>
      <c r="K7" s="447">
        <f>landbouw!K8</f>
        <v>0</v>
      </c>
      <c r="L7" s="447">
        <f>landbouw!L8</f>
        <v>0</v>
      </c>
      <c r="M7" s="447">
        <f>landbouw!M8</f>
        <v>0</v>
      </c>
      <c r="N7" s="447">
        <f>landbouw!N8</f>
        <v>0</v>
      </c>
      <c r="O7" s="447">
        <f>landbouw!O8</f>
        <v>0</v>
      </c>
      <c r="P7" s="448">
        <f>landbouw!P8</f>
        <v>0</v>
      </c>
      <c r="Q7" s="446">
        <f t="shared" si="0"/>
        <v>19637.618364138336</v>
      </c>
    </row>
    <row r="8" spans="1:17">
      <c r="A8" s="446" t="s">
        <v>637</v>
      </c>
      <c r="B8" s="447">
        <f>industrie!B18</f>
        <v>75471.244731754341</v>
      </c>
      <c r="C8" s="447">
        <f>industrie!C18</f>
        <v>0</v>
      </c>
      <c r="D8" s="447">
        <f>industrie!D18</f>
        <v>121487.44113906698</v>
      </c>
      <c r="E8" s="447">
        <f>industrie!E18</f>
        <v>636.32827534567411</v>
      </c>
      <c r="F8" s="447">
        <f>industrie!F18</f>
        <v>15863.389194256406</v>
      </c>
      <c r="G8" s="447">
        <f>industrie!G18</f>
        <v>0</v>
      </c>
      <c r="H8" s="447">
        <f>industrie!H18</f>
        <v>0</v>
      </c>
      <c r="I8" s="447">
        <f>industrie!I18</f>
        <v>0</v>
      </c>
      <c r="J8" s="447">
        <f>industrie!J18</f>
        <v>496.73415140791104</v>
      </c>
      <c r="K8" s="447">
        <f>industrie!K18</f>
        <v>0</v>
      </c>
      <c r="L8" s="447">
        <f>industrie!L18</f>
        <v>0</v>
      </c>
      <c r="M8" s="447">
        <f>industrie!M18</f>
        <v>0</v>
      </c>
      <c r="N8" s="447">
        <f>industrie!N18</f>
        <v>1443.989737663263</v>
      </c>
      <c r="O8" s="447">
        <f>industrie!O18</f>
        <v>0</v>
      </c>
      <c r="P8" s="448">
        <f>industrie!P18</f>
        <v>0</v>
      </c>
      <c r="Q8" s="446">
        <f t="shared" si="0"/>
        <v>215399.12722949457</v>
      </c>
    </row>
    <row r="9" spans="1:17" s="452" customFormat="1">
      <c r="A9" s="450" t="s">
        <v>556</v>
      </c>
      <c r="B9" s="451">
        <f>transport!B14</f>
        <v>2.4638426483993978</v>
      </c>
      <c r="C9" s="451">
        <f>transport!C14</f>
        <v>0</v>
      </c>
      <c r="D9" s="451">
        <f>transport!D14</f>
        <v>8.303005844160829</v>
      </c>
      <c r="E9" s="451">
        <f>transport!E14</f>
        <v>958.1780543067382</v>
      </c>
      <c r="F9" s="451">
        <f>transport!F14</f>
        <v>0</v>
      </c>
      <c r="G9" s="451">
        <f>transport!G14</f>
        <v>198198.60415075812</v>
      </c>
      <c r="H9" s="451">
        <f>transport!H14</f>
        <v>28134.547834794703</v>
      </c>
      <c r="I9" s="451">
        <f>transport!I14</f>
        <v>0</v>
      </c>
      <c r="J9" s="451">
        <f>transport!J14</f>
        <v>0</v>
      </c>
      <c r="K9" s="451">
        <f>transport!K14</f>
        <v>0</v>
      </c>
      <c r="L9" s="451">
        <f>transport!L14</f>
        <v>0</v>
      </c>
      <c r="M9" s="451">
        <f>transport!M14</f>
        <v>9833.1268113343976</v>
      </c>
      <c r="N9" s="451">
        <f>transport!N14</f>
        <v>0</v>
      </c>
      <c r="O9" s="451">
        <f>transport!O14</f>
        <v>0</v>
      </c>
      <c r="P9" s="451">
        <f>transport!P14</f>
        <v>0</v>
      </c>
      <c r="Q9" s="450">
        <f>SUM(B9:P9)</f>
        <v>237135.22369968652</v>
      </c>
    </row>
    <row r="10" spans="1:17">
      <c r="A10" s="446" t="s">
        <v>546</v>
      </c>
      <c r="B10" s="447">
        <f>transport!B54</f>
        <v>7.198315363179141</v>
      </c>
      <c r="C10" s="447">
        <f>transport!C54</f>
        <v>0</v>
      </c>
      <c r="D10" s="447">
        <f>transport!D54</f>
        <v>0</v>
      </c>
      <c r="E10" s="447">
        <f>transport!E54</f>
        <v>0</v>
      </c>
      <c r="F10" s="447">
        <f>transport!F54</f>
        <v>0</v>
      </c>
      <c r="G10" s="447">
        <f>transport!G54</f>
        <v>1561.6022479750791</v>
      </c>
      <c r="H10" s="447">
        <f>transport!H54</f>
        <v>0</v>
      </c>
      <c r="I10" s="447">
        <f>transport!I54</f>
        <v>0</v>
      </c>
      <c r="J10" s="447">
        <f>transport!J54</f>
        <v>0</v>
      </c>
      <c r="K10" s="447">
        <f>transport!K54</f>
        <v>0</v>
      </c>
      <c r="L10" s="447">
        <f>transport!L54</f>
        <v>0</v>
      </c>
      <c r="M10" s="447">
        <f>transport!M54</f>
        <v>66.861809755176154</v>
      </c>
      <c r="N10" s="447">
        <f>transport!N54</f>
        <v>0</v>
      </c>
      <c r="O10" s="447">
        <f>transport!O54</f>
        <v>0</v>
      </c>
      <c r="P10" s="448">
        <f>transport!P54</f>
        <v>0</v>
      </c>
      <c r="Q10" s="446">
        <f t="shared" si="0"/>
        <v>1635.6623730934343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14617.780999999999</v>
      </c>
      <c r="C14" s="454"/>
      <c r="D14" s="454">
        <f>'SEAP template'!E25</f>
        <v>8521.0657336353197</v>
      </c>
      <c r="E14" s="454"/>
      <c r="F14" s="454"/>
      <c r="G14" s="454"/>
      <c r="H14" s="454"/>
      <c r="I14" s="454"/>
      <c r="J14" s="454"/>
      <c r="K14" s="454"/>
      <c r="L14" s="454"/>
      <c r="M14" s="454"/>
      <c r="N14" s="454"/>
      <c r="O14" s="454"/>
      <c r="P14" s="455"/>
      <c r="Q14" s="446">
        <f t="shared" si="0"/>
        <v>23138.846733635321</v>
      </c>
    </row>
    <row r="15" spans="1:17" s="459" customFormat="1">
      <c r="A15" s="456" t="s">
        <v>550</v>
      </c>
      <c r="B15" s="457">
        <f ca="1">SUM(B4:B14)</f>
        <v>199240.14127334525</v>
      </c>
      <c r="C15" s="457">
        <f t="shared" ref="C15:Q15" ca="1" si="1">SUM(C4:C14)</f>
        <v>0</v>
      </c>
      <c r="D15" s="457">
        <f t="shared" ca="1" si="1"/>
        <v>310530.54595753795</v>
      </c>
      <c r="E15" s="457">
        <f t="shared" si="1"/>
        <v>4271.8420595830721</v>
      </c>
      <c r="F15" s="457">
        <f t="shared" ca="1" si="1"/>
        <v>102696.06915415623</v>
      </c>
      <c r="G15" s="457">
        <f t="shared" si="1"/>
        <v>199760.20639873319</v>
      </c>
      <c r="H15" s="457">
        <f t="shared" si="1"/>
        <v>28134.547834794703</v>
      </c>
      <c r="I15" s="457">
        <f t="shared" si="1"/>
        <v>0</v>
      </c>
      <c r="J15" s="457">
        <f t="shared" si="1"/>
        <v>2258.3998079707835</v>
      </c>
      <c r="K15" s="457">
        <f t="shared" si="1"/>
        <v>0</v>
      </c>
      <c r="L15" s="457">
        <f t="shared" ca="1" si="1"/>
        <v>0</v>
      </c>
      <c r="M15" s="457">
        <f t="shared" si="1"/>
        <v>9899.9886210895729</v>
      </c>
      <c r="N15" s="457">
        <f t="shared" ca="1" si="1"/>
        <v>17046.236938472332</v>
      </c>
      <c r="O15" s="457">
        <f t="shared" si="1"/>
        <v>114.12333333333333</v>
      </c>
      <c r="P15" s="457">
        <f t="shared" si="1"/>
        <v>324.13333333333333</v>
      </c>
      <c r="Q15" s="457">
        <f t="shared" ca="1" si="1"/>
        <v>874276.23471234972</v>
      </c>
    </row>
    <row r="17" spans="1:17">
      <c r="A17" s="460" t="s">
        <v>551</v>
      </c>
      <c r="B17" s="764">
        <f ca="1">huishoudens!B10</f>
        <v>0.21194824481589872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12480.814098282255</v>
      </c>
      <c r="C22" s="447">
        <f t="shared" ref="C22:C32" ca="1" si="3">C4*$C$17</f>
        <v>0</v>
      </c>
      <c r="D22" s="447">
        <f t="shared" ref="D22:D32" si="4">D4*$D$17</f>
        <v>27157.645693975239</v>
      </c>
      <c r="E22" s="447">
        <f t="shared" ref="E22:E32" si="5">E4*$E$17</f>
        <v>424.36108413987108</v>
      </c>
      <c r="F22" s="447">
        <f t="shared" ref="F22:F32" si="6">F4*$F$17</f>
        <v>17037.786522531776</v>
      </c>
      <c r="G22" s="447">
        <f t="shared" ref="G22:G32" si="7">G4*$G$17</f>
        <v>0</v>
      </c>
      <c r="H22" s="447">
        <f t="shared" ref="H22:H32" si="8">H4*$H$17</f>
        <v>0</v>
      </c>
      <c r="I22" s="447">
        <f t="shared" ref="I22:I32" si="9">I4*$I$17</f>
        <v>0</v>
      </c>
      <c r="J22" s="447">
        <f t="shared" ref="J22:J32" si="10">J4*$J$17</f>
        <v>508.65657643890995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57609.263975368041</v>
      </c>
    </row>
    <row r="23" spans="1:17">
      <c r="A23" s="446" t="s">
        <v>149</v>
      </c>
      <c r="B23" s="447">
        <f t="shared" ca="1" si="2"/>
        <v>9299.9850487385702</v>
      </c>
      <c r="C23" s="447">
        <f t="shared" ca="1" si="3"/>
        <v>0</v>
      </c>
      <c r="D23" s="447">
        <f t="shared" ca="1" si="4"/>
        <v>9291.8595792837987</v>
      </c>
      <c r="E23" s="447">
        <f t="shared" si="5"/>
        <v>174.7491808020817</v>
      </c>
      <c r="F23" s="447">
        <f t="shared" ca="1" si="6"/>
        <v>1990.0185122844796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20756.612321108929</v>
      </c>
    </row>
    <row r="24" spans="1:17">
      <c r="A24" s="446" t="s">
        <v>187</v>
      </c>
      <c r="B24" s="447">
        <f t="shared" ca="1" si="2"/>
        <v>580.76532017089892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580.76532017089892</v>
      </c>
    </row>
    <row r="25" spans="1:17">
      <c r="A25" s="446" t="s">
        <v>105</v>
      </c>
      <c r="B25" s="447">
        <f t="shared" ca="1" si="2"/>
        <v>770.7750141141488</v>
      </c>
      <c r="C25" s="447">
        <f t="shared" ca="1" si="3"/>
        <v>0</v>
      </c>
      <c r="D25" s="447">
        <f t="shared" si="4"/>
        <v>14.269414697238012</v>
      </c>
      <c r="E25" s="447">
        <f t="shared" si="5"/>
        <v>8.644945752307061</v>
      </c>
      <c r="F25" s="447">
        <f t="shared" si="6"/>
        <v>4156.5205144769952</v>
      </c>
      <c r="G25" s="447">
        <f t="shared" si="7"/>
        <v>0</v>
      </c>
      <c r="H25" s="447">
        <f t="shared" si="8"/>
        <v>0</v>
      </c>
      <c r="I25" s="447">
        <f t="shared" si="9"/>
        <v>0</v>
      </c>
      <c r="J25" s="447">
        <f t="shared" si="10"/>
        <v>114.9730659843469</v>
      </c>
      <c r="K25" s="447">
        <f t="shared" si="11"/>
        <v>0</v>
      </c>
      <c r="L25" s="447">
        <f t="shared" si="12"/>
        <v>0</v>
      </c>
      <c r="M25" s="447">
        <f t="shared" si="13"/>
        <v>0</v>
      </c>
      <c r="N25" s="447">
        <f t="shared" si="14"/>
        <v>0</v>
      </c>
      <c r="O25" s="447">
        <f t="shared" si="15"/>
        <v>0</v>
      </c>
      <c r="P25" s="448">
        <f t="shared" si="16"/>
        <v>0</v>
      </c>
      <c r="Q25" s="446">
        <f t="shared" ca="1" si="17"/>
        <v>5065.1829550250359</v>
      </c>
    </row>
    <row r="26" spans="1:17">
      <c r="A26" s="446" t="s">
        <v>637</v>
      </c>
      <c r="B26" s="447">
        <f t="shared" ca="1" si="2"/>
        <v>15995.997854966476</v>
      </c>
      <c r="C26" s="447">
        <f t="shared" ca="1" si="3"/>
        <v>0</v>
      </c>
      <c r="D26" s="447">
        <f t="shared" si="4"/>
        <v>24540.463110091532</v>
      </c>
      <c r="E26" s="447">
        <f t="shared" si="5"/>
        <v>144.44651850346804</v>
      </c>
      <c r="F26" s="447">
        <f t="shared" si="6"/>
        <v>4235.5249148664607</v>
      </c>
      <c r="G26" s="447">
        <f t="shared" si="7"/>
        <v>0</v>
      </c>
      <c r="H26" s="447">
        <f t="shared" si="8"/>
        <v>0</v>
      </c>
      <c r="I26" s="447">
        <f t="shared" si="9"/>
        <v>0</v>
      </c>
      <c r="J26" s="447">
        <f t="shared" si="10"/>
        <v>175.84388959840049</v>
      </c>
      <c r="K26" s="447">
        <f t="shared" si="11"/>
        <v>0</v>
      </c>
      <c r="L26" s="447">
        <f t="shared" si="12"/>
        <v>0</v>
      </c>
      <c r="M26" s="447">
        <f t="shared" si="13"/>
        <v>0</v>
      </c>
      <c r="N26" s="447">
        <f t="shared" si="14"/>
        <v>0</v>
      </c>
      <c r="O26" s="447">
        <f t="shared" si="15"/>
        <v>0</v>
      </c>
      <c r="P26" s="448">
        <f t="shared" si="16"/>
        <v>0</v>
      </c>
      <c r="Q26" s="446">
        <f t="shared" ca="1" si="17"/>
        <v>45092.27628802634</v>
      </c>
    </row>
    <row r="27" spans="1:17" s="452" customFormat="1">
      <c r="A27" s="450" t="s">
        <v>556</v>
      </c>
      <c r="B27" s="758">
        <f t="shared" ca="1" si="2"/>
        <v>0.52220712483080789</v>
      </c>
      <c r="C27" s="451">
        <f t="shared" ca="1" si="3"/>
        <v>0</v>
      </c>
      <c r="D27" s="451">
        <f t="shared" si="4"/>
        <v>1.6772071805204876</v>
      </c>
      <c r="E27" s="451">
        <f t="shared" si="5"/>
        <v>217.50641832762958</v>
      </c>
      <c r="F27" s="451">
        <f t="shared" si="6"/>
        <v>0</v>
      </c>
      <c r="G27" s="451">
        <f t="shared" si="7"/>
        <v>52919.027308252422</v>
      </c>
      <c r="H27" s="451">
        <f t="shared" si="8"/>
        <v>7005.5024108638809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60144.235551749283</v>
      </c>
    </row>
    <row r="28" spans="1:17">
      <c r="A28" s="446" t="s">
        <v>546</v>
      </c>
      <c r="B28" s="447">
        <f t="shared" ca="1" si="2"/>
        <v>1.5256703068571376</v>
      </c>
      <c r="C28" s="447">
        <f t="shared" ca="1" si="3"/>
        <v>0</v>
      </c>
      <c r="D28" s="447">
        <f t="shared" si="4"/>
        <v>0</v>
      </c>
      <c r="E28" s="447">
        <f t="shared" si="5"/>
        <v>0</v>
      </c>
      <c r="F28" s="447">
        <f t="shared" si="6"/>
        <v>0</v>
      </c>
      <c r="G28" s="447">
        <f t="shared" si="7"/>
        <v>416.94780020934616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418.47347051620329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3098.2130260531926</v>
      </c>
      <c r="C32" s="447">
        <f t="shared" ca="1" si="3"/>
        <v>0</v>
      </c>
      <c r="D32" s="447">
        <f t="shared" si="4"/>
        <v>1721.2552781943348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4819.4683042475272</v>
      </c>
    </row>
    <row r="33" spans="1:17" s="459" customFormat="1">
      <c r="A33" s="456" t="s">
        <v>550</v>
      </c>
      <c r="B33" s="457">
        <f ca="1">SUM(B22:B32)</f>
        <v>42228.59823975723</v>
      </c>
      <c r="C33" s="457">
        <f t="shared" ref="C33:Q33" ca="1" si="19">SUM(C22:C32)</f>
        <v>0</v>
      </c>
      <c r="D33" s="457">
        <f t="shared" ca="1" si="19"/>
        <v>62727.17028342266</v>
      </c>
      <c r="E33" s="457">
        <f t="shared" si="19"/>
        <v>969.7081475253575</v>
      </c>
      <c r="F33" s="457">
        <f t="shared" ca="1" si="19"/>
        <v>27419.85046415971</v>
      </c>
      <c r="G33" s="457">
        <f t="shared" si="19"/>
        <v>53335.975108461767</v>
      </c>
      <c r="H33" s="457">
        <f t="shared" si="19"/>
        <v>7005.5024108638809</v>
      </c>
      <c r="I33" s="457">
        <f t="shared" si="19"/>
        <v>0</v>
      </c>
      <c r="J33" s="457">
        <f t="shared" si="19"/>
        <v>799.47353202165732</v>
      </c>
      <c r="K33" s="457">
        <f t="shared" si="19"/>
        <v>0</v>
      </c>
      <c r="L33" s="457">
        <f t="shared" ca="1" si="19"/>
        <v>0</v>
      </c>
      <c r="M33" s="457">
        <f t="shared" si="19"/>
        <v>0</v>
      </c>
      <c r="N33" s="457">
        <f t="shared" ca="1" si="19"/>
        <v>0</v>
      </c>
      <c r="O33" s="457">
        <f t="shared" si="19"/>
        <v>0</v>
      </c>
      <c r="P33" s="457">
        <f t="shared" si="19"/>
        <v>0</v>
      </c>
      <c r="Q33" s="457">
        <f t="shared" ca="1" si="19"/>
        <v>194486.27818621229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8160.5112291949299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8160.5112291949299</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0.21194824481589872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0.21194824481589872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0.21194824481589872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0.21194824481589872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12664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1873</v>
      </c>
      <c r="C14" s="326"/>
      <c r="D14" s="326"/>
      <c r="E14" s="326"/>
      <c r="F14" s="326"/>
    </row>
    <row r="15" spans="1:6">
      <c r="A15" s="1280" t="s">
        <v>177</v>
      </c>
      <c r="B15" s="1281">
        <v>25</v>
      </c>
      <c r="C15" s="326"/>
      <c r="D15" s="326"/>
      <c r="E15" s="326"/>
      <c r="F15" s="326"/>
    </row>
    <row r="16" spans="1:6">
      <c r="A16" s="1280" t="s">
        <v>6</v>
      </c>
      <c r="B16" s="1281">
        <v>844</v>
      </c>
      <c r="C16" s="326"/>
      <c r="D16" s="326"/>
      <c r="E16" s="326"/>
      <c r="F16" s="326"/>
    </row>
    <row r="17" spans="1:6">
      <c r="A17" s="1280" t="s">
        <v>7</v>
      </c>
      <c r="B17" s="1281">
        <v>404</v>
      </c>
      <c r="C17" s="326"/>
      <c r="D17" s="326"/>
      <c r="E17" s="326"/>
      <c r="F17" s="326"/>
    </row>
    <row r="18" spans="1:6">
      <c r="A18" s="1280" t="s">
        <v>8</v>
      </c>
      <c r="B18" s="1281">
        <v>811</v>
      </c>
      <c r="C18" s="326"/>
      <c r="D18" s="326"/>
      <c r="E18" s="326"/>
      <c r="F18" s="326"/>
    </row>
    <row r="19" spans="1:6">
      <c r="A19" s="1280" t="s">
        <v>9</v>
      </c>
      <c r="B19" s="1281">
        <v>1001</v>
      </c>
      <c r="C19" s="326"/>
      <c r="D19" s="326"/>
      <c r="E19" s="326"/>
      <c r="F19" s="326"/>
    </row>
    <row r="20" spans="1:6">
      <c r="A20" s="1280" t="s">
        <v>10</v>
      </c>
      <c r="B20" s="1281">
        <v>645</v>
      </c>
      <c r="C20" s="326"/>
      <c r="D20" s="326"/>
      <c r="E20" s="326"/>
      <c r="F20" s="326"/>
    </row>
    <row r="21" spans="1:6">
      <c r="A21" s="1280" t="s">
        <v>11</v>
      </c>
      <c r="B21" s="1281">
        <v>6519</v>
      </c>
      <c r="C21" s="326"/>
      <c r="D21" s="326"/>
      <c r="E21" s="326"/>
      <c r="F21" s="326"/>
    </row>
    <row r="22" spans="1:6">
      <c r="A22" s="1280" t="s">
        <v>12</v>
      </c>
      <c r="B22" s="1281">
        <v>26999</v>
      </c>
      <c r="C22" s="326"/>
      <c r="D22" s="326"/>
      <c r="E22" s="326"/>
      <c r="F22" s="326"/>
    </row>
    <row r="23" spans="1:6">
      <c r="A23" s="1280" t="s">
        <v>13</v>
      </c>
      <c r="B23" s="1281">
        <v>442</v>
      </c>
      <c r="C23" s="326"/>
      <c r="D23" s="326"/>
      <c r="E23" s="326"/>
      <c r="F23" s="326"/>
    </row>
    <row r="24" spans="1:6">
      <c r="A24" s="1280" t="s">
        <v>14</v>
      </c>
      <c r="B24" s="1281">
        <v>47</v>
      </c>
      <c r="C24" s="326"/>
      <c r="D24" s="326"/>
      <c r="E24" s="326"/>
      <c r="F24" s="326"/>
    </row>
    <row r="25" spans="1:6">
      <c r="A25" s="1280" t="s">
        <v>15</v>
      </c>
      <c r="B25" s="1281">
        <v>1803</v>
      </c>
      <c r="C25" s="326"/>
      <c r="D25" s="326"/>
      <c r="E25" s="326"/>
      <c r="F25" s="326"/>
    </row>
    <row r="26" spans="1:6">
      <c r="A26" s="1280" t="s">
        <v>16</v>
      </c>
      <c r="B26" s="1281">
        <v>68</v>
      </c>
      <c r="C26" s="326"/>
      <c r="D26" s="326"/>
      <c r="E26" s="326"/>
      <c r="F26" s="326"/>
    </row>
    <row r="27" spans="1:6">
      <c r="A27" s="1280" t="s">
        <v>17</v>
      </c>
      <c r="B27" s="1281">
        <v>0</v>
      </c>
      <c r="C27" s="326"/>
      <c r="D27" s="326"/>
      <c r="E27" s="326"/>
      <c r="F27" s="326"/>
    </row>
    <row r="28" spans="1:6">
      <c r="A28" s="1280" t="s">
        <v>18</v>
      </c>
      <c r="B28" s="1282">
        <v>44136</v>
      </c>
      <c r="C28" s="326"/>
      <c r="D28" s="326"/>
      <c r="E28" s="326"/>
      <c r="F28" s="326"/>
    </row>
    <row r="29" spans="1:6">
      <c r="A29" s="1280" t="s">
        <v>972</v>
      </c>
      <c r="B29" s="1282">
        <v>54</v>
      </c>
      <c r="C29" s="326"/>
      <c r="D29" s="326"/>
      <c r="E29" s="326"/>
      <c r="F29" s="326"/>
    </row>
    <row r="30" spans="1:6">
      <c r="A30" s="1275" t="s">
        <v>973</v>
      </c>
      <c r="B30" s="1283">
        <v>24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3</v>
      </c>
      <c r="F35" s="1281">
        <v>16794</v>
      </c>
    </row>
    <row r="36" spans="1:6">
      <c r="A36" s="1280" t="s">
        <v>24</v>
      </c>
      <c r="B36" s="1280" t="s">
        <v>26</v>
      </c>
      <c r="C36" s="1281">
        <v>0</v>
      </c>
      <c r="D36" s="1281">
        <v>0</v>
      </c>
      <c r="E36" s="1281">
        <v>6</v>
      </c>
      <c r="F36" s="1281">
        <v>863664</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27031</v>
      </c>
    </row>
    <row r="39" spans="1:6">
      <c r="A39" s="1280" t="s">
        <v>29</v>
      </c>
      <c r="B39" s="1280" t="s">
        <v>30</v>
      </c>
      <c r="C39" s="1281">
        <v>9240</v>
      </c>
      <c r="D39" s="1281">
        <v>149050765.59227699</v>
      </c>
      <c r="E39" s="1281">
        <v>12839</v>
      </c>
      <c r="F39" s="1281">
        <v>55707052.769464225</v>
      </c>
    </row>
    <row r="40" spans="1:6">
      <c r="A40" s="1280" t="s">
        <v>29</v>
      </c>
      <c r="B40" s="1280" t="s">
        <v>28</v>
      </c>
      <c r="C40" s="1281">
        <v>0</v>
      </c>
      <c r="D40" s="1281">
        <v>0</v>
      </c>
      <c r="E40" s="1281">
        <v>0</v>
      </c>
      <c r="F40" s="1281">
        <v>0</v>
      </c>
    </row>
    <row r="41" spans="1:6">
      <c r="A41" s="1280" t="s">
        <v>31</v>
      </c>
      <c r="B41" s="1280" t="s">
        <v>32</v>
      </c>
      <c r="C41" s="1281">
        <v>135</v>
      </c>
      <c r="D41" s="1281">
        <v>12909345.2569323</v>
      </c>
      <c r="E41" s="1281">
        <v>267</v>
      </c>
      <c r="F41" s="1281">
        <v>11484947</v>
      </c>
    </row>
    <row r="42" spans="1:6">
      <c r="A42" s="1280" t="s">
        <v>31</v>
      </c>
      <c r="B42" s="1280" t="s">
        <v>33</v>
      </c>
      <c r="C42" s="1281">
        <v>0</v>
      </c>
      <c r="D42" s="1281">
        <v>0</v>
      </c>
      <c r="E42" s="1281">
        <v>5</v>
      </c>
      <c r="F42" s="1281">
        <v>6056759</v>
      </c>
    </row>
    <row r="43" spans="1:6">
      <c r="A43" s="1280" t="s">
        <v>31</v>
      </c>
      <c r="B43" s="1280" t="s">
        <v>34</v>
      </c>
      <c r="C43" s="1281">
        <v>0</v>
      </c>
      <c r="D43" s="1281">
        <v>0</v>
      </c>
      <c r="E43" s="1281">
        <v>0</v>
      </c>
      <c r="F43" s="1281">
        <v>0</v>
      </c>
    </row>
    <row r="44" spans="1:6">
      <c r="A44" s="1280" t="s">
        <v>31</v>
      </c>
      <c r="B44" s="1280" t="s">
        <v>35</v>
      </c>
      <c r="C44" s="1281">
        <v>19</v>
      </c>
      <c r="D44" s="1281">
        <v>7396148.1550994404</v>
      </c>
      <c r="E44" s="1281">
        <v>68</v>
      </c>
      <c r="F44" s="1281">
        <v>17197710</v>
      </c>
    </row>
    <row r="45" spans="1:6">
      <c r="A45" s="1280" t="s">
        <v>31</v>
      </c>
      <c r="B45" s="1280" t="s">
        <v>36</v>
      </c>
      <c r="C45" s="1281">
        <v>0</v>
      </c>
      <c r="D45" s="1281">
        <v>0</v>
      </c>
      <c r="E45" s="1281">
        <v>11</v>
      </c>
      <c r="F45" s="1281">
        <v>655711</v>
      </c>
    </row>
    <row r="46" spans="1:6">
      <c r="A46" s="1280" t="s">
        <v>31</v>
      </c>
      <c r="B46" s="1280" t="s">
        <v>37</v>
      </c>
      <c r="C46" s="1281">
        <v>0</v>
      </c>
      <c r="D46" s="1281">
        <v>0</v>
      </c>
      <c r="E46" s="1281">
        <v>3</v>
      </c>
      <c r="F46" s="1281">
        <v>65562</v>
      </c>
    </row>
    <row r="47" spans="1:6">
      <c r="A47" s="1280" t="s">
        <v>31</v>
      </c>
      <c r="B47" s="1280" t="s">
        <v>38</v>
      </c>
      <c r="C47" s="1281">
        <v>4</v>
      </c>
      <c r="D47" s="1281">
        <v>142111.99956182801</v>
      </c>
      <c r="E47" s="1281">
        <v>9</v>
      </c>
      <c r="F47" s="1281">
        <v>501211</v>
      </c>
    </row>
    <row r="48" spans="1:6">
      <c r="A48" s="1280" t="s">
        <v>31</v>
      </c>
      <c r="B48" s="1280" t="s">
        <v>28</v>
      </c>
      <c r="C48" s="1281">
        <v>68</v>
      </c>
      <c r="D48" s="1281">
        <v>111624527.44804201</v>
      </c>
      <c r="E48" s="1281">
        <v>3</v>
      </c>
      <c r="F48" s="1281">
        <v>6126195.7317543337</v>
      </c>
    </row>
    <row r="49" spans="1:6">
      <c r="A49" s="1280" t="s">
        <v>31</v>
      </c>
      <c r="B49" s="1280" t="s">
        <v>39</v>
      </c>
      <c r="C49" s="1281">
        <v>10</v>
      </c>
      <c r="D49" s="1281">
        <v>1371384.04779477</v>
      </c>
      <c r="E49" s="1281">
        <v>40</v>
      </c>
      <c r="F49" s="1281">
        <v>13087972</v>
      </c>
    </row>
    <row r="50" spans="1:6">
      <c r="A50" s="1280" t="s">
        <v>31</v>
      </c>
      <c r="B50" s="1280" t="s">
        <v>40</v>
      </c>
      <c r="C50" s="1281">
        <v>22</v>
      </c>
      <c r="D50" s="1281">
        <v>1243224.9318900299</v>
      </c>
      <c r="E50" s="1281">
        <v>45</v>
      </c>
      <c r="F50" s="1281">
        <v>20295177</v>
      </c>
    </row>
    <row r="51" spans="1:6">
      <c r="A51" s="1280" t="s">
        <v>41</v>
      </c>
      <c r="B51" s="1280" t="s">
        <v>42</v>
      </c>
      <c r="C51" s="1281">
        <v>5</v>
      </c>
      <c r="D51" s="1281">
        <v>52749.422044807397</v>
      </c>
      <c r="E51" s="1281">
        <v>79</v>
      </c>
      <c r="F51" s="1281">
        <v>3623234</v>
      </c>
    </row>
    <row r="52" spans="1:6">
      <c r="A52" s="1280" t="s">
        <v>41</v>
      </c>
      <c r="B52" s="1280" t="s">
        <v>28</v>
      </c>
      <c r="C52" s="1281">
        <v>2</v>
      </c>
      <c r="D52" s="1281">
        <v>25566.173097110499</v>
      </c>
      <c r="E52" s="1281">
        <v>1</v>
      </c>
      <c r="F52" s="1281">
        <v>13385</v>
      </c>
    </row>
    <row r="53" spans="1:6">
      <c r="A53" s="1280" t="s">
        <v>43</v>
      </c>
      <c r="B53" s="1280" t="s">
        <v>44</v>
      </c>
      <c r="C53" s="1281">
        <v>491</v>
      </c>
      <c r="D53" s="1281">
        <v>8521065.7336353194</v>
      </c>
      <c r="E53" s="1281">
        <v>1</v>
      </c>
      <c r="F53" s="1281">
        <v>544</v>
      </c>
    </row>
    <row r="54" spans="1:6">
      <c r="A54" s="1280" t="s">
        <v>45</v>
      </c>
      <c r="B54" s="1280" t="s">
        <v>46</v>
      </c>
      <c r="C54" s="1281">
        <v>0</v>
      </c>
      <c r="D54" s="1281">
        <v>0</v>
      </c>
      <c r="E54" s="1281">
        <v>147</v>
      </c>
      <c r="F54" s="1281">
        <v>2740128</v>
      </c>
    </row>
    <row r="55" spans="1:6">
      <c r="A55" s="1280" t="s">
        <v>45</v>
      </c>
      <c r="B55" s="1280" t="s">
        <v>28</v>
      </c>
      <c r="C55" s="1281">
        <v>0</v>
      </c>
      <c r="D55" s="1281">
        <v>0</v>
      </c>
      <c r="E55" s="1281">
        <v>0</v>
      </c>
      <c r="F55" s="1281">
        <v>0</v>
      </c>
    </row>
    <row r="56" spans="1:6">
      <c r="A56" s="1280" t="s">
        <v>47</v>
      </c>
      <c r="B56" s="1280" t="s">
        <v>28</v>
      </c>
      <c r="C56" s="1281">
        <v>0</v>
      </c>
      <c r="D56" s="1281">
        <v>0</v>
      </c>
      <c r="E56" s="1281">
        <v>223</v>
      </c>
      <c r="F56" s="1281">
        <v>14617237</v>
      </c>
    </row>
    <row r="57" spans="1:6">
      <c r="A57" s="1280" t="s">
        <v>48</v>
      </c>
      <c r="B57" s="1280" t="s">
        <v>49</v>
      </c>
      <c r="C57" s="1281">
        <v>105</v>
      </c>
      <c r="D57" s="1281">
        <v>13052032.157643</v>
      </c>
      <c r="E57" s="1281">
        <v>133</v>
      </c>
      <c r="F57" s="1281">
        <v>3046620</v>
      </c>
    </row>
    <row r="58" spans="1:6">
      <c r="A58" s="1280" t="s">
        <v>48</v>
      </c>
      <c r="B58" s="1280" t="s">
        <v>50</v>
      </c>
      <c r="C58" s="1281">
        <v>10</v>
      </c>
      <c r="D58" s="1281">
        <v>207585.48357789899</v>
      </c>
      <c r="E58" s="1281">
        <v>26</v>
      </c>
      <c r="F58" s="1281">
        <v>1061355</v>
      </c>
    </row>
    <row r="59" spans="1:6">
      <c r="A59" s="1280" t="s">
        <v>48</v>
      </c>
      <c r="B59" s="1280" t="s">
        <v>51</v>
      </c>
      <c r="C59" s="1281">
        <v>240</v>
      </c>
      <c r="D59" s="1281">
        <v>14287185.558219699</v>
      </c>
      <c r="E59" s="1281">
        <v>462</v>
      </c>
      <c r="F59" s="1281">
        <v>23642387</v>
      </c>
    </row>
    <row r="60" spans="1:6">
      <c r="A60" s="1280" t="s">
        <v>48</v>
      </c>
      <c r="B60" s="1280" t="s">
        <v>52</v>
      </c>
      <c r="C60" s="1281">
        <v>72</v>
      </c>
      <c r="D60" s="1281">
        <v>5962377.4402545402</v>
      </c>
      <c r="E60" s="1281">
        <v>114</v>
      </c>
      <c r="F60" s="1281">
        <v>3657025</v>
      </c>
    </row>
    <row r="61" spans="1:6">
      <c r="A61" s="1280" t="s">
        <v>48</v>
      </c>
      <c r="B61" s="1280" t="s">
        <v>53</v>
      </c>
      <c r="C61" s="1281">
        <v>201</v>
      </c>
      <c r="D61" s="1281">
        <v>8607011.0193628594</v>
      </c>
      <c r="E61" s="1281">
        <v>458</v>
      </c>
      <c r="F61" s="1281">
        <v>12035270</v>
      </c>
    </row>
    <row r="62" spans="1:6">
      <c r="A62" s="1280" t="s">
        <v>48</v>
      </c>
      <c r="B62" s="1280" t="s">
        <v>54</v>
      </c>
      <c r="C62" s="1281">
        <v>16</v>
      </c>
      <c r="D62" s="1281">
        <v>914552.32443831803</v>
      </c>
      <c r="E62" s="1281">
        <v>26</v>
      </c>
      <c r="F62" s="1281">
        <v>362834</v>
      </c>
    </row>
    <row r="63" spans="1:6">
      <c r="A63" s="1280" t="s">
        <v>48</v>
      </c>
      <c r="B63" s="1280" t="s">
        <v>28</v>
      </c>
      <c r="C63" s="1281">
        <v>107</v>
      </c>
      <c r="D63" s="1281">
        <v>7966268.0430442598</v>
      </c>
      <c r="E63" s="1281">
        <v>1</v>
      </c>
      <c r="F63" s="1281">
        <v>73075</v>
      </c>
    </row>
    <row r="64" spans="1:6">
      <c r="A64" s="1280" t="s">
        <v>55</v>
      </c>
      <c r="B64" s="1280" t="s">
        <v>56</v>
      </c>
      <c r="C64" s="1281">
        <v>0</v>
      </c>
      <c r="D64" s="1281">
        <v>0</v>
      </c>
      <c r="E64" s="1281">
        <v>6</v>
      </c>
      <c r="F64" s="1281">
        <v>97091</v>
      </c>
    </row>
    <row r="65" spans="1:6">
      <c r="A65" s="1280" t="s">
        <v>55</v>
      </c>
      <c r="B65" s="1280" t="s">
        <v>28</v>
      </c>
      <c r="C65" s="1281">
        <v>2</v>
      </c>
      <c r="D65" s="1281">
        <v>139867.41155829999</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13</v>
      </c>
      <c r="F68" s="1283">
        <v>343329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30350767</v>
      </c>
      <c r="E73" s="445"/>
      <c r="F73" s="326"/>
    </row>
    <row r="74" spans="1:6">
      <c r="A74" s="1280" t="s">
        <v>63</v>
      </c>
      <c r="B74" s="1280" t="s">
        <v>754</v>
      </c>
      <c r="C74" s="1293" t="s">
        <v>755</v>
      </c>
      <c r="D74" s="1281">
        <v>3251852.5053526917</v>
      </c>
      <c r="E74" s="445"/>
      <c r="F74" s="326"/>
    </row>
    <row r="75" spans="1:6">
      <c r="A75" s="1280" t="s">
        <v>64</v>
      </c>
      <c r="B75" s="1280" t="s">
        <v>752</v>
      </c>
      <c r="C75" s="1293" t="s">
        <v>756</v>
      </c>
      <c r="D75" s="1281">
        <v>47840713</v>
      </c>
      <c r="E75" s="445"/>
      <c r="F75" s="326"/>
    </row>
    <row r="76" spans="1:6">
      <c r="A76" s="1280" t="s">
        <v>64</v>
      </c>
      <c r="B76" s="1280" t="s">
        <v>754</v>
      </c>
      <c r="C76" s="1293" t="s">
        <v>757</v>
      </c>
      <c r="D76" s="1281">
        <v>1214991.5053526917</v>
      </c>
      <c r="E76" s="445"/>
      <c r="F76" s="326"/>
    </row>
    <row r="77" spans="1:6">
      <c r="A77" s="1280" t="s">
        <v>65</v>
      </c>
      <c r="B77" s="1280" t="s">
        <v>752</v>
      </c>
      <c r="C77" s="1293" t="s">
        <v>758</v>
      </c>
      <c r="D77" s="1281">
        <v>138754237</v>
      </c>
      <c r="E77" s="445"/>
      <c r="F77" s="326"/>
    </row>
    <row r="78" spans="1:6">
      <c r="A78" s="1275" t="s">
        <v>65</v>
      </c>
      <c r="B78" s="1275" t="s">
        <v>754</v>
      </c>
      <c r="C78" s="1275" t="s">
        <v>759</v>
      </c>
      <c r="D78" s="1283">
        <v>25615104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428302.98929461639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3179.0876141151234</v>
      </c>
      <c r="C91" s="326"/>
      <c r="D91" s="326"/>
      <c r="E91" s="326"/>
      <c r="F91" s="326"/>
    </row>
    <row r="92" spans="1:6">
      <c r="A92" s="1275" t="s">
        <v>68</v>
      </c>
      <c r="B92" s="1276">
        <v>4981.423615079807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7206</v>
      </c>
      <c r="C97" s="326"/>
      <c r="D97" s="326"/>
      <c r="E97" s="326"/>
      <c r="F97" s="326"/>
    </row>
    <row r="98" spans="1:6">
      <c r="A98" s="1280" t="s">
        <v>71</v>
      </c>
      <c r="B98" s="1281">
        <v>0</v>
      </c>
      <c r="C98" s="326"/>
      <c r="D98" s="326"/>
      <c r="E98" s="326"/>
      <c r="F98" s="326"/>
    </row>
    <row r="99" spans="1:6">
      <c r="A99" s="1280" t="s">
        <v>72</v>
      </c>
      <c r="B99" s="1281">
        <v>187</v>
      </c>
      <c r="C99" s="326"/>
      <c r="D99" s="326"/>
      <c r="E99" s="326"/>
      <c r="F99" s="326"/>
    </row>
    <row r="100" spans="1:6">
      <c r="A100" s="1280" t="s">
        <v>73</v>
      </c>
      <c r="B100" s="1281">
        <v>935</v>
      </c>
      <c r="C100" s="326"/>
      <c r="D100" s="326"/>
      <c r="E100" s="326"/>
      <c r="F100" s="326"/>
    </row>
    <row r="101" spans="1:6">
      <c r="A101" s="1280" t="s">
        <v>74</v>
      </c>
      <c r="B101" s="1281">
        <v>152</v>
      </c>
      <c r="C101" s="326"/>
      <c r="D101" s="326"/>
      <c r="E101" s="326"/>
      <c r="F101" s="326"/>
    </row>
    <row r="102" spans="1:6">
      <c r="A102" s="1280" t="s">
        <v>75</v>
      </c>
      <c r="B102" s="1281">
        <v>190</v>
      </c>
      <c r="C102" s="326"/>
      <c r="D102" s="326"/>
      <c r="E102" s="326"/>
      <c r="F102" s="326"/>
    </row>
    <row r="103" spans="1:6">
      <c r="A103" s="1280" t="s">
        <v>76</v>
      </c>
      <c r="B103" s="1281">
        <v>354</v>
      </c>
      <c r="C103" s="326"/>
      <c r="D103" s="326"/>
      <c r="E103" s="326"/>
      <c r="F103" s="326"/>
    </row>
    <row r="104" spans="1:6">
      <c r="A104" s="1280" t="s">
        <v>77</v>
      </c>
      <c r="B104" s="1281">
        <v>2758</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66</v>
      </c>
      <c r="C129" s="326"/>
      <c r="D129" s="326"/>
      <c r="E129" s="326"/>
      <c r="F129" s="326"/>
    </row>
    <row r="130" spans="1:6">
      <c r="A130" s="1280" t="s">
        <v>284</v>
      </c>
      <c r="B130" s="1281">
        <v>3</v>
      </c>
      <c r="C130" s="326"/>
      <c r="D130" s="326"/>
      <c r="E130" s="326"/>
      <c r="F130" s="326"/>
    </row>
    <row r="131" spans="1:6">
      <c r="A131" s="1280" t="s">
        <v>285</v>
      </c>
      <c r="B131" s="1281">
        <v>4</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199240.14127334525</v>
      </c>
      <c r="C3" s="43" t="s">
        <v>163</v>
      </c>
      <c r="D3" s="43"/>
      <c r="E3" s="156"/>
      <c r="F3" s="43"/>
      <c r="G3" s="43"/>
      <c r="H3" s="43"/>
      <c r="I3" s="43"/>
      <c r="J3" s="43"/>
      <c r="K3" s="96"/>
    </row>
    <row r="4" spans="1:11">
      <c r="A4" s="352" t="s">
        <v>164</v>
      </c>
      <c r="B4" s="49">
        <f>IF(ISERROR('SEAP template'!B78+'SEAP template'!C78),0,'SEAP template'!B78+'SEAP template'!C78)</f>
        <v>8160.5112291949299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0.21194824481589872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2740.1280000000002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2740.1280000000002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0.21194824481589872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580.76532017089892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55707.052769464222</v>
      </c>
      <c r="C5" s="17">
        <f>IF(ISERROR('Eigen informatie GS &amp; warmtenet'!B57),0,'Eigen informatie GS &amp; warmtenet'!B57)</f>
        <v>0</v>
      </c>
      <c r="D5" s="30">
        <f>(SUM(HH_hh_gas_kWh,HH_rest_gas_kWh)/1000)*0.902</f>
        <v>134443.79056423384</v>
      </c>
      <c r="E5" s="17">
        <f>B32*B41</f>
        <v>1869.4320887218989</v>
      </c>
      <c r="F5" s="17">
        <f>B36*B45</f>
        <v>63811.934541317511</v>
      </c>
      <c r="G5" s="18"/>
      <c r="H5" s="17"/>
      <c r="I5" s="17"/>
      <c r="J5" s="17">
        <f>B35*B44+C35*C44</f>
        <v>1436.8829842907062</v>
      </c>
      <c r="K5" s="17"/>
      <c r="L5" s="17"/>
      <c r="M5" s="17"/>
      <c r="N5" s="17">
        <f>B34*B43+C34*C43</f>
        <v>14783.66572146941</v>
      </c>
      <c r="O5" s="17">
        <f>B52*B53*B54</f>
        <v>109.43333333333334</v>
      </c>
      <c r="P5" s="17">
        <f>B60*B61*B62/1000-B60*B61*B62/1000/B63</f>
        <v>247.86666666666667</v>
      </c>
    </row>
    <row r="6" spans="1:16">
      <c r="A6" s="16" t="s">
        <v>615</v>
      </c>
      <c r="B6" s="766">
        <f>kWh_PV_kleiner_dan_10kW</f>
        <v>3179.0876141151234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58886.140383579346</v>
      </c>
      <c r="C8" s="21">
        <f>C5</f>
        <v>0</v>
      </c>
      <c r="D8" s="21">
        <f>D5</f>
        <v>134443.79056423384</v>
      </c>
      <c r="E8" s="21">
        <f>E5</f>
        <v>1869.4320887218989</v>
      </c>
      <c r="F8" s="21">
        <f>F5</f>
        <v>63811.934541317511</v>
      </c>
      <c r="G8" s="21"/>
      <c r="H8" s="21"/>
      <c r="I8" s="21"/>
      <c r="J8" s="21">
        <f>J5</f>
        <v>1436.8829842907062</v>
      </c>
      <c r="K8" s="21"/>
      <c r="L8" s="21">
        <f>L5</f>
        <v>0</v>
      </c>
      <c r="M8" s="21">
        <f>M5</f>
        <v>0</v>
      </c>
      <c r="N8" s="21">
        <f>N5</f>
        <v>14783.66572146941</v>
      </c>
      <c r="O8" s="21">
        <f>O5</f>
        <v>109.43333333333334</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0.21194824481589872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12480.814098282255</v>
      </c>
      <c r="C12" s="23">
        <f ca="1">C10*C8</f>
        <v>0</v>
      </c>
      <c r="D12" s="23">
        <f>D8*D10</f>
        <v>27157.645693975239</v>
      </c>
      <c r="E12" s="23">
        <f>E10*E8</f>
        <v>424.36108413987108</v>
      </c>
      <c r="F12" s="23">
        <f>F10*F8</f>
        <v>17037.786522531776</v>
      </c>
      <c r="G12" s="23"/>
      <c r="H12" s="23"/>
      <c r="I12" s="23"/>
      <c r="J12" s="23">
        <f>J10*J8</f>
        <v>508.65657643890995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12664</v>
      </c>
      <c r="C26" s="36"/>
      <c r="D26" s="226"/>
    </row>
    <row r="27" spans="1:5" s="15" customFormat="1">
      <c r="A27" s="228" t="s">
        <v>695</v>
      </c>
      <c r="B27" s="37">
        <f>SUM(HH_hh_gas_aantal,HH_rest_gas_aantal)</f>
        <v>9240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8778</v>
      </c>
      <c r="C31" s="34" t="s">
        <v>104</v>
      </c>
      <c r="D31" s="172"/>
    </row>
    <row r="32" spans="1:5">
      <c r="A32" s="169" t="s">
        <v>72</v>
      </c>
      <c r="B32" s="33">
        <f>IF((B21*($B$26-($B$27-0.05*$B$27)-$B$60))&lt;0,0,B21*($B$26-($B$27-0.05*$B$27)-$B$60))</f>
        <v>27.457899386554089</v>
      </c>
      <c r="C32" s="34" t="s">
        <v>104</v>
      </c>
      <c r="D32" s="172"/>
    </row>
    <row r="33" spans="1:6">
      <c r="A33" s="169" t="s">
        <v>73</v>
      </c>
      <c r="B33" s="33">
        <f>IF((B22*($B$26-($B$27-0.05*$B$27)-$B$60))&lt;0,0,B22*($B$26-($B$27-0.05*$B$27)-$B$60))</f>
        <v>786.93966065001632</v>
      </c>
      <c r="C33" s="34" t="s">
        <v>104</v>
      </c>
      <c r="D33" s="172"/>
    </row>
    <row r="34" spans="1:6">
      <c r="A34" s="169" t="s">
        <v>74</v>
      </c>
      <c r="B34" s="33">
        <f>IF((B24*($B$26-($B$27-0.05*$B$27)-$B$60))&lt;0,0,B24*($B$26-($B$27-0.05*$B$27)-$B$60))</f>
        <v>156.92408496306265</v>
      </c>
      <c r="C34" s="33">
        <f>B26*C24</f>
        <v>2589.5045129407104</v>
      </c>
      <c r="D34" s="231"/>
    </row>
    <row r="35" spans="1:6">
      <c r="A35" s="169" t="s">
        <v>76</v>
      </c>
      <c r="B35" s="33">
        <f>IF((B19*($B$26-($B$27-0.05*$B$27)-$B$60))&lt;0,0,B19*($B$26-($B$27-0.05*$B$27)-$B$60))</f>
        <v>81.719938650458602</v>
      </c>
      <c r="C35" s="33">
        <f>B35/2</f>
        <v>40.859969325229301</v>
      </c>
      <c r="D35" s="231"/>
    </row>
    <row r="36" spans="1:6">
      <c r="A36" s="169" t="s">
        <v>77</v>
      </c>
      <c r="B36" s="33">
        <f>IF((B18*($B$26-($B$27-0.05*$B$27)-$B$60))&lt;0,0,B18*($B$26-($B$27-0.05*$B$27)-$B$60))</f>
        <v>2819.9584163499085</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43878.566000000006</v>
      </c>
      <c r="C5" s="17">
        <f>IF(ISERROR('Eigen informatie GS &amp; warmtenet'!B58),0,'Eigen informatie GS &amp; warmtenet'!B58)</f>
        <v>0</v>
      </c>
      <c r="D5" s="30">
        <f>SUM(D6:D12)</f>
        <v>45999.304847939595</v>
      </c>
      <c r="E5" s="17">
        <f>SUM(E6:E12)</f>
        <v>769.82017974485325</v>
      </c>
      <c r="F5" s="17">
        <f>SUM(F6:F12)</f>
        <v>7453.2528549980507</v>
      </c>
      <c r="G5" s="18"/>
      <c r="H5" s="17"/>
      <c r="I5" s="17"/>
      <c r="J5" s="17">
        <f>SUM(J6:J12)</f>
        <v>0</v>
      </c>
      <c r="K5" s="17"/>
      <c r="L5" s="17"/>
      <c r="M5" s="17"/>
      <c r="N5" s="17">
        <f>SUM(N6:N12)</f>
        <v>818.58147933966097</v>
      </c>
      <c r="O5" s="17">
        <f>B38*B39*B40</f>
        <v>4.6900000000000004</v>
      </c>
      <c r="P5" s="17">
        <f>B46*B47*B48/1000-B46*B47*B48/1000/B49</f>
        <v>76.266666666666666</v>
      </c>
      <c r="R5" s="32"/>
    </row>
    <row r="6" spans="1:18">
      <c r="A6" s="32" t="s">
        <v>53</v>
      </c>
      <c r="B6" s="37">
        <f>B26</f>
        <v>12035.27</v>
      </c>
      <c r="C6" s="33"/>
      <c r="D6" s="37">
        <f>IF(ISERROR(TER_kantoor_gas_kWh/1000),0,TER_kantoor_gas_kWh/1000)*0.902</f>
        <v>7763.523939465299</v>
      </c>
      <c r="E6" s="33">
        <f>$C$26*'E Balans VL '!I12/100/3.6*1000000</f>
        <v>421.28179370286671</v>
      </c>
      <c r="F6" s="33">
        <f>$C$26*('E Balans VL '!L12+'E Balans VL '!N12)/100/3.6*1000000</f>
        <v>1824.8053267148639</v>
      </c>
      <c r="G6" s="34"/>
      <c r="H6" s="33"/>
      <c r="I6" s="33"/>
      <c r="J6" s="33">
        <f>$C$26*('E Balans VL '!D12+'E Balans VL '!E12)/100/3.6*1000000</f>
        <v>0</v>
      </c>
      <c r="K6" s="33"/>
      <c r="L6" s="33"/>
      <c r="M6" s="33"/>
      <c r="N6" s="33">
        <f>$C$26*'E Balans VL '!Y12/100/3.6*1000000</f>
        <v>93.028870164160736</v>
      </c>
      <c r="O6" s="33"/>
      <c r="P6" s="33"/>
      <c r="R6" s="32"/>
    </row>
    <row r="7" spans="1:18">
      <c r="A7" s="32" t="s">
        <v>52</v>
      </c>
      <c r="B7" s="37">
        <f t="shared" ref="B7:B12" si="0">B27</f>
        <v>3657.0250000000001</v>
      </c>
      <c r="C7" s="33"/>
      <c r="D7" s="37">
        <f>IF(ISERROR(TER_horeca_gas_kWh/1000),0,TER_horeca_gas_kWh/1000)*0.902</f>
        <v>5378.0644511095952</v>
      </c>
      <c r="E7" s="33">
        <f>$C$27*'E Balans VL '!I9/100/3.6*1000000</f>
        <v>206.30483658991878</v>
      </c>
      <c r="F7" s="33">
        <f>$C$27*('E Balans VL '!L9+'E Balans VL '!N9)/100/3.6*1000000</f>
        <v>637.07399323619666</v>
      </c>
      <c r="G7" s="34"/>
      <c r="H7" s="33"/>
      <c r="I7" s="33"/>
      <c r="J7" s="33">
        <f>$C$27*('E Balans VL '!D9+'E Balans VL '!E9)/100/3.6*1000000</f>
        <v>0</v>
      </c>
      <c r="K7" s="33"/>
      <c r="L7" s="33"/>
      <c r="M7" s="33"/>
      <c r="N7" s="33">
        <f>$C$27*'E Balans VL '!Y9/100/3.6*1000000</f>
        <v>0</v>
      </c>
      <c r="O7" s="33"/>
      <c r="P7" s="33"/>
      <c r="R7" s="32"/>
    </row>
    <row r="8" spans="1:18">
      <c r="A8" s="6" t="s">
        <v>51</v>
      </c>
      <c r="B8" s="37">
        <f t="shared" si="0"/>
        <v>23642.386999999999</v>
      </c>
      <c r="C8" s="33"/>
      <c r="D8" s="37">
        <f>IF(ISERROR(TER_handel_gas_kWh/1000),0,TER_handel_gas_kWh/1000)*0.902</f>
        <v>12887.041373514168</v>
      </c>
      <c r="E8" s="33">
        <f>$C$28*'E Balans VL '!I13/100/3.6*1000000</f>
        <v>121.37761282631836</v>
      </c>
      <c r="F8" s="33">
        <f>$C$28*('E Balans VL '!L13+'E Balans VL '!N13)/100/3.6*1000000</f>
        <v>3645.290763019897</v>
      </c>
      <c r="G8" s="34"/>
      <c r="H8" s="33"/>
      <c r="I8" s="33"/>
      <c r="J8" s="33">
        <f>$C$28*('E Balans VL '!D13+'E Balans VL '!E13)/100/3.6*1000000</f>
        <v>0</v>
      </c>
      <c r="K8" s="33"/>
      <c r="L8" s="33"/>
      <c r="M8" s="33"/>
      <c r="N8" s="33">
        <f>$C$28*'E Balans VL '!Y13/100/3.6*1000000</f>
        <v>11.057832994079194</v>
      </c>
      <c r="O8" s="33"/>
      <c r="P8" s="33"/>
      <c r="R8" s="32"/>
    </row>
    <row r="9" spans="1:18">
      <c r="A9" s="32" t="s">
        <v>50</v>
      </c>
      <c r="B9" s="37">
        <f t="shared" si="0"/>
        <v>1061.355</v>
      </c>
      <c r="C9" s="33"/>
      <c r="D9" s="37">
        <f>IF(ISERROR(TER_gezond_gas_kWh/1000),0,TER_gezond_gas_kWh/1000)*0.902</f>
        <v>187.24210618726491</v>
      </c>
      <c r="E9" s="33">
        <f>$C$29*'E Balans VL '!I10/100/3.6*1000000</f>
        <v>0.43992408880059219</v>
      </c>
      <c r="F9" s="33">
        <f>$C$29*('E Balans VL '!L10+'E Balans VL '!N10)/100/3.6*1000000</f>
        <v>261.39651463881751</v>
      </c>
      <c r="G9" s="34"/>
      <c r="H9" s="33"/>
      <c r="I9" s="33"/>
      <c r="J9" s="33">
        <f>$C$29*('E Balans VL '!D10+'E Balans VL '!E10)/100/3.6*1000000</f>
        <v>0</v>
      </c>
      <c r="K9" s="33"/>
      <c r="L9" s="33"/>
      <c r="M9" s="33"/>
      <c r="N9" s="33">
        <f>$C$29*'E Balans VL '!Y10/100/3.6*1000000</f>
        <v>9.1727341864194507</v>
      </c>
      <c r="O9" s="33"/>
      <c r="P9" s="33"/>
      <c r="R9" s="32"/>
    </row>
    <row r="10" spans="1:18">
      <c r="A10" s="32" t="s">
        <v>49</v>
      </c>
      <c r="B10" s="37">
        <f t="shared" si="0"/>
        <v>3046.62</v>
      </c>
      <c r="C10" s="33"/>
      <c r="D10" s="37">
        <f>IF(ISERROR(TER_ander_gas_kWh/1000),0,TER_ander_gas_kWh/1000)*0.902</f>
        <v>11772.933006193985</v>
      </c>
      <c r="E10" s="33">
        <f>$C$30*'E Balans VL '!I14/100/3.6*1000000</f>
        <v>18.572270688333507</v>
      </c>
      <c r="F10" s="33">
        <f>$C$30*('E Balans VL '!L14+'E Balans VL '!N14)/100/3.6*1000000</f>
        <v>807.7006959599114</v>
      </c>
      <c r="G10" s="34"/>
      <c r="H10" s="33"/>
      <c r="I10" s="33"/>
      <c r="J10" s="33">
        <f>$C$30*('E Balans VL '!D14+'E Balans VL '!E14)/100/3.6*1000000</f>
        <v>0</v>
      </c>
      <c r="K10" s="33"/>
      <c r="L10" s="33"/>
      <c r="M10" s="33"/>
      <c r="N10" s="33">
        <f>$C$30*'E Balans VL '!Y14/100/3.6*1000000</f>
        <v>702.18007738735798</v>
      </c>
      <c r="O10" s="33"/>
      <c r="P10" s="33"/>
      <c r="R10" s="32"/>
    </row>
    <row r="11" spans="1:18">
      <c r="A11" s="32" t="s">
        <v>54</v>
      </c>
      <c r="B11" s="37">
        <f t="shared" si="0"/>
        <v>362.834</v>
      </c>
      <c r="C11" s="33"/>
      <c r="D11" s="37">
        <f>IF(ISERROR(TER_onderwijs_gas_kWh/1000),0,TER_onderwijs_gas_kWh/1000)*0.902</f>
        <v>824.92619664336291</v>
      </c>
      <c r="E11" s="33">
        <f>$C$31*'E Balans VL '!I11/100/3.6*1000000</f>
        <v>0.27649840096597172</v>
      </c>
      <c r="F11" s="33">
        <f>$C$31*('E Balans VL '!L11+'E Balans VL '!N11)/100/3.6*1000000</f>
        <v>262.56656653053545</v>
      </c>
      <c r="G11" s="34"/>
      <c r="H11" s="33"/>
      <c r="I11" s="33"/>
      <c r="J11" s="33">
        <f>$C$31*('E Balans VL '!D11+'E Balans VL '!E11)/100/3.6*1000000</f>
        <v>0</v>
      </c>
      <c r="K11" s="33"/>
      <c r="L11" s="33"/>
      <c r="M11" s="33"/>
      <c r="N11" s="33">
        <f>$C$31*'E Balans VL '!Y11/100/3.6*1000000</f>
        <v>1.069358513745869</v>
      </c>
      <c r="O11" s="33"/>
      <c r="P11" s="33"/>
      <c r="R11" s="32"/>
    </row>
    <row r="12" spans="1:18">
      <c r="A12" s="32" t="s">
        <v>249</v>
      </c>
      <c r="B12" s="37">
        <f t="shared" si="0"/>
        <v>73.075000000000003</v>
      </c>
      <c r="C12" s="33"/>
      <c r="D12" s="37">
        <f>IF(ISERROR(TER_rest_gas_kWh/1000),0,TER_rest_gas_kWh/1000)*0.902</f>
        <v>7185.5737748259226</v>
      </c>
      <c r="E12" s="33">
        <f>$C$32*'E Balans VL '!I8/100/3.6*1000000</f>
        <v>1.5672434476494035</v>
      </c>
      <c r="F12" s="33">
        <f>$C$32*('E Balans VL '!L8+'E Balans VL '!N8)/100/3.6*1000000</f>
        <v>14.418994897830142</v>
      </c>
      <c r="G12" s="34"/>
      <c r="H12" s="33"/>
      <c r="I12" s="33"/>
      <c r="J12" s="33">
        <f>$C$32*('E Balans VL '!D8+'E Balans VL '!E8)/100/3.6*1000000</f>
        <v>0</v>
      </c>
      <c r="K12" s="33"/>
      <c r="L12" s="33"/>
      <c r="M12" s="33"/>
      <c r="N12" s="33">
        <f>$C$32*'E Balans VL '!Y8/100/3.6*1000000</f>
        <v>2.0726060938976691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43878.566000000006</v>
      </c>
      <c r="C16" s="21">
        <f ca="1">C5+C13+C14</f>
        <v>0</v>
      </c>
      <c r="D16" s="21">
        <f t="shared" ref="D16:N16" ca="1" si="1">MAX((D5+D13+D14),0)</f>
        <v>45999.304847939595</v>
      </c>
      <c r="E16" s="21">
        <f t="shared" si="1"/>
        <v>769.82017974485325</v>
      </c>
      <c r="F16" s="21">
        <f t="shared" ca="1" si="1"/>
        <v>7453.2528549980507</v>
      </c>
      <c r="G16" s="21">
        <f t="shared" si="1"/>
        <v>0</v>
      </c>
      <c r="H16" s="21">
        <f t="shared" si="1"/>
        <v>0</v>
      </c>
      <c r="I16" s="21">
        <f t="shared" si="1"/>
        <v>0</v>
      </c>
      <c r="J16" s="21">
        <f t="shared" si="1"/>
        <v>0</v>
      </c>
      <c r="K16" s="21">
        <f t="shared" si="1"/>
        <v>0</v>
      </c>
      <c r="L16" s="21">
        <f t="shared" ca="1" si="1"/>
        <v>0</v>
      </c>
      <c r="M16" s="21">
        <f t="shared" si="1"/>
        <v>0</v>
      </c>
      <c r="N16" s="21">
        <f t="shared" ca="1" si="1"/>
        <v>818.58147933966097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0.21194824481589872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9299.9850487385702</v>
      </c>
      <c r="C20" s="23">
        <f t="shared" ref="C20:P20" ca="1" si="2">C16*C18</f>
        <v>0</v>
      </c>
      <c r="D20" s="23">
        <f t="shared" ca="1" si="2"/>
        <v>9291.8595792837987</v>
      </c>
      <c r="E20" s="23">
        <f t="shared" si="2"/>
        <v>174.7491808020817</v>
      </c>
      <c r="F20" s="23">
        <f t="shared" ca="1" si="2"/>
        <v>1990.0185122844796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12035.27</v>
      </c>
      <c r="C26" s="39">
        <f>IF(ISERROR(B26*3.6/1000000/'E Balans VL '!Z12*100),0,B26*3.6/1000000/'E Balans VL '!Z12*100)</f>
        <v>0.25326229815706658</v>
      </c>
      <c r="D26" s="234" t="s">
        <v>700</v>
      </c>
      <c r="F26" s="6"/>
    </row>
    <row r="27" spans="1:18">
      <c r="A27" s="229" t="s">
        <v>52</v>
      </c>
      <c r="B27" s="33">
        <f>IF(ISERROR(TER_horeca_ele_kWh/1000),0,TER_horeca_ele_kWh/1000)</f>
        <v>3657.0250000000001</v>
      </c>
      <c r="C27" s="39">
        <f>IF(ISERROR(B27*3.6/1000000/'E Balans VL '!Z9*100),0,B27*3.6/1000000/'E Balans VL '!Z9*100)</f>
        <v>0.30963003060491356</v>
      </c>
      <c r="D27" s="234" t="s">
        <v>700</v>
      </c>
      <c r="F27" s="6"/>
    </row>
    <row r="28" spans="1:18">
      <c r="A28" s="169" t="s">
        <v>51</v>
      </c>
      <c r="B28" s="33">
        <f>IF(ISERROR(TER_handel_ele_kWh/1000),0,TER_handel_ele_kWh/1000)</f>
        <v>23642.386999999999</v>
      </c>
      <c r="C28" s="39">
        <f>IF(ISERROR(B28*3.6/1000000/'E Balans VL '!Z13*100),0,B28*3.6/1000000/'E Balans VL '!Z13*100)</f>
        <v>0.65453621484828739</v>
      </c>
      <c r="D28" s="234" t="s">
        <v>700</v>
      </c>
      <c r="F28" s="6"/>
    </row>
    <row r="29" spans="1:18">
      <c r="A29" s="229" t="s">
        <v>50</v>
      </c>
      <c r="B29" s="33">
        <f>IF(ISERROR(TER_gezond_ele_kWh/1000),0,TER_gezond_ele_kWh/1000)</f>
        <v>1061.355</v>
      </c>
      <c r="C29" s="39">
        <f>IF(ISERROR(B29*3.6/1000000/'E Balans VL '!Z10*100),0,B29*3.6/1000000/'E Balans VL '!Z10*100)</f>
        <v>0.13796438350797299</v>
      </c>
      <c r="D29" s="234" t="s">
        <v>700</v>
      </c>
      <c r="F29" s="6"/>
    </row>
    <row r="30" spans="1:18">
      <c r="A30" s="229" t="s">
        <v>49</v>
      </c>
      <c r="B30" s="33">
        <f>IF(ISERROR(TER_ander_ele_kWh/1000),0,TER_ander_ele_kWh/1000)</f>
        <v>3046.62</v>
      </c>
      <c r="C30" s="39">
        <f>IF(ISERROR(B30*3.6/1000000/'E Balans VL '!Z14*100),0,B30*3.6/1000000/'E Balans VL '!Z14*100)</f>
        <v>0.23614098963973754</v>
      </c>
      <c r="D30" s="234" t="s">
        <v>700</v>
      </c>
      <c r="F30" s="6"/>
    </row>
    <row r="31" spans="1:18">
      <c r="A31" s="229" t="s">
        <v>54</v>
      </c>
      <c r="B31" s="33">
        <f>IF(ISERROR(TER_onderwijs_ele_kWh/1000),0,TER_onderwijs_ele_kWh/1000)</f>
        <v>362.834</v>
      </c>
      <c r="C31" s="39">
        <f>IF(ISERROR(B31*3.6/1000000/'E Balans VL '!Z11*100),0,B31*3.6/1000000/'E Balans VL '!Z11*100)</f>
        <v>6.9416326760523783E-2</v>
      </c>
      <c r="D31" s="234" t="s">
        <v>700</v>
      </c>
    </row>
    <row r="32" spans="1:18">
      <c r="A32" s="229" t="s">
        <v>249</v>
      </c>
      <c r="B32" s="33">
        <f>IF(ISERROR(TER_rest_ele_kWh/1000),0,TER_rest_ele_kWh/1000)</f>
        <v>73.075000000000003</v>
      </c>
      <c r="C32" s="39">
        <f>IF(ISERROR(B32*3.6/1000000/'E Balans VL '!Z8*100),0,B32*3.6/1000000/'E Balans VL '!Z8*100)</f>
        <v>6.0255949042978404E-4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4</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75471.244731754341</v>
      </c>
      <c r="C5" s="17">
        <f>IF(ISERROR('Eigen informatie GS &amp; warmtenet'!B59),0,'Eigen informatie GS &amp; warmtenet'!B59)</f>
        <v>0</v>
      </c>
      <c r="D5" s="30">
        <f>SUM(D6:D15)</f>
        <v>121487.44113906698</v>
      </c>
      <c r="E5" s="17">
        <f>SUM(E6:E15)</f>
        <v>636.32827534567411</v>
      </c>
      <c r="F5" s="17">
        <f>SUM(F6:F15)</f>
        <v>15863.389194256406</v>
      </c>
      <c r="G5" s="18"/>
      <c r="H5" s="17"/>
      <c r="I5" s="17"/>
      <c r="J5" s="17">
        <f>SUM(J6:J15)</f>
        <v>496.73415140791104</v>
      </c>
      <c r="K5" s="17"/>
      <c r="L5" s="17"/>
      <c r="M5" s="17"/>
      <c r="N5" s="17">
        <f>SUM(N6:N15)</f>
        <v>1443.989737663263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65.561999999999998</v>
      </c>
      <c r="C7" s="33"/>
      <c r="D7" s="37">
        <f>IF( ISERROR(IND_nonf_gas_kWhh/1000),0,IND_nonf_gas_kWh/1000)*0.902</f>
        <v>0</v>
      </c>
      <c r="E7" s="33">
        <f>C29*'E Balans VL '!I17/100/3.6*1000000</f>
        <v>5.5238274529750546E-2</v>
      </c>
      <c r="F7" s="33">
        <f>C29*'E Balans VL '!L17/100/3.6*1000000+C29*'E Balans VL '!N17/100/3.6*1000000</f>
        <v>22.675925193741005</v>
      </c>
      <c r="G7" s="34"/>
      <c r="H7" s="33"/>
      <c r="I7" s="33"/>
      <c r="J7" s="40">
        <f>C29*'E Balans VL '!D17/100/3.6*1000000+C29*'E Balans VL '!E17/100/3.6*1000000</f>
        <v>12.30898354505803</v>
      </c>
      <c r="K7" s="33"/>
      <c r="L7" s="33"/>
      <c r="M7" s="33"/>
      <c r="N7" s="33">
        <f>C29*'E Balans VL '!Y17/100/3.6*1000000</f>
        <v>0</v>
      </c>
      <c r="O7" s="33"/>
      <c r="P7" s="33"/>
      <c r="R7" s="32"/>
    </row>
    <row r="8" spans="1:18">
      <c r="A8" s="6" t="s">
        <v>35</v>
      </c>
      <c r="B8" s="37">
        <f t="shared" si="0"/>
        <v>17197.71</v>
      </c>
      <c r="C8" s="33"/>
      <c r="D8" s="37">
        <f>IF( ISERROR(IND_metaal_Gas_kWH/1000),0,IND_metaal_Gas_kWH/1000)*0.902</f>
        <v>6671.325635899695</v>
      </c>
      <c r="E8" s="33">
        <f>C30*'E Balans VL '!I18/100/3.6*1000000</f>
        <v>120.84451366740811</v>
      </c>
      <c r="F8" s="33">
        <f>C30*'E Balans VL '!L18/100/3.6*1000000+C30*'E Balans VL '!N18/100/3.6*1000000</f>
        <v>1888.207941492964</v>
      </c>
      <c r="G8" s="34"/>
      <c r="H8" s="33"/>
      <c r="I8" s="33"/>
      <c r="J8" s="40">
        <f>C30*'E Balans VL '!D18/100/3.6*1000000+C30*'E Balans VL '!E18/100/3.6*1000000</f>
        <v>354.82582510263819</v>
      </c>
      <c r="K8" s="33"/>
      <c r="L8" s="33"/>
      <c r="M8" s="33"/>
      <c r="N8" s="33">
        <f>C30*'E Balans VL '!Y18/100/3.6*1000000</f>
        <v>64.458255657745667</v>
      </c>
      <c r="O8" s="33"/>
      <c r="P8" s="33"/>
      <c r="R8" s="32"/>
    </row>
    <row r="9" spans="1:18">
      <c r="A9" s="6" t="s">
        <v>32</v>
      </c>
      <c r="B9" s="37">
        <f t="shared" si="0"/>
        <v>11484.947</v>
      </c>
      <c r="C9" s="33"/>
      <c r="D9" s="37">
        <f>IF( ISERROR(IND_andere_gas_kWh/1000),0,IND_andere_gas_kWh/1000)*0.902</f>
        <v>11644.229421752934</v>
      </c>
      <c r="E9" s="33">
        <f>C31*'E Balans VL '!I19/100/3.6*1000000</f>
        <v>192.90375437428941</v>
      </c>
      <c r="F9" s="33">
        <f>C31*'E Balans VL '!L19/100/3.6*1000000+C31*'E Balans VL '!N19/100/3.6*1000000</f>
        <v>8978.2774308614607</v>
      </c>
      <c r="G9" s="34"/>
      <c r="H9" s="33"/>
      <c r="I9" s="33"/>
      <c r="J9" s="40">
        <f>C31*'E Balans VL '!D19/100/3.6*1000000+C31*'E Balans VL '!E19/100/3.6*1000000</f>
        <v>1.0358408373521173</v>
      </c>
      <c r="K9" s="33"/>
      <c r="L9" s="33"/>
      <c r="M9" s="33"/>
      <c r="N9" s="33">
        <f>C31*'E Balans VL '!Y19/100/3.6*1000000</f>
        <v>851.21883245288973</v>
      </c>
      <c r="O9" s="33"/>
      <c r="P9" s="33"/>
      <c r="R9" s="32"/>
    </row>
    <row r="10" spans="1:18">
      <c r="A10" s="6" t="s">
        <v>40</v>
      </c>
      <c r="B10" s="37">
        <f t="shared" si="0"/>
        <v>20295.177</v>
      </c>
      <c r="C10" s="33"/>
      <c r="D10" s="37">
        <f>IF( ISERROR(IND_voed_gas_kWh/1000),0,IND_voed_gas_kWh/1000)*0.902</f>
        <v>1121.3888885648071</v>
      </c>
      <c r="E10" s="33">
        <f>C32*'E Balans VL '!I20/100/3.6*1000000</f>
        <v>185.16476128760314</v>
      </c>
      <c r="F10" s="33">
        <f>C32*'E Balans VL '!L20/100/3.6*1000000+C32*'E Balans VL '!N20/100/3.6*1000000</f>
        <v>3274.2468460870059</v>
      </c>
      <c r="G10" s="34"/>
      <c r="H10" s="33"/>
      <c r="I10" s="33"/>
      <c r="J10" s="40">
        <f>C32*'E Balans VL '!D20/100/3.6*1000000+C32*'E Balans VL '!E20/100/3.6*1000000</f>
        <v>83.588845048127055</v>
      </c>
      <c r="K10" s="33"/>
      <c r="L10" s="33"/>
      <c r="M10" s="33"/>
      <c r="N10" s="33">
        <f>C32*'E Balans VL '!Y20/100/3.6*1000000</f>
        <v>296.90243631378871</v>
      </c>
      <c r="O10" s="33"/>
      <c r="P10" s="33"/>
      <c r="R10" s="32"/>
    </row>
    <row r="11" spans="1:18">
      <c r="A11" s="6" t="s">
        <v>39</v>
      </c>
      <c r="B11" s="37">
        <f t="shared" si="0"/>
        <v>13087.972</v>
      </c>
      <c r="C11" s="33"/>
      <c r="D11" s="37">
        <f>IF( ISERROR(IND_textiel_gas_kWh/1000),0,IND_textiel_gas_kWh/1000)*0.902</f>
        <v>1236.9884111108825</v>
      </c>
      <c r="E11" s="33">
        <f>C33*'E Balans VL '!I21/100/3.6*1000000</f>
        <v>29.851236416991515</v>
      </c>
      <c r="F11" s="33">
        <f>C33*'E Balans VL '!L21/100/3.6*1000000+C33*'E Balans VL '!N21/100/3.6*1000000</f>
        <v>279.76754053934189</v>
      </c>
      <c r="G11" s="34"/>
      <c r="H11" s="33"/>
      <c r="I11" s="33"/>
      <c r="J11" s="40">
        <f>C33*'E Balans VL '!D21/100/3.6*1000000+C33*'E Balans VL '!E21/100/3.6*1000000</f>
        <v>0</v>
      </c>
      <c r="K11" s="33"/>
      <c r="L11" s="33"/>
      <c r="M11" s="33"/>
      <c r="N11" s="33">
        <f>C33*'E Balans VL '!Y21/100/3.6*1000000</f>
        <v>92.844307675641602</v>
      </c>
      <c r="O11" s="33"/>
      <c r="P11" s="33"/>
      <c r="R11" s="32"/>
    </row>
    <row r="12" spans="1:18">
      <c r="A12" s="6" t="s">
        <v>36</v>
      </c>
      <c r="B12" s="37">
        <f t="shared" si="0"/>
        <v>655.71100000000001</v>
      </c>
      <c r="C12" s="33"/>
      <c r="D12" s="37">
        <f>IF( ISERROR(IND_min_gas_kWh/1000),0,IND_min_gas_kWh/1000)*0.902</f>
        <v>0</v>
      </c>
      <c r="E12" s="33">
        <f>C34*'E Balans VL '!I22/100/3.6*1000000</f>
        <v>16.263764548142316</v>
      </c>
      <c r="F12" s="33">
        <f>C34*'E Balans VL '!L22/100/3.6*1000000+C34*'E Balans VL '!N22/100/3.6*1000000</f>
        <v>69.675572180372853</v>
      </c>
      <c r="G12" s="34"/>
      <c r="H12" s="33"/>
      <c r="I12" s="33"/>
      <c r="J12" s="40">
        <f>C34*'E Balans VL '!D22/100/3.6*1000000+C34*'E Balans VL '!E22/100/3.6*1000000</f>
        <v>3.7248232264303311</v>
      </c>
      <c r="K12" s="33"/>
      <c r="L12" s="33"/>
      <c r="M12" s="33"/>
      <c r="N12" s="33">
        <f>C34*'E Balans VL '!Y22/100/3.6*1000000</f>
        <v>0</v>
      </c>
      <c r="O12" s="33"/>
      <c r="P12" s="33"/>
      <c r="R12" s="32"/>
    </row>
    <row r="13" spans="1:18">
      <c r="A13" s="6" t="s">
        <v>38</v>
      </c>
      <c r="B13" s="37">
        <f t="shared" si="0"/>
        <v>501.21100000000001</v>
      </c>
      <c r="C13" s="33"/>
      <c r="D13" s="37">
        <f>IF( ISERROR(IND_papier_gas_kWh/1000),0,IND_papier_gas_kWh/1000)*0.902</f>
        <v>128.18502360476887</v>
      </c>
      <c r="E13" s="33">
        <f>C35*'E Balans VL '!I23/100/3.6*1000000</f>
        <v>15.420954425787691</v>
      </c>
      <c r="F13" s="33">
        <f>C35*'E Balans VL '!L23/100/3.6*1000000+C35*'E Balans VL '!N23/100/3.6*1000000</f>
        <v>106.42461158954579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6056.759</v>
      </c>
      <c r="C14" s="33"/>
      <c r="D14" s="37">
        <f>IF( ISERROR(IND_chemie_gas_kWh/1000),0,IND_chemie_gas_kWh/1000)*0.902</f>
        <v>0</v>
      </c>
      <c r="E14" s="33">
        <f>C36*'E Balans VL '!I24/100/3.6*1000000</f>
        <v>20.53658470387791</v>
      </c>
      <c r="F14" s="33">
        <f>C36*'E Balans VL '!L24/100/3.6*1000000+C36*'E Balans VL '!N24/100/3.6*1000000</f>
        <v>19.437607099450933</v>
      </c>
      <c r="G14" s="34"/>
      <c r="H14" s="33"/>
      <c r="I14" s="33"/>
      <c r="J14" s="40">
        <f>C36*'E Balans VL '!D24/100/3.6*1000000+C36*'E Balans VL '!E24/100/3.6*1000000</f>
        <v>0</v>
      </c>
      <c r="K14" s="33"/>
      <c r="L14" s="33"/>
      <c r="M14" s="33"/>
      <c r="N14" s="33">
        <f>C36*'E Balans VL '!Y24/100/3.6*1000000</f>
        <v>28.319763673105868</v>
      </c>
      <c r="O14" s="33"/>
      <c r="P14" s="33"/>
      <c r="R14" s="32"/>
    </row>
    <row r="15" spans="1:18">
      <c r="A15" s="6" t="s">
        <v>259</v>
      </c>
      <c r="B15" s="37">
        <f t="shared" si="0"/>
        <v>6126.1957317543338</v>
      </c>
      <c r="C15" s="33"/>
      <c r="D15" s="37">
        <f>IF( ISERROR(IND_rest_gas_kWh/1000),0,IND_rest_gas_kWh/1000)*0.902</f>
        <v>100685.32375813389</v>
      </c>
      <c r="E15" s="33">
        <f>C37*'E Balans VL '!I15/100/3.6*1000000</f>
        <v>55.287467647044274</v>
      </c>
      <c r="F15" s="33">
        <f>C37*'E Balans VL '!L15/100/3.6*1000000+C37*'E Balans VL '!N15/100/3.6*1000000</f>
        <v>1224.6757192125228</v>
      </c>
      <c r="G15" s="34"/>
      <c r="H15" s="33"/>
      <c r="I15" s="33"/>
      <c r="J15" s="40">
        <f>C37*'E Balans VL '!D15/100/3.6*1000000+C37*'E Balans VL '!E15/100/3.6*1000000</f>
        <v>41.249833648305334</v>
      </c>
      <c r="K15" s="33"/>
      <c r="L15" s="33"/>
      <c r="M15" s="33"/>
      <c r="N15" s="33">
        <f>C37*'E Balans VL '!Y15/100/3.6*1000000</f>
        <v>110.24614189009151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75471.244731754341</v>
      </c>
      <c r="C18" s="21">
        <f>C5+C16</f>
        <v>0</v>
      </c>
      <c r="D18" s="21">
        <f>MAX((D5+D16),0)</f>
        <v>121487.44113906698</v>
      </c>
      <c r="E18" s="21">
        <f>MAX((E5+E16),0)</f>
        <v>636.32827534567411</v>
      </c>
      <c r="F18" s="21">
        <f>MAX((F5+F16),0)</f>
        <v>15863.389194256406</v>
      </c>
      <c r="G18" s="21"/>
      <c r="H18" s="21"/>
      <c r="I18" s="21"/>
      <c r="J18" s="21">
        <f>MAX((J5+J16),0)</f>
        <v>496.73415140791104</v>
      </c>
      <c r="K18" s="21"/>
      <c r="L18" s="21">
        <f>MAX((L5+L16),0)</f>
        <v>0</v>
      </c>
      <c r="M18" s="21"/>
      <c r="N18" s="21">
        <f>MAX((N5+N16),0)</f>
        <v>1443.989737663263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0.21194824481589872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15995.997854966476</v>
      </c>
      <c r="C22" s="23">
        <f ca="1">C18*C20</f>
        <v>0</v>
      </c>
      <c r="D22" s="23">
        <f>D18*D20</f>
        <v>24540.463110091532</v>
      </c>
      <c r="E22" s="23">
        <f>E18*E20</f>
        <v>144.44651850346804</v>
      </c>
      <c r="F22" s="23">
        <f>F18*F20</f>
        <v>4235.5249148664607</v>
      </c>
      <c r="G22" s="23"/>
      <c r="H22" s="23"/>
      <c r="I22" s="23"/>
      <c r="J22" s="23">
        <f>J18*J20</f>
        <v>175.84388959840049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65.561999999999998</v>
      </c>
      <c r="C29" s="39">
        <f>IF(ISERROR(B29*3.6/1000000/'E Balans VL '!Z17*100),0,B29*3.6/1000000/'E Balans VL '!Z17*100)</f>
        <v>2.7927684769885389E-2</v>
      </c>
      <c r="D29" s="234" t="s">
        <v>700</v>
      </c>
    </row>
    <row r="30" spans="1:18">
      <c r="A30" s="169" t="s">
        <v>35</v>
      </c>
      <c r="B30" s="37">
        <f>IF( ISERROR(IND_metaal_ele_kWh/1000),0,IND_metaal_ele_kWh/1000)</f>
        <v>17197.71</v>
      </c>
      <c r="C30" s="39">
        <f>IF(ISERROR(B30*3.6/1000000/'E Balans VL '!Z18*100),0,B30*3.6/1000000/'E Balans VL '!Z18*100)</f>
        <v>1.1448620565017582</v>
      </c>
      <c r="D30" s="234" t="s">
        <v>700</v>
      </c>
    </row>
    <row r="31" spans="1:18">
      <c r="A31" s="6" t="s">
        <v>32</v>
      </c>
      <c r="B31" s="37">
        <f>IF( ISERROR(IND_ander_ele_kWh/1000),0,IND_ander_ele_kWh/1000)</f>
        <v>11484.947</v>
      </c>
      <c r="C31" s="39">
        <f>IF(ISERROR(B31*3.6/1000000/'E Balans VL '!Z19*100),0,B31*3.6/1000000/'E Balans VL '!Z19*100)</f>
        <v>0.50908218627544333</v>
      </c>
      <c r="D31" s="234" t="s">
        <v>700</v>
      </c>
    </row>
    <row r="32" spans="1:18">
      <c r="A32" s="169" t="s">
        <v>40</v>
      </c>
      <c r="B32" s="37">
        <f>IF( ISERROR(IND_voed_ele_kWh/1000),0,IND_voed_ele_kWh/1000)</f>
        <v>20295.177</v>
      </c>
      <c r="C32" s="39">
        <f>IF(ISERROR(B32*3.6/1000000/'E Balans VL '!Z20*100),0,B32*3.6/1000000/'E Balans VL '!Z20*100)</f>
        <v>0.67791713112775942</v>
      </c>
      <c r="D32" s="234" t="s">
        <v>700</v>
      </c>
    </row>
    <row r="33" spans="1:5">
      <c r="A33" s="169" t="s">
        <v>39</v>
      </c>
      <c r="B33" s="37">
        <f>IF( ISERROR(IND_textiel_ele_kWh/1000),0,IND_textiel_ele_kWh/1000)</f>
        <v>13087.972</v>
      </c>
      <c r="C33" s="39">
        <f>IF(ISERROR(B33*3.6/1000000/'E Balans VL '!Z21*100),0,B33*3.6/1000000/'E Balans VL '!Z21*100)</f>
        <v>1.723061695186668</v>
      </c>
      <c r="D33" s="234" t="s">
        <v>700</v>
      </c>
    </row>
    <row r="34" spans="1:5">
      <c r="A34" s="169" t="s">
        <v>36</v>
      </c>
      <c r="B34" s="37">
        <f>IF( ISERROR(IND_min_ele_kWh/1000),0,IND_min_ele_kWh/1000)</f>
        <v>655.71100000000001</v>
      </c>
      <c r="C34" s="39">
        <f>IF(ISERROR(B34*3.6/1000000/'E Balans VL '!Z22*100),0,B34*3.6/1000000/'E Balans VL '!Z22*100)</f>
        <v>0.12752858692408417</v>
      </c>
      <c r="D34" s="234" t="s">
        <v>700</v>
      </c>
    </row>
    <row r="35" spans="1:5">
      <c r="A35" s="169" t="s">
        <v>38</v>
      </c>
      <c r="B35" s="37">
        <f>IF( ISERROR(IND_papier_ele_kWh/1000),0,IND_papier_ele_kWh/1000)</f>
        <v>501.21100000000001</v>
      </c>
      <c r="C35" s="39">
        <f>IF(ISERROR(B35*3.6/1000000/'E Balans VL '!Z22*100),0,B35*3.6/1000000/'E Balans VL '!Z22*100)</f>
        <v>9.7480034010115971E-2</v>
      </c>
      <c r="D35" s="234" t="s">
        <v>700</v>
      </c>
    </row>
    <row r="36" spans="1:5">
      <c r="A36" s="169" t="s">
        <v>33</v>
      </c>
      <c r="B36" s="37">
        <f>IF( ISERROR(IND_chemie_ele_kWh/1000),0,IND_chemie_ele_kWh/1000)</f>
        <v>6056.759</v>
      </c>
      <c r="C36" s="39">
        <f>IF(ISERROR(B36*3.6/1000000/'E Balans VL '!Z24*100),0,B36*3.6/1000000/'E Balans VL '!Z24*100)</f>
        <v>0.14222901458496431</v>
      </c>
      <c r="D36" s="234" t="s">
        <v>700</v>
      </c>
    </row>
    <row r="37" spans="1:5">
      <c r="A37" s="169" t="s">
        <v>259</v>
      </c>
      <c r="B37" s="37">
        <f>IF( ISERROR(IND_rest_ele_kWh/1000),0,IND_rest_ele_kWh/1000)</f>
        <v>6126.1957317543338</v>
      </c>
      <c r="C37" s="39">
        <f>IF(ISERROR(B37*3.6/1000000/'E Balans VL '!Z15*100),0,B37*3.6/1000000/'E Balans VL '!Z15*100)</f>
        <v>4.5568915817687065E-2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3636.6190000000001</v>
      </c>
      <c r="C5" s="17">
        <f>'Eigen informatie GS &amp; warmtenet'!B60</f>
        <v>0</v>
      </c>
      <c r="D5" s="30">
        <f>IF(ISERROR(SUM(LB_lb_gas_kWh,LB_rest_gas_kWh)/1000),0,SUM(LB_lb_gas_kWh,LB_rest_gas_kWh)/1000)*0.902</f>
        <v>70.640666818009962</v>
      </c>
      <c r="E5" s="17">
        <f>B17*'E Balans VL '!I25/3.6*1000000/100</f>
        <v>38.08346146390776</v>
      </c>
      <c r="F5" s="17">
        <f>B17*('E Balans VL '!L25/3.6*1000000+'E Balans VL '!N25/3.6*1000000)/100</f>
        <v>15567.492563584252</v>
      </c>
      <c r="G5" s="18"/>
      <c r="H5" s="17"/>
      <c r="I5" s="17"/>
      <c r="J5" s="17">
        <f>('E Balans VL '!D25+'E Balans VL '!E25)/3.6*1000000*landbouw!B17/100</f>
        <v>324.78267227216639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3636.6190000000001</v>
      </c>
      <c r="C8" s="21">
        <f>C5+C6</f>
        <v>0</v>
      </c>
      <c r="D8" s="21">
        <f>MAX((D5+D6),0)</f>
        <v>70.640666818009962</v>
      </c>
      <c r="E8" s="21">
        <f>MAX((E5+E6),0)</f>
        <v>38.08346146390776</v>
      </c>
      <c r="F8" s="21">
        <f>MAX((F5+F6),0)</f>
        <v>15567.492563584252</v>
      </c>
      <c r="G8" s="21"/>
      <c r="H8" s="21"/>
      <c r="I8" s="21"/>
      <c r="J8" s="21">
        <f>MAX((J5+J6),0)</f>
        <v>324.78267227216639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0.21194824481589872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770.7750141141488</v>
      </c>
      <c r="C12" s="23">
        <f ca="1">C8*C10</f>
        <v>0</v>
      </c>
      <c r="D12" s="23">
        <f>D8*D10</f>
        <v>14.269414697238012</v>
      </c>
      <c r="E12" s="23">
        <f>E8*E10</f>
        <v>8.644945752307061</v>
      </c>
      <c r="F12" s="23">
        <f>F8*F10</f>
        <v>4156.5205144769952</v>
      </c>
      <c r="G12" s="23"/>
      <c r="H12" s="23"/>
      <c r="I12" s="23"/>
      <c r="J12" s="23">
        <f>J8*J10</f>
        <v>114.9730659843469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0.55974586381949853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287.87878830943885</v>
      </c>
      <c r="C26" s="244">
        <f>B26*'GWP N2O_CH4'!B5</f>
        <v>6045.4545544982157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201.74132903607355</v>
      </c>
      <c r="C27" s="244">
        <f>B27*'GWP N2O_CH4'!B5</f>
        <v>4236.5679097575448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4.6641990672768925</v>
      </c>
      <c r="C28" s="244">
        <f>B28*'GWP N2O_CH4'!B4</f>
        <v>1445.9017108558367</v>
      </c>
      <c r="D28" s="50"/>
    </row>
    <row r="29" spans="1:4">
      <c r="A29" s="41" t="s">
        <v>266</v>
      </c>
      <c r="B29" s="244">
        <f>B34*'ha_N2O bodem landbouw'!B4</f>
        <v>16.851497811159945</v>
      </c>
      <c r="C29" s="244">
        <f>B29*'GWP N2O_CH4'!B4</f>
        <v>5223.9643214595826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2.7849313357559608E-3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8.8698335342378317E-6</v>
      </c>
      <c r="C5" s="433" t="s">
        <v>204</v>
      </c>
      <c r="D5" s="418">
        <f>SUM(D6:D11)</f>
        <v>2.9890821038978985E-5</v>
      </c>
      <c r="E5" s="418">
        <f>SUM(E6:E11)</f>
        <v>3.4494409955042578E-3</v>
      </c>
      <c r="F5" s="431" t="s">
        <v>204</v>
      </c>
      <c r="G5" s="418">
        <f>SUM(G6:G11)</f>
        <v>0.7135149749427292</v>
      </c>
      <c r="H5" s="418">
        <f>SUM(H6:H11)</f>
        <v>0.10128437220526093</v>
      </c>
      <c r="I5" s="433" t="s">
        <v>204</v>
      </c>
      <c r="J5" s="433" t="s">
        <v>204</v>
      </c>
      <c r="K5" s="433" t="s">
        <v>204</v>
      </c>
      <c r="L5" s="433" t="s">
        <v>204</v>
      </c>
      <c r="M5" s="418">
        <f>SUM(M6:M11)</f>
        <v>3.5399256520803835E-2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1.1533746529383573E-6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3.6518390163159107E-6</v>
      </c>
      <c r="E6" s="421">
        <f>vkm_GW_PW*SUMIFS(TableVerdeelsleutelVkm[LPG],TableVerdeelsleutelVkm[Voertuigtype],"Lichte voertuigen")*SUMIFS(TableECFTransport[EnergieConsumptieFactor (PJ per km)],TableECFTransport[Index],CONCATENATE($A6,"_LPG_LPG"))</f>
        <v>3.8055338053719111E-4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5.0689805156642467E-2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1.2160374804739353E-2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2.7433572412520384E-3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6.7624099530776228E-8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3.0483399753596083E-2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8.2533747892162972E-7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1.3132375375356725E-3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1.8180188247861598E-6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9.7826730276079698E-6</v>
      </c>
      <c r="E8" s="421">
        <f>vkm_NGW_PW*SUMIFS(TableVerdeelsleutelVkm[LPG],TableVerdeelsleutelVkm[Voertuigtype],"Lichte voertuigen")*SUMIFS(TableECFTransport[EnergieConsumptieFactor (PJ per km)],TableECFTransport[Index],CONCATENATE($A8,"_LPG_LPG"))</f>
        <v>9.6206360218019707E-4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0.12133154962292812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3.0802941311438133E-2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6.6445710131836913E-3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2.5266430858033888E-8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1.5776287795400273E-2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3.7221203881206754E-7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6.7964651041379348E-4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5.272869049523578E-6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1.6456308995055105E-5</v>
      </c>
      <c r="E10" s="421">
        <f>vkm_SW_PW*SUMIFS(TableVerdeelsleutelVkm[LPG],TableVerdeelsleutelVkm[Voertuigtype],"Lichte voertuigen")*SUMIFS(TableECFTransport[EnergieConsumptieFactor (PJ per km)],TableECFTransport[Index],CONCATENATE($A10,"_LPG_LPG"))</f>
        <v>2.1068240127868694E-3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0.26353796411176744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5.8313166980883777E-2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1.4036866290728986E-2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5.326804766009251E-7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0.23169596850239477</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6.6915586819415135E-6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9.981577927689651E-3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2.4638426483993978</v>
      </c>
      <c r="C14" s="21"/>
      <c r="D14" s="21">
        <f t="shared" ref="D14:M14" si="0">((D5)*10^9/3600)+D12</f>
        <v>8.303005844160829</v>
      </c>
      <c r="E14" s="21">
        <f t="shared" si="0"/>
        <v>958.1780543067382</v>
      </c>
      <c r="F14" s="21"/>
      <c r="G14" s="21">
        <f t="shared" si="0"/>
        <v>198198.60415075812</v>
      </c>
      <c r="H14" s="21">
        <f t="shared" si="0"/>
        <v>28134.547834794703</v>
      </c>
      <c r="I14" s="21"/>
      <c r="J14" s="21"/>
      <c r="K14" s="21"/>
      <c r="L14" s="21"/>
      <c r="M14" s="21">
        <f t="shared" si="0"/>
        <v>9833.1268113343976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0.21194824481589872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0.52220712483080789</v>
      </c>
      <c r="C18" s="23"/>
      <c r="D18" s="23">
        <f t="shared" ref="D18:M18" si="1">D14*D16</f>
        <v>1.6772071805204876</v>
      </c>
      <c r="E18" s="23">
        <f t="shared" si="1"/>
        <v>217.50641832762958</v>
      </c>
      <c r="F18" s="23"/>
      <c r="G18" s="23">
        <f t="shared" si="1"/>
        <v>52919.027308252422</v>
      </c>
      <c r="H18" s="23">
        <f t="shared" si="1"/>
        <v>7005.5024108638809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2.5913935307444908E-5</v>
      </c>
      <c r="C50" s="315">
        <f t="shared" ref="C50:P50" si="2">SUM(C51:C52)</f>
        <v>0</v>
      </c>
      <c r="D50" s="315">
        <f t="shared" si="2"/>
        <v>0</v>
      </c>
      <c r="E50" s="315">
        <f t="shared" si="2"/>
        <v>0</v>
      </c>
      <c r="F50" s="315">
        <f t="shared" si="2"/>
        <v>0</v>
      </c>
      <c r="G50" s="315">
        <f t="shared" si="2"/>
        <v>5.6217680927102848E-3</v>
      </c>
      <c r="H50" s="315">
        <f t="shared" si="2"/>
        <v>0</v>
      </c>
      <c r="I50" s="315">
        <f t="shared" si="2"/>
        <v>0</v>
      </c>
      <c r="J50" s="315">
        <f t="shared" si="2"/>
        <v>0</v>
      </c>
      <c r="K50" s="315">
        <f t="shared" si="2"/>
        <v>0</v>
      </c>
      <c r="L50" s="315">
        <f t="shared" si="2"/>
        <v>0</v>
      </c>
      <c r="M50" s="315">
        <f t="shared" si="2"/>
        <v>2.4070251511863416E-4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2.5913935307444908E-5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5.6217680927102848E-3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2.4070251511863416E-4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7.198315363179141</v>
      </c>
      <c r="C54" s="21">
        <f t="shared" ref="C54:P54" si="3">(C50)*10^9/3600</f>
        <v>0</v>
      </c>
      <c r="D54" s="21">
        <f t="shared" si="3"/>
        <v>0</v>
      </c>
      <c r="E54" s="21">
        <f t="shared" si="3"/>
        <v>0</v>
      </c>
      <c r="F54" s="21">
        <f t="shared" si="3"/>
        <v>0</v>
      </c>
      <c r="G54" s="21">
        <f t="shared" si="3"/>
        <v>1561.6022479750791</v>
      </c>
      <c r="H54" s="21">
        <f t="shared" si="3"/>
        <v>0</v>
      </c>
      <c r="I54" s="21">
        <f t="shared" si="3"/>
        <v>0</v>
      </c>
      <c r="J54" s="21">
        <f t="shared" si="3"/>
        <v>0</v>
      </c>
      <c r="K54" s="21">
        <f t="shared" si="3"/>
        <v>0</v>
      </c>
      <c r="L54" s="21">
        <f t="shared" si="3"/>
        <v>0</v>
      </c>
      <c r="M54" s="21">
        <f t="shared" si="3"/>
        <v>66.861809755176154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0.21194824481589872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1.5256703068571376</v>
      </c>
      <c r="C58" s="23">
        <f t="shared" ref="C58:P58" ca="1" si="4">C54*C56</f>
        <v>0</v>
      </c>
      <c r="D58" s="23">
        <f t="shared" si="4"/>
        <v>0</v>
      </c>
      <c r="E58" s="23">
        <f t="shared" si="4"/>
        <v>0</v>
      </c>
      <c r="F58" s="23">
        <f t="shared" si="4"/>
        <v>0</v>
      </c>
      <c r="G58" s="23">
        <f t="shared" si="4"/>
        <v>416.94780020934616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8160.5112291949299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8160.5112291949299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2021-11-11T13:46:02Z</dcterms:modified>
</cp:coreProperties>
</file>