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15F4A0F-C6FB-40C9-A3A6-51DCA5F55CA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3"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<sst xmlns="http://schemas.openxmlformats.org/spreadsheetml/2006/main" count="2569" uniqueCount="977">
  <si>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</si>
  <si>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</si>
  <si>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</si>
  <si>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</si>
  <si>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</si>
  <si>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</si>
  <si>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</si>
  <si>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</si>
  <si>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</si>
  <si>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</si>
  <si>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</si>
  <si>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</si>
  <si>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</si>
  <si>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</si>
  <si>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</si>
  <si>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</si>
  <si>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</si>
  <si>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</si>
  <si>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</si>
  <si>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</si>
  <si>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</si>
  <si>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</si>
  <si>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</si>
  <si>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</si>
  <si>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</si>
  <si>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</si>
  <si>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</si>
  <si>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</si>
  <si>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</si>
  <si>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</si>
  <si>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</si>
  <si>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</si>
  <si>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</si>
  <si>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</si>
  <si>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</si>
  <si>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</si>
  <si>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</si>
  <si>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</si>
  <si>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</si>
  <si>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</si>
  <si>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</si>
  <si>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</si>
  <si>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</si>
  <si>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</si>
  <si>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</si>
  <si>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</si>
  <si>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</si>
  <si>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</si>
  <si>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</si>
  <si>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</si>
  <si>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</si>
  <si>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</si>
  <si>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</si>
  <si>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</si>
  <si>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</si>
  <si>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</si>
  <si>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</si>
  <si>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</si>
  <si>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</si>
  <si>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</si>
  <si>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</si>
  <si>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</si>
  <si>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</si>
  <si>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</si>
  <si>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</si>
  <si>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</si>
  <si>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</si>
  <si>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</si>
  <si>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</si>
  <si>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</si>
  <si>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</si>
  <si>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</si>
  <si>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</si>
  <si>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</si>
  <si>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</si>
  <si>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</si>
  <si>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</si>
  <si>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</si>
  <si>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</si>
  <si>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</si>
  <si>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</si>
  <si>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</si>
  <si>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</si>
  <si>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</si>
  <si>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</si>
  <si>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</si>
  <si>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</si>
  <si>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</si>
  <si>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</si>
  <si>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</si>
  <si>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</si>
  <si>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</si>
  <si>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</si>
  <si>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</si>
  <si>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</si>
  <si>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</si>
  <si>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</si>
  <si>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</si>
  <si>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</si>
  <si>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</si>
  <si>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</si>
  <si>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</si>
  <si>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</si>
  <si>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</si>
  <si>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</si>
  <si>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</si>
  <si>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</si>
  <si>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</si>
  <si>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</si>
  <si>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</si>
  <si>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</si>
  <si>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</si>
  <si>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</si>
  <si>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</si>
  <si>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</si>
  <si>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</si>
  <si>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</si>
  <si>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</si>
  <si>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</si>
  <si>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</si>
  <si>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</si>
  <si>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</si>
  <si>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</si>
  <si>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</si>
  <si>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</si>
  <si>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</si>
  <si>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</si>
  <si>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</si>
  <si>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</si>
  <si>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</si>
  <si>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</si>
  <si>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</si>
  <si>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</si>
  <si>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</si>
  <si>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</si>
  <si>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</si>
  <si>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</si>
  <si>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</si>
  <si>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</si>
  <si>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</si>
  <si>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</si>
  <si>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</si>
  <si>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</si>
  <si>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</si>
  <si>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</si>
  <si>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</si>
  <si>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</si>
  <si>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</si>
  <si>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</si>
  <si>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</si>
  <si>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</si>
  <si>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</si>
  <si>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</si>
  <si>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</si>
  <si>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</si>
  <si>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</si>
  <si>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</si>
  <si>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</si>
  <si>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</si>
  <si>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</si>
  <si>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</si>
  <si>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</si>
  <si>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</si>
  <si>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</si>
  <si>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</si>
  <si>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</si>
  <si>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</si>
  <si>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</si>
  <si>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</si>
  <si>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</si>
  <si>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</si>
  <si>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</si>
  <si>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</si>
  <si>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</si>
  <si>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</si>
  <si>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</si>
  <si>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</si>
  <si>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</si>
  <si>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</si>
  <si>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</si>
  <si>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</si>
  <si>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</si>
  <si>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</si>
  <si>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</si>
  <si>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</si>
  <si>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</si>
  <si>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</si>
  <si>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</si>
  <si>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</si>
  <si>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</si>
  <si>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</si>
  <si>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</si>
  <si>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</si>
  <si>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</si>
  <si>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</si>
  <si>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</si>
  <si>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</si>
  <si>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</si>
  <si>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</si>
  <si>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</si>
  <si>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</si>
  <si>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</si>
  <si>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</si>
  <si>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</si>
  <si>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</si>
  <si>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</si>
  <si>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</si>
  <si>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</si>
  <si>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</si>
  <si>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</si>
  <si>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</si>
  <si>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</si>
  <si>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</si>
  <si>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</si>
  <si>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</si>
  <si>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</si>
  <si>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</si>
  <si>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</si>
  <si>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</si>
  <si>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</si>
  <si>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</si>
  <si>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</si>
  <si>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</si>
  <si>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</si>
  <si>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</si>
  <si>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</si>
  <si>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</si>
  <si>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</si>
  <si>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</si>
  <si>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</si>
  <si>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</si>
  <si>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</si>
  <si>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</si>
  <si>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</si>
  <si>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</si>
  <si>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</si>
  <si>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</si>
  <si>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</si>
  <si>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</si>
  <si>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</si>
  <si>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</si>
  <si>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</si>
  <si>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</si>
  <si>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</si>
  <si>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</si>
  <si>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</si>
  <si>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</si>
  <si>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</si>
  <si>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</si>
  <si>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</si>
  <si>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</si>
  <si>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</si>
  <si>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</si>
  <si>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</si>
  <si>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</si>
  <si>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</si>
  <si>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</si>
  <si>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</si>
  <si>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</si>
  <si>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</si>
  <si>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</si>
  <si>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</si>
  <si>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</si>
  <si>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</si>
  <si>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</si>
  <si>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</si>
  <si>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</si>
  <si>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</si>
  <si>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</si>
  <si>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</si>
  <si>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</si>
  <si>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</si>
  <si>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</si>
  <si>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</si>
  <si>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</si>
  <si>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</si>
  <si>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</si>
  <si>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</si>
  <si>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</si>
  <si>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</si>
  <si>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</si>
  <si>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</si>
  <si>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</si>
  <si>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</si>
  <si>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</si>
  <si>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</si>
  <si>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</si>
  <si>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</si>
  <si>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</si>
  <si>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</si>
  <si>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</si>
  <si>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</si>
  <si>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</si>
  <si>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</si>
  <si>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</si>
  <si>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</si>
  <si>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</si>
  <si>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</si>
  <si>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</si>
  <si>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</si>
  <si>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</si>
  <si>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</si>
  <si>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</si>
  <si>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</si>
  <si>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</si>
  <si>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</si>
  <si>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</si>
  <si>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</si>
  <si>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</si>
  <si>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</si>
  <si>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</si>
  <si>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</si>
  <si>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</si>
  <si>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</si>
  <si>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</si>
  <si>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</si>
  <si>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</si>
  <si>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</si>
  <si>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</si>
  <si>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</si>
  <si>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</si>
  <si>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</si>
  <si>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</si>
  <si>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</si>
  <si>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</si>
  <si>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</si>
  <si>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</si>
  <si>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</si>
  <si>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</si>
  <si>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</si>
  <si>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</si>
  <si>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</si>
  <si>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</si>
  <si>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</si>
  <si>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</si>
  <si>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</si>
  <si>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</si>
  <si>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</si>
  <si>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</si>
  <si>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</si>
  <si>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</si>
  <si>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</si>
  <si>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</si>
  <si>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</si>
  <si>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</si>
  <si>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</si>
  <si>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</si>
  <si>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</si>
  <si>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</si>
  <si>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</si>
  <si>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</si>
  <si>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</si>
  <si>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</si>
  <si>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</si>
  <si>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</si>
  <si>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</si>
  <si>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</si>
  <si>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</si>
  <si>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</si>
  <si>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</si>
  <si>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</si>
  <si>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</si>
  <si>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</si>
  <si>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</si>
  <si>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</si>
  <si>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</si>
  <si>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</si>
  <si>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</si>
  <si>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</si>
  <si>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</si>
  <si>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</si>
  <si>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</si>
  <si>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</si>
  <si>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</si>
  <si>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</si>
  <si>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</si>
  <si>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</si>
  <si>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</si>
  <si>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</si>
  <si>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</si>
  <si>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</si>
  <si>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</si>
  <si>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</si>
  <si>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</si>
  <si>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</si>
  <si>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</si>
  <si>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</si>
  <si>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</si>
  <si>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</si>
  <si>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</si>
  <si>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</si>
  <si>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</si>
  <si>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</si>
  <si>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</si>
  <si>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</si>
  <si>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</si>
  <si>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</si>
  <si>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</si>
  <si>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</si>
  <si>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</si>
  <si>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</si>
  <si>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</si>
  <si>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</si>
  <si>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</si>
  <si>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</si>
  <si>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</si>
  <si>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</si>
  <si>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</si>
  <si>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</si>
  <si>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</si>
  <si>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</si>
  <si>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</si>
  <si>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</si>
  <si>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</si>
  <si>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</si>
  <si>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</si>
  <si>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</si>
  <si>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</si>
  <si>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</si>
  <si>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</si>
  <si>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</si>
  <si>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</si>
  <si>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</si>
  <si>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</si>
  <si>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</si>
  <si>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</si>
  <si>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</si>
  <si>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</si>
  <si>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</si>
  <si>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</si>
  <si>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</si>
  <si>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</si>
  <si>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</si>
  <si>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</si>
  <si>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</si>
  <si>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</si>
  <si>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</si>
  <si>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</si>
  <si>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</si>
  <si>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</si>
  <si>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</si>
  <si>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</si>
  <si>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</si>
  <si>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</si>
  <si>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</si>
  <si>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</si>
  <si>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</si>
  <si>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</si>
  <si>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</si>
  <si>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</si>
  <si>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</si>
  <si>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</si>
  <si>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</si>
  <si>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</si>
  <si>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</si>
  <si>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</si>
  <si>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</si>
  <si>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</si>
  <si>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</si>
  <si>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</si>
  <si>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</si>
  <si>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</si>
  <si>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</si>
  <si>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</si>
  <si>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</si>
  <si>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</si>
  <si>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</si>
  <si>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</si>
  <si>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</si>
  <si>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</si>
  <si>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</si>
  <si>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</si>
  <si>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</si>
  <si>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</si>
  <si>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</si>
  <si>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</si>
  <si>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</si>
  <si>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</si>
  <si>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</si>
  <si>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</si>
  <si>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</si>
  <si>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</si>
  <si>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</si>
  <si>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</si>
  <si>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</si>
  <si>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</si>
  <si>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</si>
  <si>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</si>
  <si>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</si>
  <si>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</si>
  <si>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</si>
  <si>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</si>
  <si>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</si>
  <si>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</si>
  <si>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</si>
  <si>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</si>
  <si>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</si>
  <si>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</si>
  <si>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</si>
  <si>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</si>
  <si>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</si>
  <si>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</si>
  <si>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</si>
  <si>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</si>
  <si>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</si>
  <si>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</si>
  <si>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</si>
  <si>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</si>
  <si>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</si>
  <si>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</si>
  <si>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</si>
  <si>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</si>
  <si>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</si>
  <si>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</si>
  <si>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</si>
  <si>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</si>
  <si>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</si>
  <si>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</si>
  <si>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</si>
  <si>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</si>
  <si>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</si>
  <si>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</si>
  <si>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</si>
  <si>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</si>
  <si>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</si>
  <si>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</si>
  <si>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</si>
  <si>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</si>
  <si>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</si>
  <si>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</si>
  <si>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</si>
  <si>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</si>
  <si>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</si>
  <si>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</si>
  <si>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</si>
  <si>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</si>
  <si>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</si>
  <si>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</si>
  <si>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</si>
  <si>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</si>
  <si>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</si>
  <si>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</si>
  <si>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</si>
  <si>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</si>
  <si>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</si>
  <si>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</si>
  <si>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</si>
  <si>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</si>
  <si>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</si>
  <si>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</si>
  <si>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</si>
  <si>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</si>
  <si>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</si>
  <si>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</si>
  <si>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</si>
  <si>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</si>
  <si>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</si>
  <si>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</si>
  <si>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</si>
  <si>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</si>
  <si>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</si>
  <si>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</si>
  <si>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</si>
  <si>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</si>
  <si>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</si>
  <si>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</si>
  <si>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</si>
  <si>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</si>
  <si>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</si>
  <si>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</si>
  <si>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</si>
  <si>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</si>
  <si>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</si>
  <si>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</si>
  <si>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</si>
  <si>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</si>
  <si>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</si>
  <si>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</si>
  <si>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</si>
  <si>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</si>
  <si>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</si>
  <si>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</si>
  <si>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</si>
  <si>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</si>
  <si>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</si>
  <si>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</si>
  <si>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</si>
  <si>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</si>
  <si>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</si>
  <si>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</si>
  <si>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</si>
  <si>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</si>
  <si>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</si>
  <si>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</si>
  <si>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</si>
  <si>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</si>
  <si>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</si>
  <si>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</si>
  <si>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</si>
  <si>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</si>
  <si>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</si>
  <si>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</si>
  <si>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</si>
  <si>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</si>
  <si>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</si>
  <si>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</si>
  <si>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</si>
  <si>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</si>
  <si>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</si>
  <si>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</si>
  <si>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</si>
  <si>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</si>
  <si>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</si>
  <si>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</si>
  <si>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</si>
  <si>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</si>
  <si>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</si>
  <si>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</si>
  <si>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</si>
  <si>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</si>
  <si>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</si>
  <si>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</si>
  <si>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</si>
  <si>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</si>
  <si>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</si>
  <si>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</si>
  <si>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</si>
  <si>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</si>
  <si>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</si>
  <si>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</si>
  <si>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</si>
  <si>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</si>
  <si>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</si>
  <si>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</si>
  <si>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</si>
  <si>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</si>
  <si>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</si>
  <si>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</si>
  <si>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</si>
  <si>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</si>
  <si>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</si>
  <si>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</si>
  <si>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</si>
  <si>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</si>
  <si>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</si>
  <si>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</si>
  <si>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</si>
  <si>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</si>
  <si>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</si>
  <si>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</si>
  <si>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</si>
  <si>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</si>
  <si>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</si>
  <si>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</si>
  <si>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</si>
  <si>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</si>
  <si>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</si>
  <si>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</si>
  <si>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</si>
  <si>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</si>
  <si>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</si>
  <si>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</si>
  <si>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</si>
  <si>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</si>
  <si>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</si>
  <si>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</si>
  <si>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</si>
  <si>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</si>
  <si>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</si>
  <si>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</si>
  <si>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</si>
  <si>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</si>
  <si>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</si>
  <si>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</si>
  <si>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</si>
  <si>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</si>
  <si>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</si>
  <si>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</si>
  <si>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</si>
  <si>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</si>
  <si>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</si>
  <si>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</si>
  <si>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</si>
  <si>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</si>
  <si>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</si>
  <si>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</si>
  <si>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</si>
  <si>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</si>
  <si>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</si>
  <si>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</si>
  <si>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</si>
  <si>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</si>
  <si>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</si>
  <si>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</si>
  <si>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</si>
  <si>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</si>
  <si>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</si>
  <si>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</si>
  <si>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</si>
  <si>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</si>
  <si>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</si>
  <si>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</si>
  <si>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</si>
  <si>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</si>
  <si>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</si>
  <si>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</si>
  <si>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</si>
  <si>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</si>
  <si>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</si>
  <si>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</si>
  <si>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</si>
  <si>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</si>
  <si>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</si>
  <si>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</si>
  <si>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</si>
  <si>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</si>
  <si>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</si>
  <si>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</si>
  <si>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</si>
  <si>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</si>
  <si>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</si>
  <si>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</si>
  <si>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</si>
  <si>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</si>
  <si>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</si>
  <si>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</si>
  <si>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</si>
  <si>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</si>
  <si>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</si>
  <si>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</si>
  <si>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</si>
  <si>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</si>
  <si>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</si>
  <si>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</si>
  <si>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</si>
  <si>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</si>
  <si>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</si>
  <si>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</si>
  <si>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</si>
  <si>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</si>
  <si>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</si>
  <si>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</si>
  <si>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</si>
  <si>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</si>
  <si>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</si>
  <si>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</si>
  <si>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</si>
  <si>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</si>
  <si>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</si>
  <si>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</si>
  <si>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</si>
  <si>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</si>
  <si>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</si>
  <si>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</si>
  <si>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</si>
  <si>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</si>
  <si>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</si>
  <si>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</si>
  <si>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</si>
  <si>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</si>
  <si>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</si>
  <si>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</si>
  <si>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</si>
  <si>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</si>
  <si>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</si>
  <si>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</si>
  <si>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</si>
  <si>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</si>
  <si>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</si>
  <si>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</si>
  <si>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</si>
  <si>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</si>
  <si>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</si>
  <si>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</si>
  <si>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</si>
  <si>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</si>
  <si>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</si>
  <si>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</si>
  <si>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</si>
  <si>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</si>
  <si>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</si>
  <si>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</si>
  <si>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</si>
  <si>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</si>
  <si>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</si>
  <si>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</si>
  <si>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</si>
  <si>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</si>
  <si>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</si>
  <si>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</si>
  <si>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</si>
  <si>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</si>
  <si>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</si>
  <si>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</si>
  <si>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</si>
  <si>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</si>
  <si>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</si>
  <si>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</si>
  <si>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</si>
  <si>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</si>
  <si>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</si>
  <si>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</si>
  <si>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</si>
  <si>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</si>
  <si>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</si>
  <si>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</si>
  <si>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</si>
  <si>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</si>
  <si>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</si>
  <si>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</si>
  <si>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</si>
  <si>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</si>
  <si>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</si>
  <si>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</si>
  <si>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</si>
  <si>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</si>
  <si>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</si>
  <si>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</si>
  <si>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</si>
  <si>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</si>
  <si>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</si>
  <si>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</si>
  <si>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</si>
  <si>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</si>
  <si>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</si>
  <si>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</si>
  <si>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</si>
  <si>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</si>
  <si>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</si>
  <si>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</si>
  <si>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</si>
  <si>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</si>
  <si>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</si>
  <si>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</si>
  <si>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</si>
  <si>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</si>
  <si>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</si>
  <si>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</si>
  <si>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</si>
  <si>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</si>
  <si>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</si>
  <si>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</si>
  <si>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</si>
  <si>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</si>
  <si>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</si>
  <si>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</si>
  <si>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</si>
  <si>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</si>
  <si>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</si>
  <si>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</si>
  <si>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</si>
  <si>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</si>
  <si>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</si>
  <si>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</si>
  <si>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</si>
  <si>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</si>
  <si>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</si>
  <si>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</si>
  <si>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</si>
  <si>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</si>
  <si>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</si>
  <si>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</si>
  <si>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</si>
  <si>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</si>
  <si>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</si>
  <si>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</si>
  <si>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</si>
  <si>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</si>
  <si>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</si>
  <si>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</si>
  <si>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</si>
  <si>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</si>
  <si>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</si>
  <si>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</si>
  <si>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</si>
  <si>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</si>
  <si>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</si>
  <si>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</si>
  <si>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</si>
  <si>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</si>
  <si>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</si>
  <si>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</si>
  <si>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</si>
  <si>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</si>
  <si>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</si>
  <si>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</si>
  <si>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</si>
  <si>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</si>
  <si>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</si>
  <si>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</si>
  <si>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</si>
  <si>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</si>
  <si>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</si>
  <si>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</si>
  <si>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</si>
  <si>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</si>
  <si>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</si>
  <si>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</si>
  <si>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</si>
  <si>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</si>
  <si>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</si>
  <si>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</si>
  <si>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</si>
  <si>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</si>
  <si>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</si>
  <si>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</si>
  <si>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</si>
  <si>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</si>
  <si>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</si>
  <si>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</si>
  <si>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</si>
  <si>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</si>
  <si>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</si>
  <si>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</si>
  <si>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</si>
  <si>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</si>
  <si>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</si>
  <si>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</si>
  <si>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</si>
  <si>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</si>
  <si>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</si>
  <si>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</si>
  <si>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</si>
  <si>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</si>
  <si>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</si>
  <si>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</si>
  <si>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</si>
  <si>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</si>
  <si>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</si>
  <si>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</si>
  <si>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</si>
  <si>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</si>
  <si>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</si>
  <si>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</si>
  <si>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</si>
  <si>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</si>
  <si>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</si>
  <si>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</si>
  <si>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</si>
  <si>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</si>
  <si>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</si>
  <si>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</si>
  <si>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</si>
  <si>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</si>
  <si>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</si>
  <si>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</si>
  <si>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</si>
  <si>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</si>
  <si>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</si>
  <si>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</si>
  <si>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</si>
  <si>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</si>
  <si>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</si>
  <si>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</si>
  <si>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</si>
  <si>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</si>
  <si>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</si>
  <si>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</si>
  <si>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</si>
  <si>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</si>
  <si>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</si>
  <si>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</si>
  <si>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</si>
  <si>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</si>
  <si>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</si>
  <si>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</si>
  <si>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</si>
  <si>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</si>
  <si>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</si>
  <si>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</si>
  <si>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34027</t>
  </si>
  <si>
    <t>MENEN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</si>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</sst>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6105DB1-25C6-426B-B068-E51CAF2A787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34027</v>
      </c>
      <c r="B6" s="384"/>
      <c r="C6" s="385"/>
    </row>
    <row r="7" spans="1:7" s="382" customFormat="1" ht="15.75" customHeight="1">
      <c r="A7" s="386" t="str">
        <f>txtMunicipality</f>
        <v>MENEN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61355.979089467037</v>
      </c>
      <c r="D10" s="674">
        <f ca="1">tertiair!C16</f>
        <v>0</v>
      </c>
      <c r="E10" s="674">
        <f ca="1">tertiair!D16</f>
        <v>55017.718467009981</v>
      </c>
      <c r="F10" s="674">
        <f>tertiair!E16</f>
        <v>880.07654092510734</v>
      </c>
      <c r="G10" s="674">
        <f ca="1">tertiair!F16</f>
        <v>10861.280800409575</v>
      </c>
      <c r="H10" s="674">
        <f>tertiair!G16</f>
        <v>0</v>
      </c>
      <c r="I10" s="674">
        <f>tertiair!H16</f>
        <v>0</v>
      </c>
      <c r="J10" s="674">
        <f>tertiair!I16</f>
        <v>0</v>
      </c>
      <c r="K10" s="674">
        <f>tertiair!J16</f>
        <v>0</v>
      </c>
      <c r="L10" s="674">
        <f>tertiair!K16</f>
        <v>0</v>
      </c>
      <c r="M10" s="674">
        <f ca="1">tertiair!L16</f>
        <v>0</v>
      </c>
      <c r="N10" s="674">
        <f>tertiair!M16</f>
        <v>0</v>
      </c>
      <c r="O10" s="674">
        <f ca="1">tertiair!N16</f>
        <v>1382.4975389964302</v>
      </c>
      <c r="P10" s="674">
        <f>tertiair!O16</f>
        <v>3.1266666666666669</v>
      </c>
      <c r="Q10" s="675">
        <f>tertiair!P16</f>
        <v>38.133333333333333</v>
      </c>
      <c r="R10" s="677">
        <f ca="1">SUM(C10:Q10)</f>
        <v>129538.8124368081</v>
      </c>
      <c r="S10" s="67"/>
    </row>
    <row r="11" spans="1:19" s="443" customFormat="1">
      <c r="A11" s="789" t="s">
        <v>214</v>
      </c>
      <c r="B11" s="794"/>
      <c r="C11" s="674">
        <f>huishoudens!B8</f>
        <v>48240.383339607346</v>
      </c>
      <c r="D11" s="674">
        <f>huishoudens!C8</f>
        <v>0</v>
      </c>
      <c r="E11" s="674">
        <f>huishoudens!D8</f>
        <v>147944.81837247734</v>
      </c>
      <c r="F11" s="674">
        <f>huishoudens!E8</f>
        <v>1376.4435878656861</v>
      </c>
      <c r="G11" s="674">
        <f>huishoudens!F8</f>
        <v>46984.070006389884</v>
      </c>
      <c r="H11" s="674">
        <f>huishoudens!G8</f>
        <v>0</v>
      </c>
      <c r="I11" s="674">
        <f>huishoudens!H8</f>
        <v>0</v>
      </c>
      <c r="J11" s="674">
        <f>huishoudens!I8</f>
        <v>0</v>
      </c>
      <c r="K11" s="674">
        <f>huishoudens!J8</f>
        <v>1057.9621384334087</v>
      </c>
      <c r="L11" s="674">
        <f>huishoudens!K8</f>
        <v>0</v>
      </c>
      <c r="M11" s="674">
        <f>huishoudens!L8</f>
        <v>0</v>
      </c>
      <c r="N11" s="674">
        <f>huishoudens!M8</f>
        <v>0</v>
      </c>
      <c r="O11" s="674">
        <f>huishoudens!N8</f>
        <v>15726.510927594773</v>
      </c>
      <c r="P11" s="674">
        <f>huishoudens!O8</f>
        <v>98.490000000000009</v>
      </c>
      <c r="Q11" s="675">
        <f>huishoudens!P8</f>
        <v>209.73333333333335</v>
      </c>
      <c r="R11" s="677">
        <f>SUM(C11:Q11)</f>
        <v>261638.41170570176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46427.046697532831</v>
      </c>
      <c r="D13" s="674">
        <f>industrie!C18</f>
        <v>0</v>
      </c>
      <c r="E13" s="674">
        <f>industrie!D18</f>
        <v>55570.793241354666</v>
      </c>
      <c r="F13" s="674">
        <f>industrie!E18</f>
        <v>473.36073724353793</v>
      </c>
      <c r="G13" s="674">
        <f>industrie!F18</f>
        <v>13796.586733104257</v>
      </c>
      <c r="H13" s="674">
        <f>industrie!G18</f>
        <v>0</v>
      </c>
      <c r="I13" s="674">
        <f>industrie!H18</f>
        <v>0</v>
      </c>
      <c r="J13" s="674">
        <f>industrie!I18</f>
        <v>0</v>
      </c>
      <c r="K13" s="674">
        <f>industrie!J18</f>
        <v>223.123958594616</v>
      </c>
      <c r="L13" s="674">
        <f>industrie!K18</f>
        <v>0</v>
      </c>
      <c r="M13" s="674">
        <f>industrie!L18</f>
        <v>0</v>
      </c>
      <c r="N13" s="674">
        <f>industrie!M18</f>
        <v>0</v>
      </c>
      <c r="O13" s="674">
        <f>industrie!N18</f>
        <v>1285.5873554301329</v>
      </c>
      <c r="P13" s="674">
        <f>industrie!O18</f>
        <v>0</v>
      </c>
      <c r="Q13" s="675">
        <f>industrie!P18</f>
        <v>0</v>
      </c>
      <c r="R13" s="677">
        <f>SUM(C13:Q13)</f>
        <v>117776.49872326004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156023.40912660724</v>
      </c>
      <c r="D16" s="707">
        <f t="shared" ref="D16:R16" ca="1" si="0">SUM(D9:D15)</f>
        <v>0</v>
      </c>
      <c r="E16" s="707">
        <f t="shared" ca="1" si="0"/>
        <v>258533.33008084199</v>
      </c>
      <c r="F16" s="707">
        <f t="shared" si="0"/>
        <v>2729.8808660343316</v>
      </c>
      <c r="G16" s="707">
        <f t="shared" ca="1" si="0"/>
        <v>71641.937539903709</v>
      </c>
      <c r="H16" s="707">
        <f t="shared" si="0"/>
        <v>0</v>
      </c>
      <c r="I16" s="707">
        <f t="shared" si="0"/>
        <v>0</v>
      </c>
      <c r="J16" s="707">
        <f t="shared" si="0"/>
        <v>0</v>
      </c>
      <c r="K16" s="707">
        <f t="shared" si="0"/>
        <v>1281.0860970280246</v>
      </c>
      <c r="L16" s="707">
        <f t="shared" si="0"/>
        <v>0</v>
      </c>
      <c r="M16" s="707">
        <f t="shared" ca="1" si="0"/>
        <v>0</v>
      </c>
      <c r="N16" s="707">
        <f t="shared" si="0"/>
        <v>0</v>
      </c>
      <c r="O16" s="707">
        <f t="shared" ca="1" si="0"/>
        <v>18394.595822021336</v>
      </c>
      <c r="P16" s="707">
        <f t="shared" si="0"/>
        <v>101.61666666666667</v>
      </c>
      <c r="Q16" s="707">
        <f t="shared" si="0"/>
        <v>247.86666666666667</v>
      </c>
      <c r="R16" s="707">
        <f t="shared" ca="1" si="0"/>
        <v>508953.72286576987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11.477841635674547</v>
      </c>
      <c r="D19" s="674">
        <f>transport!C54</f>
        <v>0</v>
      </c>
      <c r="E19" s="674">
        <f>transport!D54</f>
        <v>0</v>
      </c>
      <c r="F19" s="674">
        <f>transport!E54</f>
        <v>0</v>
      </c>
      <c r="G19" s="674">
        <f>transport!F54</f>
        <v>0</v>
      </c>
      <c r="H19" s="674">
        <f>transport!G54</f>
        <v>2490.002506955359</v>
      </c>
      <c r="I19" s="674">
        <f>transport!H54</f>
        <v>0</v>
      </c>
      <c r="J19" s="674">
        <f>transport!I54</f>
        <v>0</v>
      </c>
      <c r="K19" s="674">
        <f>transport!J54</f>
        <v>0</v>
      </c>
      <c r="L19" s="674">
        <f>transport!K54</f>
        <v>0</v>
      </c>
      <c r="M19" s="674">
        <f>transport!L54</f>
        <v>0</v>
      </c>
      <c r="N19" s="674">
        <f>transport!M54</f>
        <v>106.61234262811956</v>
      </c>
      <c r="O19" s="674">
        <f>transport!N54</f>
        <v>0</v>
      </c>
      <c r="P19" s="674">
        <f>transport!O54</f>
        <v>0</v>
      </c>
      <c r="Q19" s="675">
        <f>transport!P54</f>
        <v>0</v>
      </c>
      <c r="R19" s="677">
        <f>SUM(C19:Q19)</f>
        <v>2608.092691219153</v>
      </c>
      <c r="S19" s="67"/>
    </row>
    <row r="20" spans="1:19" s="443" customFormat="1">
      <c r="A20" s="789" t="s">
        <v>296</v>
      </c>
      <c r="B20" s="794"/>
      <c r="C20" s="674">
        <f>transport!B14</f>
        <v>2.0581053935331322</v>
      </c>
      <c r="D20" s="674">
        <f>transport!C14</f>
        <v>0</v>
      </c>
      <c r="E20" s="674">
        <f>transport!D14</f>
        <v>6.6652368993721902</v>
      </c>
      <c r="F20" s="674">
        <f>transport!E14</f>
        <v>745.75839539736705</v>
      </c>
      <c r="G20" s="674">
        <f>transport!F14</f>
        <v>0</v>
      </c>
      <c r="H20" s="674">
        <f>transport!G14</f>
        <v>154592.94565268789</v>
      </c>
      <c r="I20" s="674">
        <f>transport!H14</f>
        <v>22466.902785200771</v>
      </c>
      <c r="J20" s="674">
        <f>transport!I14</f>
        <v>0</v>
      </c>
      <c r="K20" s="674">
        <f>transport!J14</f>
        <v>0</v>
      </c>
      <c r="L20" s="674">
        <f>transport!K14</f>
        <v>0</v>
      </c>
      <c r="M20" s="674">
        <f>transport!L14</f>
        <v>0</v>
      </c>
      <c r="N20" s="674">
        <f>transport!M14</f>
        <v>7693.7772923667035</v>
      </c>
      <c r="O20" s="674">
        <f>transport!N14</f>
        <v>0</v>
      </c>
      <c r="P20" s="674">
        <f>transport!O14</f>
        <v>0</v>
      </c>
      <c r="Q20" s="675">
        <f>transport!P14</f>
        <v>0</v>
      </c>
      <c r="R20" s="677">
        <f>SUM(C20:Q20)</f>
        <v>185508.10746794564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13.53594702920768</v>
      </c>
      <c r="D22" s="792">
        <f t="shared" ref="D22:R22" si="1">SUM(D18:D21)</f>
        <v>0</v>
      </c>
      <c r="E22" s="792">
        <f t="shared" si="1"/>
        <v>6.6652368993721902</v>
      </c>
      <c r="F22" s="792">
        <f t="shared" si="1"/>
        <v>745.75839539736705</v>
      </c>
      <c r="G22" s="792">
        <f t="shared" si="1"/>
        <v>0</v>
      </c>
      <c r="H22" s="792">
        <f t="shared" si="1"/>
        <v>157082.94815964325</v>
      </c>
      <c r="I22" s="792">
        <f t="shared" si="1"/>
        <v>22466.902785200771</v>
      </c>
      <c r="J22" s="792">
        <f t="shared" si="1"/>
        <v>0</v>
      </c>
      <c r="K22" s="792">
        <f t="shared" si="1"/>
        <v>0</v>
      </c>
      <c r="L22" s="792">
        <f t="shared" si="1"/>
        <v>0</v>
      </c>
      <c r="M22" s="792">
        <f t="shared" si="1"/>
        <v>0</v>
      </c>
      <c r="N22" s="792">
        <f t="shared" si="1"/>
        <v>7800.3896349948227</v>
      </c>
      <c r="O22" s="792">
        <f t="shared" si="1"/>
        <v>0</v>
      </c>
      <c r="P22" s="792">
        <f t="shared" si="1"/>
        <v>0</v>
      </c>
      <c r="Q22" s="792">
        <f t="shared" si="1"/>
        <v>0</v>
      </c>
      <c r="R22" s="792">
        <f t="shared" si="1"/>
        <v>188116.20015916479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1225.5460836602667</v>
      </c>
      <c r="D24" s="674">
        <f>+landbouw!C8</f>
        <v>0</v>
      </c>
      <c r="E24" s="674">
        <f>+landbouw!D8</f>
        <v>362.09793234008083</v>
      </c>
      <c r="F24" s="674">
        <f>+landbouw!E8</f>
        <v>12.834183907997748</v>
      </c>
      <c r="G24" s="674">
        <f>+landbouw!F8</f>
        <v>5246.2684553182517</v>
      </c>
      <c r="H24" s="674">
        <f>+landbouw!G8</f>
        <v>0</v>
      </c>
      <c r="I24" s="674">
        <f>+landbouw!H8</f>
        <v>0</v>
      </c>
      <c r="J24" s="674">
        <f>+landbouw!I8</f>
        <v>0</v>
      </c>
      <c r="K24" s="674">
        <f>+landbouw!J8</f>
        <v>109.45225002780592</v>
      </c>
      <c r="L24" s="674">
        <f>+landbouw!K8</f>
        <v>0</v>
      </c>
      <c r="M24" s="674">
        <f>+landbouw!L8</f>
        <v>0</v>
      </c>
      <c r="N24" s="674">
        <f>+landbouw!M8</f>
        <v>0</v>
      </c>
      <c r="O24" s="674">
        <f>+landbouw!N8</f>
        <v>0</v>
      </c>
      <c r="P24" s="674">
        <f>+landbouw!O8</f>
        <v>0</v>
      </c>
      <c r="Q24" s="675">
        <f>+landbouw!P8</f>
        <v>0</v>
      </c>
      <c r="R24" s="677">
        <f>SUM(C24:Q24)</f>
        <v>6956.1989052544031</v>
      </c>
      <c r="S24" s="67"/>
    </row>
    <row r="25" spans="1:19" s="443" customFormat="1" ht="15" thickBot="1">
      <c r="A25" s="811" t="s">
        <v>889</v>
      </c>
      <c r="B25" s="966"/>
      <c r="C25" s="967">
        <f>IF(Onbekend_ele_kWh="---",0,Onbekend_ele_kWh)/1000+IF(REST_rest_ele_kWh="---",0,REST_rest_ele_kWh)/1000</f>
        <v>3118.0274135375798</v>
      </c>
      <c r="D25" s="967"/>
      <c r="E25" s="967">
        <f>IF(onbekend_gas_kWh="---",0,onbekend_gas_kWh)/1000+IF(REST_rest_gas_kWh="---",0,REST_rest_gas_kWh)/1000</f>
        <v>8584.3661801810103</v>
      </c>
      <c r="F25" s="967"/>
      <c r="G25" s="967"/>
      <c r="H25" s="967"/>
      <c r="I25" s="967"/>
      <c r="J25" s="967"/>
      <c r="K25" s="967"/>
      <c r="L25" s="967"/>
      <c r="M25" s="967"/>
      <c r="N25" s="967"/>
      <c r="O25" s="967"/>
      <c r="P25" s="967"/>
      <c r="Q25" s="968"/>
      <c r="R25" s="677">
        <f>SUM(C25:Q25)</f>
        <v>11702.393593718591</v>
      </c>
      <c r="S25" s="67"/>
    </row>
    <row r="26" spans="1:19" s="443" customFormat="1" ht="15.75" thickBot="1">
      <c r="A26" s="680" t="s">
        <v>890</v>
      </c>
      <c r="B26" s="797"/>
      <c r="C26" s="792">
        <f>SUM(C24:C25)</f>
        <v>4343.5734971978463</v>
      </c>
      <c r="D26" s="792">
        <f t="shared" ref="D26:R26" si="2">SUM(D24:D25)</f>
        <v>0</v>
      </c>
      <c r="E26" s="792">
        <f t="shared" si="2"/>
        <v>8946.464112521091</v>
      </c>
      <c r="F26" s="792">
        <f t="shared" si="2"/>
        <v>12.834183907997748</v>
      </c>
      <c r="G26" s="792">
        <f t="shared" si="2"/>
        <v>5246.2684553182517</v>
      </c>
      <c r="H26" s="792">
        <f t="shared" si="2"/>
        <v>0</v>
      </c>
      <c r="I26" s="792">
        <f t="shared" si="2"/>
        <v>0</v>
      </c>
      <c r="J26" s="792">
        <f t="shared" si="2"/>
        <v>0</v>
      </c>
      <c r="K26" s="792">
        <f t="shared" si="2"/>
        <v>109.45225002780592</v>
      </c>
      <c r="L26" s="792">
        <f t="shared" si="2"/>
        <v>0</v>
      </c>
      <c r="M26" s="792">
        <f t="shared" si="2"/>
        <v>0</v>
      </c>
      <c r="N26" s="792">
        <f t="shared" si="2"/>
        <v>0</v>
      </c>
      <c r="O26" s="792">
        <f t="shared" si="2"/>
        <v>0</v>
      </c>
      <c r="P26" s="792">
        <f t="shared" si="2"/>
        <v>0</v>
      </c>
      <c r="Q26" s="792">
        <f t="shared" si="2"/>
        <v>0</v>
      </c>
      <c r="R26" s="792">
        <f t="shared" si="2"/>
        <v>18658.592498972994</v>
      </c>
      <c r="S26" s="67"/>
    </row>
    <row r="27" spans="1:19" s="443" customFormat="1" ht="17.25" thickTop="1" thickBot="1">
      <c r="A27" s="681" t="s">
        <v>109</v>
      </c>
      <c r="B27" s="784"/>
      <c r="C27" s="682">
        <f ca="1">C22+C16+C26</f>
        <v>160380.51857083431</v>
      </c>
      <c r="D27" s="682">
        <f t="shared" ref="D27:R27" ca="1" si="3">D22+D16+D26</f>
        <v>0</v>
      </c>
      <c r="E27" s="682">
        <f t="shared" ca="1" si="3"/>
        <v>267486.45943026245</v>
      </c>
      <c r="F27" s="682">
        <f t="shared" si="3"/>
        <v>3488.4734453396964</v>
      </c>
      <c r="G27" s="682">
        <f t="shared" ca="1" si="3"/>
        <v>76888.205995221957</v>
      </c>
      <c r="H27" s="682">
        <f t="shared" si="3"/>
        <v>157082.94815964325</v>
      </c>
      <c r="I27" s="682">
        <f t="shared" si="3"/>
        <v>22466.902785200771</v>
      </c>
      <c r="J27" s="682">
        <f t="shared" si="3"/>
        <v>0</v>
      </c>
      <c r="K27" s="682">
        <f t="shared" si="3"/>
        <v>1390.5383470558304</v>
      </c>
      <c r="L27" s="682">
        <f t="shared" si="3"/>
        <v>0</v>
      </c>
      <c r="M27" s="682">
        <f t="shared" ca="1" si="3"/>
        <v>0</v>
      </c>
      <c r="N27" s="682">
        <f t="shared" si="3"/>
        <v>7800.3896349948227</v>
      </c>
      <c r="O27" s="682">
        <f t="shared" ca="1" si="3"/>
        <v>18394.595822021336</v>
      </c>
      <c r="P27" s="682">
        <f t="shared" si="3"/>
        <v>101.61666666666667</v>
      </c>
      <c r="Q27" s="682">
        <f t="shared" si="3"/>
        <v>247.86666666666667</v>
      </c>
      <c r="R27" s="682">
        <f t="shared" ca="1" si="3"/>
        <v>715728.51552390773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13070.516805735973</v>
      </c>
      <c r="D40" s="674">
        <f ca="1">tertiair!C20</f>
        <v>0</v>
      </c>
      <c r="E40" s="674">
        <f ca="1">tertiair!D20</f>
        <v>11113.579130336017</v>
      </c>
      <c r="F40" s="674">
        <f>tertiair!E20</f>
        <v>199.77737478999939</v>
      </c>
      <c r="G40" s="674">
        <f ca="1">tertiair!F20</f>
        <v>2899.9619737093567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27283.835284571345</v>
      </c>
    </row>
    <row r="41" spans="1:18">
      <c r="A41" s="802" t="s">
        <v>214</v>
      </c>
      <c r="B41" s="809"/>
      <c r="C41" s="674">
        <f ca="1">huishoudens!B12</f>
        <v>10276.532955917344</v>
      </c>
      <c r="D41" s="674">
        <f ca="1">huishoudens!C12</f>
        <v>0</v>
      </c>
      <c r="E41" s="674">
        <f>huishoudens!D12</f>
        <v>29884.853311240426</v>
      </c>
      <c r="F41" s="674">
        <f>huishoudens!E12</f>
        <v>312.45269444551076</v>
      </c>
      <c r="G41" s="674">
        <f>huishoudens!F12</f>
        <v>12544.746691706099</v>
      </c>
      <c r="H41" s="674">
        <f>huishoudens!G12</f>
        <v>0</v>
      </c>
      <c r="I41" s="674">
        <f>huishoudens!H12</f>
        <v>0</v>
      </c>
      <c r="J41" s="674">
        <f>huishoudens!I12</f>
        <v>0</v>
      </c>
      <c r="K41" s="674">
        <f>huishoudens!J12</f>
        <v>374.51859700542667</v>
      </c>
      <c r="L41" s="674">
        <f>huishoudens!K12</f>
        <v>0</v>
      </c>
      <c r="M41" s="674">
        <f>huishoudens!L12</f>
        <v>0</v>
      </c>
      <c r="N41" s="674">
        <f>huishoudens!M12</f>
        <v>0</v>
      </c>
      <c r="O41" s="674">
        <f>huishoudens!N12</f>
        <v>0</v>
      </c>
      <c r="P41" s="674">
        <f>huishoudens!O12</f>
        <v>0</v>
      </c>
      <c r="Q41" s="749">
        <f>huishoudens!P12</f>
        <v>0</v>
      </c>
      <c r="R41" s="830">
        <f t="shared" ca="1" si="4"/>
        <v>53393.104250314806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9890.2422079507687</v>
      </c>
      <c r="D43" s="674">
        <f ca="1">industrie!C22</f>
        <v>0</v>
      </c>
      <c r="E43" s="674">
        <f>industrie!D22</f>
        <v>11225.300234753644</v>
      </c>
      <c r="F43" s="674">
        <f>industrie!E22</f>
        <v>107.45288735428311</v>
      </c>
      <c r="G43" s="674">
        <f>industrie!F22</f>
        <v>3683.6886577388368</v>
      </c>
      <c r="H43" s="674">
        <f>industrie!G22</f>
        <v>0</v>
      </c>
      <c r="I43" s="674">
        <f>industrie!H22</f>
        <v>0</v>
      </c>
      <c r="J43" s="674">
        <f>industrie!I22</f>
        <v>0</v>
      </c>
      <c r="K43" s="674">
        <f>industrie!J22</f>
        <v>78.985881342494054</v>
      </c>
      <c r="L43" s="674">
        <f>industrie!K22</f>
        <v>0</v>
      </c>
      <c r="M43" s="674">
        <f>industrie!L22</f>
        <v>0</v>
      </c>
      <c r="N43" s="674">
        <f>industrie!M22</f>
        <v>0</v>
      </c>
      <c r="O43" s="674">
        <f>industrie!N22</f>
        <v>0</v>
      </c>
      <c r="P43" s="674">
        <f>industrie!O22</f>
        <v>0</v>
      </c>
      <c r="Q43" s="749">
        <f>industrie!P22</f>
        <v>0</v>
      </c>
      <c r="R43" s="829">
        <f t="shared" ca="1" si="4"/>
        <v>24985.669869140027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33237.291969604084</v>
      </c>
      <c r="D46" s="707">
        <f t="shared" ref="D46:Q46" ca="1" si="5">SUM(D39:D45)</f>
        <v>0</v>
      </c>
      <c r="E46" s="707">
        <f t="shared" ca="1" si="5"/>
        <v>52223.732676330088</v>
      </c>
      <c r="F46" s="707">
        <f t="shared" si="5"/>
        <v>619.68295658979332</v>
      </c>
      <c r="G46" s="707">
        <f t="shared" ca="1" si="5"/>
        <v>19128.397323154291</v>
      </c>
      <c r="H46" s="707">
        <f t="shared" si="5"/>
        <v>0</v>
      </c>
      <c r="I46" s="707">
        <f t="shared" si="5"/>
        <v>0</v>
      </c>
      <c r="J46" s="707">
        <f t="shared" si="5"/>
        <v>0</v>
      </c>
      <c r="K46" s="707">
        <f t="shared" si="5"/>
        <v>453.50447834792072</v>
      </c>
      <c r="L46" s="707">
        <f t="shared" si="5"/>
        <v>0</v>
      </c>
      <c r="M46" s="707">
        <f t="shared" ca="1" si="5"/>
        <v>0</v>
      </c>
      <c r="N46" s="707">
        <f t="shared" si="5"/>
        <v>0</v>
      </c>
      <c r="O46" s="707">
        <f t="shared" ca="1" si="5"/>
        <v>0</v>
      </c>
      <c r="P46" s="707">
        <f t="shared" si="5"/>
        <v>0</v>
      </c>
      <c r="Q46" s="707">
        <f t="shared" si="5"/>
        <v>0</v>
      </c>
      <c r="R46" s="707">
        <f ca="1">SUM(R39:R45)</f>
        <v>105662.60940402618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2.4450970258970957</v>
      </c>
      <c r="D49" s="674">
        <f ca="1">transport!C58</f>
        <v>0</v>
      </c>
      <c r="E49" s="674">
        <f>transport!D58</f>
        <v>0</v>
      </c>
      <c r="F49" s="674">
        <f>transport!E58</f>
        <v>0</v>
      </c>
      <c r="G49" s="674">
        <f>transport!F58</f>
        <v>0</v>
      </c>
      <c r="H49" s="674">
        <f>transport!G58</f>
        <v>664.83066935708086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667.27576638297796</v>
      </c>
    </row>
    <row r="50" spans="1:18">
      <c r="A50" s="805" t="s">
        <v>296</v>
      </c>
      <c r="B50" s="815"/>
      <c r="C50" s="973">
        <f ca="1">transport!B18</f>
        <v>0.4384332469851932</v>
      </c>
      <c r="D50" s="973">
        <f>transport!C18</f>
        <v>0</v>
      </c>
      <c r="E50" s="973">
        <f>transport!D18</f>
        <v>1.3463778536731825</v>
      </c>
      <c r="F50" s="973">
        <f>transport!E18</f>
        <v>169.28715575520232</v>
      </c>
      <c r="G50" s="973">
        <f>transport!F18</f>
        <v>0</v>
      </c>
      <c r="H50" s="973">
        <f>transport!G18</f>
        <v>41276.316489267672</v>
      </c>
      <c r="I50" s="973">
        <f>transport!H18</f>
        <v>5594.2587935149922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47041.647249638525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2.8835302728822887</v>
      </c>
      <c r="D52" s="707">
        <f t="shared" ref="D52:Q52" ca="1" si="6">SUM(D48:D51)</f>
        <v>0</v>
      </c>
      <c r="E52" s="707">
        <f t="shared" si="6"/>
        <v>1.3463778536731825</v>
      </c>
      <c r="F52" s="707">
        <f t="shared" si="6"/>
        <v>169.28715575520232</v>
      </c>
      <c r="G52" s="707">
        <f t="shared" si="6"/>
        <v>0</v>
      </c>
      <c r="H52" s="707">
        <f t="shared" si="6"/>
        <v>41941.14715862475</v>
      </c>
      <c r="I52" s="707">
        <f t="shared" si="6"/>
        <v>5594.2587935149922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47708.923016021501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261.07513758891861</v>
      </c>
      <c r="D54" s="973">
        <f ca="1">+landbouw!C12</f>
        <v>0</v>
      </c>
      <c r="E54" s="973">
        <f>+landbouw!D12</f>
        <v>73.143782332696333</v>
      </c>
      <c r="F54" s="973">
        <f>+landbouw!E12</f>
        <v>2.9133597471154888</v>
      </c>
      <c r="G54" s="973">
        <f>+landbouw!F12</f>
        <v>1400.7536775699732</v>
      </c>
      <c r="H54" s="973">
        <f>+landbouw!G12</f>
        <v>0</v>
      </c>
      <c r="I54" s="973">
        <f>+landbouw!H12</f>
        <v>0</v>
      </c>
      <c r="J54" s="973">
        <f>+landbouw!I12</f>
        <v>0</v>
      </c>
      <c r="K54" s="973">
        <f>+landbouw!J12</f>
        <v>38.746096509843291</v>
      </c>
      <c r="L54" s="973">
        <f>+landbouw!K12</f>
        <v>0</v>
      </c>
      <c r="M54" s="973">
        <f>+landbouw!L12</f>
        <v>0</v>
      </c>
      <c r="N54" s="973">
        <f>+landbouw!M12</f>
        <v>0</v>
      </c>
      <c r="O54" s="973">
        <f>+landbouw!N12</f>
        <v>0</v>
      </c>
      <c r="P54" s="973">
        <f>+landbouw!O12</f>
        <v>0</v>
      </c>
      <c r="Q54" s="974">
        <f>+landbouw!P12</f>
        <v>0</v>
      </c>
      <c r="R54" s="706">
        <f ca="1">SUM(C54:Q54)</f>
        <v>1776.6320537485469</v>
      </c>
    </row>
    <row r="55" spans="1:18" ht="15" thickBot="1">
      <c r="A55" s="805" t="s">
        <v>889</v>
      </c>
      <c r="B55" s="815"/>
      <c r="C55" s="973">
        <f ca="1">C25*'EF ele_warmte'!B12</f>
        <v>664.2258882375927</v>
      </c>
      <c r="D55" s="973"/>
      <c r="E55" s="973">
        <f>E25*EF_CO2_aardgas</f>
        <v>1734.0419683965642</v>
      </c>
      <c r="F55" s="973"/>
      <c r="G55" s="973"/>
      <c r="H55" s="973"/>
      <c r="I55" s="973"/>
      <c r="J55" s="973"/>
      <c r="K55" s="973"/>
      <c r="L55" s="973"/>
      <c r="M55" s="973"/>
      <c r="N55" s="973"/>
      <c r="O55" s="973"/>
      <c r="P55" s="973"/>
      <c r="Q55" s="974"/>
      <c r="R55" s="706">
        <f ca="1">SUM(C55:Q55)</f>
        <v>2398.2678566341569</v>
      </c>
    </row>
    <row r="56" spans="1:18" ht="15.75" thickBot="1">
      <c r="A56" s="803" t="s">
        <v>890</v>
      </c>
      <c r="B56" s="816"/>
      <c r="C56" s="707">
        <f ca="1">SUM(C54:C55)</f>
        <v>925.30102582651125</v>
      </c>
      <c r="D56" s="707">
        <f t="shared" ref="D56:Q56" ca="1" si="7">SUM(D54:D55)</f>
        <v>0</v>
      </c>
      <c r="E56" s="707">
        <f t="shared" si="7"/>
        <v>1807.1857507292607</v>
      </c>
      <c r="F56" s="707">
        <f t="shared" si="7"/>
        <v>2.9133597471154888</v>
      </c>
      <c r="G56" s="707">
        <f t="shared" si="7"/>
        <v>1400.7536775699732</v>
      </c>
      <c r="H56" s="707">
        <f t="shared" si="7"/>
        <v>0</v>
      </c>
      <c r="I56" s="707">
        <f t="shared" si="7"/>
        <v>0</v>
      </c>
      <c r="J56" s="707">
        <f t="shared" si="7"/>
        <v>0</v>
      </c>
      <c r="K56" s="707">
        <f t="shared" si="7"/>
        <v>38.746096509843291</v>
      </c>
      <c r="L56" s="707">
        <f t="shared" si="7"/>
        <v>0</v>
      </c>
      <c r="M56" s="707">
        <f t="shared" si="7"/>
        <v>0</v>
      </c>
      <c r="N56" s="707">
        <f t="shared" si="7"/>
        <v>0</v>
      </c>
      <c r="O56" s="707">
        <f t="shared" si="7"/>
        <v>0</v>
      </c>
      <c r="P56" s="707">
        <f t="shared" si="7"/>
        <v>0</v>
      </c>
      <c r="Q56" s="708">
        <f t="shared" si="7"/>
        <v>0</v>
      </c>
      <c r="R56" s="709">
        <f ca="1">SUM(R54:R55)</f>
        <v>4174.8999103827036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34165.476525703481</v>
      </c>
      <c r="D61" s="715">
        <f t="shared" ref="D61:Q61" ca="1" si="8">D46+D52+D56</f>
        <v>0</v>
      </c>
      <c r="E61" s="715">
        <f t="shared" ca="1" si="8"/>
        <v>54032.264804913022</v>
      </c>
      <c r="F61" s="715">
        <f t="shared" si="8"/>
        <v>791.88347209211111</v>
      </c>
      <c r="G61" s="715">
        <f t="shared" ca="1" si="8"/>
        <v>20529.151000724265</v>
      </c>
      <c r="H61" s="715">
        <f t="shared" si="8"/>
        <v>41941.14715862475</v>
      </c>
      <c r="I61" s="715">
        <f t="shared" si="8"/>
        <v>5594.2587935149922</v>
      </c>
      <c r="J61" s="715">
        <f t="shared" si="8"/>
        <v>0</v>
      </c>
      <c r="K61" s="715">
        <f t="shared" si="8"/>
        <v>492.25057485776404</v>
      </c>
      <c r="L61" s="715">
        <f t="shared" si="8"/>
        <v>0</v>
      </c>
      <c r="M61" s="715">
        <f t="shared" ca="1" si="8"/>
        <v>0</v>
      </c>
      <c r="N61" s="715">
        <f t="shared" si="8"/>
        <v>0</v>
      </c>
      <c r="O61" s="715">
        <f t="shared" ca="1" si="8"/>
        <v>0</v>
      </c>
      <c r="P61" s="715">
        <f t="shared" si="8"/>
        <v>0</v>
      </c>
      <c r="Q61" s="715">
        <f t="shared" si="8"/>
        <v>0</v>
      </c>
      <c r="R61" s="715">
        <f ca="1">R46+R52+R56</f>
        <v>157546.43233043037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0.21302759730517906</v>
      </c>
      <c r="D63" s="759">
        <f t="shared" ca="1" si="9"/>
        <v>0</v>
      </c>
      <c r="E63" s="975">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5785.6021649361774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5785.6021649361774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48240.383339607346</v>
      </c>
      <c r="C4" s="447">
        <f>huishoudens!C8</f>
        <v>0</v>
      </c>
      <c r="D4" s="447">
        <f>huishoudens!D8</f>
        <v>147944.81837247734</v>
      </c>
      <c r="E4" s="447">
        <f>huishoudens!E8</f>
        <v>1376.4435878656861</v>
      </c>
      <c r="F4" s="447">
        <f>huishoudens!F8</f>
        <v>46984.070006389884</v>
      </c>
      <c r="G4" s="447">
        <f>huishoudens!G8</f>
        <v>0</v>
      </c>
      <c r="H4" s="447">
        <f>huishoudens!H8</f>
        <v>0</v>
      </c>
      <c r="I4" s="447">
        <f>huishoudens!I8</f>
        <v>0</v>
      </c>
      <c r="J4" s="447">
        <f>huishoudens!J8</f>
        <v>1057.9621384334087</v>
      </c>
      <c r="K4" s="447">
        <f>huishoudens!K8</f>
        <v>0</v>
      </c>
      <c r="L4" s="447">
        <f>huishoudens!L8</f>
        <v>0</v>
      </c>
      <c r="M4" s="447">
        <f>huishoudens!M8</f>
        <v>0</v>
      </c>
      <c r="N4" s="447">
        <f>huishoudens!N8</f>
        <v>15726.510927594773</v>
      </c>
      <c r="O4" s="447">
        <f>huishoudens!O8</f>
        <v>98.490000000000009</v>
      </c>
      <c r="P4" s="448">
        <f>huishoudens!P8</f>
        <v>209.73333333333335</v>
      </c>
      <c r="Q4" s="449">
        <f>SUM(B4:P4)</f>
        <v>261638.41170570176</v>
      </c>
    </row>
    <row r="5" spans="1:17">
      <c r="A5" s="446" t="s">
        <v>149</v>
      </c>
      <c r="B5" s="447">
        <f ca="1">tertiair!B16</f>
        <v>58867.612089467038</v>
      </c>
      <c r="C5" s="447">
        <f ca="1">tertiair!C16</f>
        <v>0</v>
      </c>
      <c r="D5" s="447">
        <f ca="1">tertiair!D16</f>
        <v>55017.718467009981</v>
      </c>
      <c r="E5" s="447">
        <f>tertiair!E16</f>
        <v>880.07654092510734</v>
      </c>
      <c r="F5" s="447">
        <f ca="1">tertiair!F16</f>
        <v>10861.280800409575</v>
      </c>
      <c r="G5" s="447">
        <f>tertiair!G16</f>
        <v>0</v>
      </c>
      <c r="H5" s="447">
        <f>tertiair!H16</f>
        <v>0</v>
      </c>
      <c r="I5" s="447">
        <f>tertiair!I16</f>
        <v>0</v>
      </c>
      <c r="J5" s="447">
        <f>tertiair!J16</f>
        <v>0</v>
      </c>
      <c r="K5" s="447">
        <f>tertiair!K16</f>
        <v>0</v>
      </c>
      <c r="L5" s="447">
        <f ca="1">tertiair!L16</f>
        <v>0</v>
      </c>
      <c r="M5" s="447">
        <f>tertiair!M16</f>
        <v>0</v>
      </c>
      <c r="N5" s="447">
        <f ca="1">tertiair!N16</f>
        <v>1382.4975389964302</v>
      </c>
      <c r="O5" s="447">
        <f>tertiair!O16</f>
        <v>3.1266666666666669</v>
      </c>
      <c r="P5" s="448">
        <f>tertiair!P16</f>
        <v>38.133333333333333</v>
      </c>
      <c r="Q5" s="446">
        <f t="shared" ref="Q5:Q14" ca="1" si="0">SUM(B5:P5)</f>
        <v>127050.44543680811</v>
      </c>
    </row>
    <row r="6" spans="1:17">
      <c r="A6" s="446" t="s">
        <v>187</v>
      </c>
      <c r="B6" s="447">
        <f>'openbare verlichting'!B8</f>
        <v>2488.3670000000002</v>
      </c>
      <c r="C6" s="447"/>
      <c r="D6" s="447"/>
      <c r="E6" s="447"/>
      <c r="F6" s="447"/>
      <c r="G6" s="447"/>
      <c r="H6" s="447"/>
      <c r="I6" s="447"/>
      <c r="J6" s="447"/>
      <c r="K6" s="447"/>
      <c r="L6" s="447"/>
      <c r="M6" s="447"/>
      <c r="N6" s="447"/>
      <c r="O6" s="447"/>
      <c r="P6" s="448"/>
      <c r="Q6" s="446">
        <f t="shared" si="0"/>
        <v>2488.3670000000002</v>
      </c>
    </row>
    <row r="7" spans="1:17">
      <c r="A7" s="446" t="s">
        <v>105</v>
      </c>
      <c r="B7" s="447">
        <f>landbouw!B8</f>
        <v>1225.5460836602667</v>
      </c>
      <c r="C7" s="447">
        <f>landbouw!C8</f>
        <v>0</v>
      </c>
      <c r="D7" s="447">
        <f>landbouw!D8</f>
        <v>362.09793234008083</v>
      </c>
      <c r="E7" s="447">
        <f>landbouw!E8</f>
        <v>12.834183907997748</v>
      </c>
      <c r="F7" s="447">
        <f>landbouw!F8</f>
        <v>5246.2684553182517</v>
      </c>
      <c r="G7" s="447">
        <f>landbouw!G8</f>
        <v>0</v>
      </c>
      <c r="H7" s="447">
        <f>landbouw!H8</f>
        <v>0</v>
      </c>
      <c r="I7" s="447">
        <f>landbouw!I8</f>
        <v>0</v>
      </c>
      <c r="J7" s="447">
        <f>landbouw!J8</f>
        <v>109.45225002780592</v>
      </c>
      <c r="K7" s="447">
        <f>landbouw!K8</f>
        <v>0</v>
      </c>
      <c r="L7" s="447">
        <f>landbouw!L8</f>
        <v>0</v>
      </c>
      <c r="M7" s="447">
        <f>landbouw!M8</f>
        <v>0</v>
      </c>
      <c r="N7" s="447">
        <f>landbouw!N8</f>
        <v>0</v>
      </c>
      <c r="O7" s="447">
        <f>landbouw!O8</f>
        <v>0</v>
      </c>
      <c r="P7" s="448">
        <f>landbouw!P8</f>
        <v>0</v>
      </c>
      <c r="Q7" s="446">
        <f t="shared" si="0"/>
        <v>6956.1989052544031</v>
      </c>
    </row>
    <row r="8" spans="1:17">
      <c r="A8" s="446" t="s">
        <v>637</v>
      </c>
      <c r="B8" s="447">
        <f>industrie!B18</f>
        <v>46427.046697532831</v>
      </c>
      <c r="C8" s="447">
        <f>industrie!C18</f>
        <v>0</v>
      </c>
      <c r="D8" s="447">
        <f>industrie!D18</f>
        <v>55570.793241354666</v>
      </c>
      <c r="E8" s="447">
        <f>industrie!E18</f>
        <v>473.36073724353793</v>
      </c>
      <c r="F8" s="447">
        <f>industrie!F18</f>
        <v>13796.586733104257</v>
      </c>
      <c r="G8" s="447">
        <f>industrie!G18</f>
        <v>0</v>
      </c>
      <c r="H8" s="447">
        <f>industrie!H18</f>
        <v>0</v>
      </c>
      <c r="I8" s="447">
        <f>industrie!I18</f>
        <v>0</v>
      </c>
      <c r="J8" s="447">
        <f>industrie!J18</f>
        <v>223.123958594616</v>
      </c>
      <c r="K8" s="447">
        <f>industrie!K18</f>
        <v>0</v>
      </c>
      <c r="L8" s="447">
        <f>industrie!L18</f>
        <v>0</v>
      </c>
      <c r="M8" s="447">
        <f>industrie!M18</f>
        <v>0</v>
      </c>
      <c r="N8" s="447">
        <f>industrie!N18</f>
        <v>1285.5873554301329</v>
      </c>
      <c r="O8" s="447">
        <f>industrie!O18</f>
        <v>0</v>
      </c>
      <c r="P8" s="448">
        <f>industrie!P18</f>
        <v>0</v>
      </c>
      <c r="Q8" s="446">
        <f t="shared" si="0"/>
        <v>117776.49872326004</v>
      </c>
    </row>
    <row r="9" spans="1:17" s="452" customFormat="1">
      <c r="A9" s="450" t="s">
        <v>556</v>
      </c>
      <c r="B9" s="451">
        <f>transport!B14</f>
        <v>2.0581053935331322</v>
      </c>
      <c r="C9" s="451">
        <f>transport!C14</f>
        <v>0</v>
      </c>
      <c r="D9" s="451">
        <f>transport!D14</f>
        <v>6.6652368993721902</v>
      </c>
      <c r="E9" s="451">
        <f>transport!E14</f>
        <v>745.75839539736705</v>
      </c>
      <c r="F9" s="451">
        <f>transport!F14</f>
        <v>0</v>
      </c>
      <c r="G9" s="451">
        <f>transport!G14</f>
        <v>154592.94565268789</v>
      </c>
      <c r="H9" s="451">
        <f>transport!H14</f>
        <v>22466.902785200771</v>
      </c>
      <c r="I9" s="451">
        <f>transport!I14</f>
        <v>0</v>
      </c>
      <c r="J9" s="451">
        <f>transport!J14</f>
        <v>0</v>
      </c>
      <c r="K9" s="451">
        <f>transport!K14</f>
        <v>0</v>
      </c>
      <c r="L9" s="451">
        <f>transport!L14</f>
        <v>0</v>
      </c>
      <c r="M9" s="451">
        <f>transport!M14</f>
        <v>7693.7772923667035</v>
      </c>
      <c r="N9" s="451">
        <f>transport!N14</f>
        <v>0</v>
      </c>
      <c r="O9" s="451">
        <f>transport!O14</f>
        <v>0</v>
      </c>
      <c r="P9" s="451">
        <f>transport!P14</f>
        <v>0</v>
      </c>
      <c r="Q9" s="450">
        <f>SUM(B9:P9)</f>
        <v>185508.10746794564</v>
      </c>
    </row>
    <row r="10" spans="1:17">
      <c r="A10" s="446" t="s">
        <v>546</v>
      </c>
      <c r="B10" s="447">
        <f>transport!B54</f>
        <v>11.477841635674547</v>
      </c>
      <c r="C10" s="447">
        <f>transport!C54</f>
        <v>0</v>
      </c>
      <c r="D10" s="447">
        <f>transport!D54</f>
        <v>0</v>
      </c>
      <c r="E10" s="447">
        <f>transport!E54</f>
        <v>0</v>
      </c>
      <c r="F10" s="447">
        <f>transport!F54</f>
        <v>0</v>
      </c>
      <c r="G10" s="447">
        <f>transport!G54</f>
        <v>2490.002506955359</v>
      </c>
      <c r="H10" s="447">
        <f>transport!H54</f>
        <v>0</v>
      </c>
      <c r="I10" s="447">
        <f>transport!I54</f>
        <v>0</v>
      </c>
      <c r="J10" s="447">
        <f>transport!J54</f>
        <v>0</v>
      </c>
      <c r="K10" s="447">
        <f>transport!K54</f>
        <v>0</v>
      </c>
      <c r="L10" s="447">
        <f>transport!L54</f>
        <v>0</v>
      </c>
      <c r="M10" s="447">
        <f>transport!M54</f>
        <v>106.61234262811956</v>
      </c>
      <c r="N10" s="447">
        <f>transport!N54</f>
        <v>0</v>
      </c>
      <c r="O10" s="447">
        <f>transport!O54</f>
        <v>0</v>
      </c>
      <c r="P10" s="448">
        <f>transport!P54</f>
        <v>0</v>
      </c>
      <c r="Q10" s="446">
        <f t="shared" si="0"/>
        <v>2608.092691219153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3118.0274135375798</v>
      </c>
      <c r="C14" s="454"/>
      <c r="D14" s="454">
        <f>'SEAP template'!E25</f>
        <v>8584.3661801810103</v>
      </c>
      <c r="E14" s="454"/>
      <c r="F14" s="454"/>
      <c r="G14" s="454"/>
      <c r="H14" s="454"/>
      <c r="I14" s="454"/>
      <c r="J14" s="454"/>
      <c r="K14" s="454"/>
      <c r="L14" s="454"/>
      <c r="M14" s="454"/>
      <c r="N14" s="454"/>
      <c r="O14" s="454"/>
      <c r="P14" s="455"/>
      <c r="Q14" s="446">
        <f t="shared" si="0"/>
        <v>11702.393593718591</v>
      </c>
    </row>
    <row r="15" spans="1:17" s="459" customFormat="1">
      <c r="A15" s="456" t="s">
        <v>550</v>
      </c>
      <c r="B15" s="457">
        <f ca="1">SUM(B4:B14)</f>
        <v>160380.51857083431</v>
      </c>
      <c r="C15" s="457">
        <f t="shared" ref="C15:Q15" ca="1" si="1">SUM(C4:C14)</f>
        <v>0</v>
      </c>
      <c r="D15" s="457">
        <f t="shared" ca="1" si="1"/>
        <v>267486.45943026245</v>
      </c>
      <c r="E15" s="457">
        <f t="shared" si="1"/>
        <v>3488.4734453396964</v>
      </c>
      <c r="F15" s="457">
        <f t="shared" ca="1" si="1"/>
        <v>76888.205995221957</v>
      </c>
      <c r="G15" s="457">
        <f t="shared" si="1"/>
        <v>157082.94815964325</v>
      </c>
      <c r="H15" s="457">
        <f t="shared" si="1"/>
        <v>22466.902785200771</v>
      </c>
      <c r="I15" s="457">
        <f t="shared" si="1"/>
        <v>0</v>
      </c>
      <c r="J15" s="457">
        <f t="shared" si="1"/>
        <v>1390.5383470558304</v>
      </c>
      <c r="K15" s="457">
        <f t="shared" si="1"/>
        <v>0</v>
      </c>
      <c r="L15" s="457">
        <f t="shared" ca="1" si="1"/>
        <v>0</v>
      </c>
      <c r="M15" s="457">
        <f t="shared" si="1"/>
        <v>7800.3896349948227</v>
      </c>
      <c r="N15" s="457">
        <f t="shared" ca="1" si="1"/>
        <v>18394.595822021336</v>
      </c>
      <c r="O15" s="457">
        <f t="shared" si="1"/>
        <v>101.61666666666667</v>
      </c>
      <c r="P15" s="457">
        <f t="shared" si="1"/>
        <v>247.86666666666667</v>
      </c>
      <c r="Q15" s="457">
        <f t="shared" ca="1" si="1"/>
        <v>715728.51552390784</v>
      </c>
    </row>
    <row r="17" spans="1:17">
      <c r="A17" s="460" t="s">
        <v>551</v>
      </c>
      <c r="B17" s="764">
        <f ca="1">huishoudens!B10</f>
        <v>0.21302759730517909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10276.532955917344</v>
      </c>
      <c r="C22" s="447">
        <f t="shared" ref="C22:C32" ca="1" si="3">C4*$C$17</f>
        <v>0</v>
      </c>
      <c r="D22" s="447">
        <f t="shared" ref="D22:D32" si="4">D4*$D$17</f>
        <v>29884.853311240426</v>
      </c>
      <c r="E22" s="447">
        <f t="shared" ref="E22:E32" si="5">E4*$E$17</f>
        <v>312.45269444551076</v>
      </c>
      <c r="F22" s="447">
        <f t="shared" ref="F22:F32" si="6">F4*$F$17</f>
        <v>12544.746691706099</v>
      </c>
      <c r="G22" s="447">
        <f t="shared" ref="G22:G32" si="7">G4*$G$17</f>
        <v>0</v>
      </c>
      <c r="H22" s="447">
        <f t="shared" ref="H22:H32" si="8">H4*$H$17</f>
        <v>0</v>
      </c>
      <c r="I22" s="447">
        <f t="shared" ref="I22:I32" si="9">I4*$I$17</f>
        <v>0</v>
      </c>
      <c r="J22" s="447">
        <f t="shared" ref="J22:J32" si="10">J4*$J$17</f>
        <v>374.51859700542667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53393.104250314806</v>
      </c>
    </row>
    <row r="23" spans="1:17">
      <c r="A23" s="446" t="s">
        <v>149</v>
      </c>
      <c r="B23" s="447">
        <f t="shared" ca="1" si="2"/>
        <v>12540.425962512476</v>
      </c>
      <c r="C23" s="447">
        <f t="shared" ca="1" si="3"/>
        <v>0</v>
      </c>
      <c r="D23" s="447">
        <f t="shared" ca="1" si="4"/>
        <v>11113.579130336017</v>
      </c>
      <c r="E23" s="447">
        <f t="shared" si="5"/>
        <v>199.77737478999939</v>
      </c>
      <c r="F23" s="447">
        <f t="shared" ca="1" si="6"/>
        <v>2899.9619737093567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26753.744441347848</v>
      </c>
    </row>
    <row r="24" spans="1:17">
      <c r="A24" s="446" t="s">
        <v>187</v>
      </c>
      <c r="B24" s="447">
        <f t="shared" ca="1" si="2"/>
        <v>530.09084322349656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530.09084322349656</v>
      </c>
    </row>
    <row r="25" spans="1:17">
      <c r="A25" s="446" t="s">
        <v>105</v>
      </c>
      <c r="B25" s="447">
        <f t="shared" ca="1" si="2"/>
        <v>261.07513758891861</v>
      </c>
      <c r="C25" s="447">
        <f t="shared" ca="1" si="3"/>
        <v>0</v>
      </c>
      <c r="D25" s="447">
        <f t="shared" si="4"/>
        <v>73.143782332696333</v>
      </c>
      <c r="E25" s="447">
        <f t="shared" si="5"/>
        <v>2.9133597471154888</v>
      </c>
      <c r="F25" s="447">
        <f t="shared" si="6"/>
        <v>1400.7536775699732</v>
      </c>
      <c r="G25" s="447">
        <f t="shared" si="7"/>
        <v>0</v>
      </c>
      <c r="H25" s="447">
        <f t="shared" si="8"/>
        <v>0</v>
      </c>
      <c r="I25" s="447">
        <f t="shared" si="9"/>
        <v>0</v>
      </c>
      <c r="J25" s="447">
        <f t="shared" si="10"/>
        <v>38.746096509843291</v>
      </c>
      <c r="K25" s="447">
        <f t="shared" si="11"/>
        <v>0</v>
      </c>
      <c r="L25" s="447">
        <f t="shared" si="12"/>
        <v>0</v>
      </c>
      <c r="M25" s="447">
        <f t="shared" si="13"/>
        <v>0</v>
      </c>
      <c r="N25" s="447">
        <f t="shared" si="14"/>
        <v>0</v>
      </c>
      <c r="O25" s="447">
        <f t="shared" si="15"/>
        <v>0</v>
      </c>
      <c r="P25" s="448">
        <f t="shared" si="16"/>
        <v>0</v>
      </c>
      <c r="Q25" s="446">
        <f t="shared" ca="1" si="17"/>
        <v>1776.6320537485469</v>
      </c>
    </row>
    <row r="26" spans="1:17">
      <c r="A26" s="446" t="s">
        <v>637</v>
      </c>
      <c r="B26" s="447">
        <f t="shared" ca="1" si="2"/>
        <v>9890.2422079507687</v>
      </c>
      <c r="C26" s="447">
        <f t="shared" ca="1" si="3"/>
        <v>0</v>
      </c>
      <c r="D26" s="447">
        <f t="shared" si="4"/>
        <v>11225.300234753644</v>
      </c>
      <c r="E26" s="447">
        <f t="shared" si="5"/>
        <v>107.45288735428311</v>
      </c>
      <c r="F26" s="447">
        <f t="shared" si="6"/>
        <v>3683.6886577388368</v>
      </c>
      <c r="G26" s="447">
        <f t="shared" si="7"/>
        <v>0</v>
      </c>
      <c r="H26" s="447">
        <f t="shared" si="8"/>
        <v>0</v>
      </c>
      <c r="I26" s="447">
        <f t="shared" si="9"/>
        <v>0</v>
      </c>
      <c r="J26" s="447">
        <f t="shared" si="10"/>
        <v>78.985881342494054</v>
      </c>
      <c r="K26" s="447">
        <f t="shared" si="11"/>
        <v>0</v>
      </c>
      <c r="L26" s="447">
        <f t="shared" si="12"/>
        <v>0</v>
      </c>
      <c r="M26" s="447">
        <f t="shared" si="13"/>
        <v>0</v>
      </c>
      <c r="N26" s="447">
        <f t="shared" si="14"/>
        <v>0</v>
      </c>
      <c r="O26" s="447">
        <f t="shared" si="15"/>
        <v>0</v>
      </c>
      <c r="P26" s="448">
        <f t="shared" si="16"/>
        <v>0</v>
      </c>
      <c r="Q26" s="446">
        <f t="shared" ca="1" si="17"/>
        <v>24985.669869140027</v>
      </c>
    </row>
    <row r="27" spans="1:17" s="452" customFormat="1">
      <c r="A27" s="450" t="s">
        <v>556</v>
      </c>
      <c r="B27" s="758">
        <f t="shared" ca="1" si="2"/>
        <v>0.4384332469851932</v>
      </c>
      <c r="C27" s="451">
        <f t="shared" ca="1" si="3"/>
        <v>0</v>
      </c>
      <c r="D27" s="451">
        <f t="shared" si="4"/>
        <v>1.3463778536731825</v>
      </c>
      <c r="E27" s="451">
        <f t="shared" si="5"/>
        <v>169.28715575520232</v>
      </c>
      <c r="F27" s="451">
        <f t="shared" si="6"/>
        <v>0</v>
      </c>
      <c r="G27" s="451">
        <f t="shared" si="7"/>
        <v>41276.316489267672</v>
      </c>
      <c r="H27" s="451">
        <f t="shared" si="8"/>
        <v>5594.2587935149922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47041.647249638525</v>
      </c>
    </row>
    <row r="28" spans="1:17">
      <c r="A28" s="446" t="s">
        <v>546</v>
      </c>
      <c r="B28" s="447">
        <f t="shared" ca="1" si="2"/>
        <v>2.4450970258970957</v>
      </c>
      <c r="C28" s="447">
        <f t="shared" ca="1" si="3"/>
        <v>0</v>
      </c>
      <c r="D28" s="447">
        <f t="shared" si="4"/>
        <v>0</v>
      </c>
      <c r="E28" s="447">
        <f t="shared" si="5"/>
        <v>0</v>
      </c>
      <c r="F28" s="447">
        <f t="shared" si="6"/>
        <v>0</v>
      </c>
      <c r="G28" s="447">
        <f t="shared" si="7"/>
        <v>664.83066935708086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667.27576638297796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664.2258882375927</v>
      </c>
      <c r="C32" s="447">
        <f t="shared" ca="1" si="3"/>
        <v>0</v>
      </c>
      <c r="D32" s="447">
        <f t="shared" si="4"/>
        <v>1734.0419683965642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2398.2678566341569</v>
      </c>
    </row>
    <row r="33" spans="1:17" s="459" customFormat="1">
      <c r="A33" s="456" t="s">
        <v>550</v>
      </c>
      <c r="B33" s="457">
        <f ca="1">SUM(B22:B32)</f>
        <v>34165.476525703481</v>
      </c>
      <c r="C33" s="457">
        <f t="shared" ref="C33:Q33" ca="1" si="19">SUM(C22:C32)</f>
        <v>0</v>
      </c>
      <c r="D33" s="457">
        <f t="shared" ca="1" si="19"/>
        <v>54032.264804913029</v>
      </c>
      <c r="E33" s="457">
        <f t="shared" si="19"/>
        <v>791.88347209211111</v>
      </c>
      <c r="F33" s="457">
        <f t="shared" ca="1" si="19"/>
        <v>20529.151000724265</v>
      </c>
      <c r="G33" s="457">
        <f t="shared" si="19"/>
        <v>41941.14715862475</v>
      </c>
      <c r="H33" s="457">
        <f t="shared" si="19"/>
        <v>5594.2587935149922</v>
      </c>
      <c r="I33" s="457">
        <f t="shared" si="19"/>
        <v>0</v>
      </c>
      <c r="J33" s="457">
        <f t="shared" si="19"/>
        <v>492.25057485776404</v>
      </c>
      <c r="K33" s="457">
        <f t="shared" si="19"/>
        <v>0</v>
      </c>
      <c r="L33" s="457">
        <f t="shared" ca="1" si="19"/>
        <v>0</v>
      </c>
      <c r="M33" s="457">
        <f t="shared" si="19"/>
        <v>0</v>
      </c>
      <c r="N33" s="457">
        <f t="shared" ca="1" si="19"/>
        <v>0</v>
      </c>
      <c r="O33" s="457">
        <f t="shared" si="19"/>
        <v>0</v>
      </c>
      <c r="P33" s="457">
        <f t="shared" si="19"/>
        <v>0</v>
      </c>
      <c r="Q33" s="457">
        <f t="shared" ca="1" si="19"/>
        <v>157546.4323304304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5785.6021649361774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5785.6021649361774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0.21302759730517909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0.21302759730517909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0.21302759730517909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0.21302759730517909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13895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1479</v>
      </c>
      <c r="C14" s="326"/>
      <c r="D14" s="326"/>
      <c r="E14" s="326"/>
      <c r="F14" s="326"/>
    </row>
    <row r="15" spans="1:6">
      <c r="A15" s="1280" t="s">
        <v>177</v>
      </c>
      <c r="B15" s="1281">
        <v>25</v>
      </c>
      <c r="C15" s="326"/>
      <c r="D15" s="326"/>
      <c r="E15" s="326"/>
      <c r="F15" s="326"/>
    </row>
    <row r="16" spans="1:6">
      <c r="A16" s="1280" t="s">
        <v>6</v>
      </c>
      <c r="B16" s="1281">
        <v>462</v>
      </c>
      <c r="C16" s="326"/>
      <c r="D16" s="326"/>
      <c r="E16" s="326"/>
      <c r="F16" s="326"/>
    </row>
    <row r="17" spans="1:6">
      <c r="A17" s="1280" t="s">
        <v>7</v>
      </c>
      <c r="B17" s="1281">
        <v>344</v>
      </c>
      <c r="C17" s="326"/>
      <c r="D17" s="326"/>
      <c r="E17" s="326"/>
      <c r="F17" s="326"/>
    </row>
    <row r="18" spans="1:6">
      <c r="A18" s="1280" t="s">
        <v>8</v>
      </c>
      <c r="B18" s="1281">
        <v>427</v>
      </c>
      <c r="C18" s="326"/>
      <c r="D18" s="326"/>
      <c r="E18" s="326"/>
      <c r="F18" s="326"/>
    </row>
    <row r="19" spans="1:6">
      <c r="A19" s="1280" t="s">
        <v>9</v>
      </c>
      <c r="B19" s="1281">
        <v>408</v>
      </c>
      <c r="C19" s="326"/>
      <c r="D19" s="326"/>
      <c r="E19" s="326"/>
      <c r="F19" s="326"/>
    </row>
    <row r="20" spans="1:6">
      <c r="A20" s="1280" t="s">
        <v>10</v>
      </c>
      <c r="B20" s="1281">
        <v>424</v>
      </c>
      <c r="C20" s="326"/>
      <c r="D20" s="326"/>
      <c r="E20" s="326"/>
      <c r="F20" s="326"/>
    </row>
    <row r="21" spans="1:6">
      <c r="A21" s="1280" t="s">
        <v>11</v>
      </c>
      <c r="B21" s="1281">
        <v>2938</v>
      </c>
      <c r="C21" s="326"/>
      <c r="D21" s="326"/>
      <c r="E21" s="326"/>
      <c r="F21" s="326"/>
    </row>
    <row r="22" spans="1:6">
      <c r="A22" s="1280" t="s">
        <v>12</v>
      </c>
      <c r="B22" s="1281">
        <v>7550</v>
      </c>
      <c r="C22" s="326"/>
      <c r="D22" s="326"/>
      <c r="E22" s="326"/>
      <c r="F22" s="326"/>
    </row>
    <row r="23" spans="1:6">
      <c r="A23" s="1280" t="s">
        <v>13</v>
      </c>
      <c r="B23" s="1281">
        <v>133</v>
      </c>
      <c r="C23" s="326"/>
      <c r="D23" s="326"/>
      <c r="E23" s="326"/>
      <c r="F23" s="326"/>
    </row>
    <row r="24" spans="1:6">
      <c r="A24" s="1280" t="s">
        <v>14</v>
      </c>
      <c r="B24" s="1281">
        <v>10</v>
      </c>
      <c r="C24" s="326"/>
      <c r="D24" s="326"/>
      <c r="E24" s="326"/>
      <c r="F24" s="326"/>
    </row>
    <row r="25" spans="1:6">
      <c r="A25" s="1280" t="s">
        <v>15</v>
      </c>
      <c r="B25" s="1281">
        <v>977</v>
      </c>
      <c r="C25" s="326"/>
      <c r="D25" s="326"/>
      <c r="E25" s="326"/>
      <c r="F25" s="326"/>
    </row>
    <row r="26" spans="1:6">
      <c r="A26" s="1280" t="s">
        <v>16</v>
      </c>
      <c r="B26" s="1281">
        <v>248</v>
      </c>
      <c r="C26" s="326"/>
      <c r="D26" s="326"/>
      <c r="E26" s="326"/>
      <c r="F26" s="326"/>
    </row>
    <row r="27" spans="1:6">
      <c r="A27" s="1280" t="s">
        <v>17</v>
      </c>
      <c r="B27" s="1281">
        <v>0</v>
      </c>
      <c r="C27" s="326"/>
      <c r="D27" s="326"/>
      <c r="E27" s="326"/>
      <c r="F27" s="326"/>
    </row>
    <row r="28" spans="1:6">
      <c r="A28" s="1280" t="s">
        <v>18</v>
      </c>
      <c r="B28" s="1282">
        <v>62944</v>
      </c>
      <c r="C28" s="326"/>
      <c r="D28" s="326"/>
      <c r="E28" s="326"/>
      <c r="F28" s="326"/>
    </row>
    <row r="29" spans="1:6">
      <c r="A29" s="1280" t="s">
        <v>972</v>
      </c>
      <c r="B29" s="1282">
        <v>107</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20429.309718625402</v>
      </c>
      <c r="E38" s="1281">
        <v>4</v>
      </c>
      <c r="F38" s="1281">
        <v>24955.318160824299</v>
      </c>
    </row>
    <row r="39" spans="1:6">
      <c r="A39" s="1280" t="s">
        <v>29</v>
      </c>
      <c r="B39" s="1280" t="s">
        <v>30</v>
      </c>
      <c r="C39" s="1281">
        <v>11613</v>
      </c>
      <c r="D39" s="1281">
        <v>164018645.645762</v>
      </c>
      <c r="E39" s="1281">
        <v>13613</v>
      </c>
      <c r="F39" s="1281">
        <v>46212062.809806697</v>
      </c>
    </row>
    <row r="40" spans="1:6">
      <c r="A40" s="1280" t="s">
        <v>29</v>
      </c>
      <c r="B40" s="1280" t="s">
        <v>28</v>
      </c>
      <c r="C40" s="1281">
        <v>0</v>
      </c>
      <c r="D40" s="1281">
        <v>0</v>
      </c>
      <c r="E40" s="1281">
        <v>0</v>
      </c>
      <c r="F40" s="1281">
        <v>0</v>
      </c>
    </row>
    <row r="41" spans="1:6">
      <c r="A41" s="1280" t="s">
        <v>31</v>
      </c>
      <c r="B41" s="1280" t="s">
        <v>32</v>
      </c>
      <c r="C41" s="1281">
        <v>113</v>
      </c>
      <c r="D41" s="1281">
        <v>2565517.9021673198</v>
      </c>
      <c r="E41" s="1281">
        <v>240</v>
      </c>
      <c r="F41" s="1281">
        <v>9188018.37333427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6</v>
      </c>
      <c r="D44" s="1281">
        <v>112575.239898042</v>
      </c>
      <c r="E44" s="1281">
        <v>25</v>
      </c>
      <c r="F44" s="1281">
        <v>647667.29763937404</v>
      </c>
    </row>
    <row r="45" spans="1:6">
      <c r="A45" s="1280" t="s">
        <v>31</v>
      </c>
      <c r="B45" s="1280" t="s">
        <v>36</v>
      </c>
      <c r="C45" s="1281">
        <v>3</v>
      </c>
      <c r="D45" s="1281">
        <v>78170.194050811202</v>
      </c>
      <c r="E45" s="1281">
        <v>5</v>
      </c>
      <c r="F45" s="1281">
        <v>51641.947658785699</v>
      </c>
    </row>
    <row r="46" spans="1:6">
      <c r="A46" s="1280" t="s">
        <v>31</v>
      </c>
      <c r="B46" s="1280" t="s">
        <v>37</v>
      </c>
      <c r="C46" s="1281">
        <v>0</v>
      </c>
      <c r="D46" s="1281">
        <v>0</v>
      </c>
      <c r="E46" s="1281">
        <v>0</v>
      </c>
      <c r="F46" s="1281">
        <v>0</v>
      </c>
    </row>
    <row r="47" spans="1:6">
      <c r="A47" s="1280" t="s">
        <v>31</v>
      </c>
      <c r="B47" s="1280" t="s">
        <v>38</v>
      </c>
      <c r="C47" s="1281">
        <v>7</v>
      </c>
      <c r="D47" s="1281">
        <v>150818.83764217899</v>
      </c>
      <c r="E47" s="1281">
        <v>10</v>
      </c>
      <c r="F47" s="1281">
        <v>92780.356096151401</v>
      </c>
    </row>
    <row r="48" spans="1:6">
      <c r="A48" s="1280" t="s">
        <v>31</v>
      </c>
      <c r="B48" s="1280" t="s">
        <v>28</v>
      </c>
      <c r="C48" s="1281">
        <v>50</v>
      </c>
      <c r="D48" s="1281">
        <v>55360984.997389697</v>
      </c>
      <c r="E48" s="1281">
        <v>69</v>
      </c>
      <c r="F48" s="1281">
        <v>26877350.2775467</v>
      </c>
    </row>
    <row r="49" spans="1:6">
      <c r="A49" s="1280" t="s">
        <v>31</v>
      </c>
      <c r="B49" s="1280" t="s">
        <v>39</v>
      </c>
      <c r="C49" s="1281">
        <v>4</v>
      </c>
      <c r="D49" s="1281">
        <v>730793.56012193696</v>
      </c>
      <c r="E49" s="1281">
        <v>20</v>
      </c>
      <c r="F49" s="1281">
        <v>2852715.8079433301</v>
      </c>
    </row>
    <row r="50" spans="1:6">
      <c r="A50" s="1280" t="s">
        <v>31</v>
      </c>
      <c r="B50" s="1280" t="s">
        <v>40</v>
      </c>
      <c r="C50" s="1281">
        <v>39</v>
      </c>
      <c r="D50" s="1281">
        <v>2609557.4963959302</v>
      </c>
      <c r="E50" s="1281">
        <v>140</v>
      </c>
      <c r="F50" s="1281">
        <v>6716872.63731422</v>
      </c>
    </row>
    <row r="51" spans="1:6">
      <c r="A51" s="1280" t="s">
        <v>41</v>
      </c>
      <c r="B51" s="1280" t="s">
        <v>42</v>
      </c>
      <c r="C51" s="1281">
        <v>9</v>
      </c>
      <c r="D51" s="1281">
        <v>144362.40921804</v>
      </c>
      <c r="E51" s="1281">
        <v>71</v>
      </c>
      <c r="F51" s="1281">
        <v>1010960.35466775</v>
      </c>
    </row>
    <row r="52" spans="1:6">
      <c r="A52" s="1280" t="s">
        <v>41</v>
      </c>
      <c r="B52" s="1280" t="s">
        <v>28</v>
      </c>
      <c r="C52" s="1281">
        <v>8</v>
      </c>
      <c r="D52" s="1281">
        <v>257076.540161207</v>
      </c>
      <c r="E52" s="1281">
        <v>11</v>
      </c>
      <c r="F52" s="1281">
        <v>214585.72899251699</v>
      </c>
    </row>
    <row r="53" spans="1:6">
      <c r="A53" s="1280" t="s">
        <v>43</v>
      </c>
      <c r="B53" s="1280" t="s">
        <v>44</v>
      </c>
      <c r="C53" s="1281">
        <v>562</v>
      </c>
      <c r="D53" s="1281">
        <v>8584366.1801810097</v>
      </c>
      <c r="E53" s="1281">
        <v>720</v>
      </c>
      <c r="F53" s="1281">
        <v>3118027.4135375801</v>
      </c>
    </row>
    <row r="54" spans="1:6">
      <c r="A54" s="1280" t="s">
        <v>45</v>
      </c>
      <c r="B54" s="1280" t="s">
        <v>46</v>
      </c>
      <c r="C54" s="1281">
        <v>0</v>
      </c>
      <c r="D54" s="1281">
        <v>0</v>
      </c>
      <c r="E54" s="1281">
        <v>1</v>
      </c>
      <c r="F54" s="1281">
        <v>2488367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127</v>
      </c>
      <c r="D57" s="1281">
        <v>3691868.49514637</v>
      </c>
      <c r="E57" s="1281">
        <v>201</v>
      </c>
      <c r="F57" s="1281">
        <v>5111950.2121194303</v>
      </c>
    </row>
    <row r="58" spans="1:6">
      <c r="A58" s="1280" t="s">
        <v>48</v>
      </c>
      <c r="B58" s="1280" t="s">
        <v>50</v>
      </c>
      <c r="C58" s="1281">
        <v>113</v>
      </c>
      <c r="D58" s="1281">
        <v>13316201.2414659</v>
      </c>
      <c r="E58" s="1281">
        <v>131</v>
      </c>
      <c r="F58" s="1281">
        <v>6146007.3209907096</v>
      </c>
    </row>
    <row r="59" spans="1:6">
      <c r="A59" s="1280" t="s">
        <v>48</v>
      </c>
      <c r="B59" s="1280" t="s">
        <v>51</v>
      </c>
      <c r="C59" s="1281">
        <v>354</v>
      </c>
      <c r="D59" s="1281">
        <v>12283675.1406467</v>
      </c>
      <c r="E59" s="1281">
        <v>559</v>
      </c>
      <c r="F59" s="1281">
        <v>28087929.669096299</v>
      </c>
    </row>
    <row r="60" spans="1:6">
      <c r="A60" s="1280" t="s">
        <v>48</v>
      </c>
      <c r="B60" s="1280" t="s">
        <v>52</v>
      </c>
      <c r="C60" s="1281">
        <v>122</v>
      </c>
      <c r="D60" s="1281">
        <v>4475425.1282653799</v>
      </c>
      <c r="E60" s="1281">
        <v>155</v>
      </c>
      <c r="F60" s="1281">
        <v>3032039.2634736202</v>
      </c>
    </row>
    <row r="61" spans="1:6">
      <c r="A61" s="1280" t="s">
        <v>48</v>
      </c>
      <c r="B61" s="1280" t="s">
        <v>53</v>
      </c>
      <c r="C61" s="1281">
        <v>355</v>
      </c>
      <c r="D61" s="1281">
        <v>19647224.760543</v>
      </c>
      <c r="E61" s="1281">
        <v>548</v>
      </c>
      <c r="F61" s="1281">
        <v>14687226.32237</v>
      </c>
    </row>
    <row r="62" spans="1:6">
      <c r="A62" s="1280" t="s">
        <v>48</v>
      </c>
      <c r="B62" s="1280" t="s">
        <v>54</v>
      </c>
      <c r="C62" s="1281">
        <v>25</v>
      </c>
      <c r="D62" s="1281">
        <v>3450697.91104603</v>
      </c>
      <c r="E62" s="1281">
        <v>24</v>
      </c>
      <c r="F62" s="1281">
        <v>1046630.63906437</v>
      </c>
    </row>
    <row r="63" spans="1:6">
      <c r="A63" s="1280" t="s">
        <v>48</v>
      </c>
      <c r="B63" s="1280" t="s">
        <v>28</v>
      </c>
      <c r="C63" s="1281">
        <v>80</v>
      </c>
      <c r="D63" s="1281">
        <v>4130160.6122546601</v>
      </c>
      <c r="E63" s="1281">
        <v>74</v>
      </c>
      <c r="F63" s="1281">
        <v>755828.66235260898</v>
      </c>
    </row>
    <row r="64" spans="1:6">
      <c r="A64" s="1280" t="s">
        <v>55</v>
      </c>
      <c r="B64" s="1280" t="s">
        <v>56</v>
      </c>
      <c r="C64" s="1281">
        <v>0</v>
      </c>
      <c r="D64" s="1281">
        <v>0</v>
      </c>
      <c r="E64" s="1281">
        <v>0</v>
      </c>
      <c r="F64" s="1281">
        <v>0</v>
      </c>
    </row>
    <row r="65" spans="1:6">
      <c r="A65" s="1280" t="s">
        <v>55</v>
      </c>
      <c r="B65" s="1280" t="s">
        <v>28</v>
      </c>
      <c r="C65" s="1281">
        <v>1</v>
      </c>
      <c r="D65" s="1281">
        <v>22515.746733655302</v>
      </c>
      <c r="E65" s="1281">
        <v>1</v>
      </c>
      <c r="F65" s="1281">
        <v>19656.714816529999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16</v>
      </c>
      <c r="D68" s="1283">
        <v>696461.881314517</v>
      </c>
      <c r="E68" s="1283">
        <v>36</v>
      </c>
      <c r="F68" s="1283">
        <v>1020877.83827432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80462545</v>
      </c>
      <c r="E73" s="445"/>
      <c r="F73" s="326"/>
    </row>
    <row r="74" spans="1:6">
      <c r="A74" s="1280" t="s">
        <v>63</v>
      </c>
      <c r="B74" s="1280" t="s">
        <v>754</v>
      </c>
      <c r="C74" s="1293" t="s">
        <v>755</v>
      </c>
      <c r="D74" s="1281">
        <v>5863756.6400309484</v>
      </c>
      <c r="E74" s="445"/>
      <c r="F74" s="326"/>
    </row>
    <row r="75" spans="1:6">
      <c r="A75" s="1280" t="s">
        <v>64</v>
      </c>
      <c r="B75" s="1280" t="s">
        <v>752</v>
      </c>
      <c r="C75" s="1293" t="s">
        <v>756</v>
      </c>
      <c r="D75" s="1281">
        <v>25808222</v>
      </c>
      <c r="E75" s="445"/>
      <c r="F75" s="326"/>
    </row>
    <row r="76" spans="1:6">
      <c r="A76" s="1280" t="s">
        <v>64</v>
      </c>
      <c r="B76" s="1280" t="s">
        <v>754</v>
      </c>
      <c r="C76" s="1293" t="s">
        <v>757</v>
      </c>
      <c r="D76" s="1281">
        <v>831800.64003094845</v>
      </c>
      <c r="E76" s="445"/>
      <c r="F76" s="326"/>
    </row>
    <row r="77" spans="1:6">
      <c r="A77" s="1280" t="s">
        <v>65</v>
      </c>
      <c r="B77" s="1280" t="s">
        <v>752</v>
      </c>
      <c r="C77" s="1293" t="s">
        <v>758</v>
      </c>
      <c r="D77" s="1281">
        <v>76189722</v>
      </c>
      <c r="E77" s="445"/>
      <c r="F77" s="326"/>
    </row>
    <row r="78" spans="1:6">
      <c r="A78" s="1275" t="s">
        <v>65</v>
      </c>
      <c r="B78" s="1275" t="s">
        <v>754</v>
      </c>
      <c r="C78" s="1275" t="s">
        <v>759</v>
      </c>
      <c r="D78" s="1283">
        <v>16165439</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682936.71993810311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2028.3205298006501</v>
      </c>
      <c r="C91" s="326"/>
      <c r="D91" s="326"/>
      <c r="E91" s="326"/>
      <c r="F91" s="326"/>
    </row>
    <row r="92" spans="1:6">
      <c r="A92" s="1275" t="s">
        <v>68</v>
      </c>
      <c r="B92" s="1276">
        <v>3757.2816351355268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9352</v>
      </c>
      <c r="C97" s="326"/>
      <c r="D97" s="326"/>
      <c r="E97" s="326"/>
      <c r="F97" s="326"/>
    </row>
    <row r="98" spans="1:6">
      <c r="A98" s="1280" t="s">
        <v>71</v>
      </c>
      <c r="B98" s="1281">
        <v>4</v>
      </c>
      <c r="C98" s="326"/>
      <c r="D98" s="326"/>
      <c r="E98" s="326"/>
      <c r="F98" s="326"/>
    </row>
    <row r="99" spans="1:6">
      <c r="A99" s="1280" t="s">
        <v>72</v>
      </c>
      <c r="B99" s="1281">
        <v>84</v>
      </c>
      <c r="C99" s="326"/>
      <c r="D99" s="326"/>
      <c r="E99" s="326"/>
      <c r="F99" s="326"/>
    </row>
    <row r="100" spans="1:6">
      <c r="A100" s="1280" t="s">
        <v>73</v>
      </c>
      <c r="B100" s="1281">
        <v>634</v>
      </c>
      <c r="C100" s="326"/>
      <c r="D100" s="326"/>
      <c r="E100" s="326"/>
      <c r="F100" s="326"/>
    </row>
    <row r="101" spans="1:6">
      <c r="A101" s="1280" t="s">
        <v>74</v>
      </c>
      <c r="B101" s="1281">
        <v>133</v>
      </c>
      <c r="C101" s="326"/>
      <c r="D101" s="326"/>
      <c r="E101" s="326"/>
      <c r="F101" s="326"/>
    </row>
    <row r="102" spans="1:6">
      <c r="A102" s="1280" t="s">
        <v>75</v>
      </c>
      <c r="B102" s="1281">
        <v>247</v>
      </c>
      <c r="C102" s="326"/>
      <c r="D102" s="326"/>
      <c r="E102" s="326"/>
      <c r="F102" s="326"/>
    </row>
    <row r="103" spans="1:6">
      <c r="A103" s="1280" t="s">
        <v>76</v>
      </c>
      <c r="B103" s="1281">
        <v>504</v>
      </c>
      <c r="C103" s="326"/>
      <c r="D103" s="326"/>
      <c r="E103" s="326"/>
      <c r="F103" s="326"/>
    </row>
    <row r="104" spans="1:6">
      <c r="A104" s="1280" t="s">
        <v>77</v>
      </c>
      <c r="B104" s="1281">
        <v>2008</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13</v>
      </c>
      <c r="D123" s="326"/>
      <c r="E123" s="326"/>
      <c r="F123" s="326"/>
    </row>
    <row r="124" spans="1:6">
      <c r="A124" s="1280" t="s">
        <v>88</v>
      </c>
      <c r="B124" s="1281">
        <v>1</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49</v>
      </c>
      <c r="C129" s="326"/>
      <c r="D129" s="326"/>
      <c r="E129" s="326"/>
      <c r="F129" s="326"/>
    </row>
    <row r="130" spans="1:6">
      <c r="A130" s="1280" t="s">
        <v>284</v>
      </c>
      <c r="B130" s="1281">
        <v>2</v>
      </c>
      <c r="C130" s="326"/>
      <c r="D130" s="326"/>
      <c r="E130" s="326"/>
      <c r="F130" s="326"/>
    </row>
    <row r="131" spans="1:6">
      <c r="A131" s="1280" t="s">
        <v>285</v>
      </c>
      <c r="B131" s="1281">
        <v>2</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160380.51857083431</v>
      </c>
      <c r="C3" s="43" t="s">
        <v>163</v>
      </c>
      <c r="D3" s="43"/>
      <c r="E3" s="156"/>
      <c r="F3" s="43"/>
      <c r="G3" s="43"/>
      <c r="H3" s="43"/>
      <c r="I3" s="43"/>
      <c r="J3" s="43"/>
      <c r="K3" s="96"/>
    </row>
    <row r="4" spans="1:11">
      <c r="A4" s="352" t="s">
        <v>164</v>
      </c>
      <c r="B4" s="49">
        <f>IF(ISERROR('SEAP template'!B78+'SEAP template'!C78),0,'SEAP template'!B78+'SEAP template'!C78)</f>
        <v>5785.6021649361774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0.21302759730517909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2488.3670000000002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2488.3670000000002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0.21302759730517909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530.09084322349656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46212.062809806695</v>
      </c>
      <c r="C5" s="17">
        <f>IF(ISERROR('Eigen informatie GS &amp; warmtenet'!B57),0,'Eigen informatie GS &amp; warmtenet'!B57)</f>
        <v>0</v>
      </c>
      <c r="D5" s="30">
        <f>(SUM(HH_hh_gas_kWh,HH_rest_gas_kWh)/1000)*0.902</f>
        <v>147944.81837247734</v>
      </c>
      <c r="E5" s="17">
        <f>B32*B41</f>
        <v>1376.4435878656861</v>
      </c>
      <c r="F5" s="17">
        <f>B36*B45</f>
        <v>46984.070006389884</v>
      </c>
      <c r="G5" s="18"/>
      <c r="H5" s="17"/>
      <c r="I5" s="17"/>
      <c r="J5" s="17">
        <f>B35*B44+C35*C44</f>
        <v>1057.9621384334087</v>
      </c>
      <c r="K5" s="17"/>
      <c r="L5" s="17"/>
      <c r="M5" s="17"/>
      <c r="N5" s="17">
        <f>B34*B43+C34*C43</f>
        <v>15726.510927594773</v>
      </c>
      <c r="O5" s="17">
        <f>B52*B53*B54</f>
        <v>98.490000000000009</v>
      </c>
      <c r="P5" s="17">
        <f>B60*B61*B62/1000-B60*B61*B62/1000/B63</f>
        <v>209.73333333333335</v>
      </c>
    </row>
    <row r="6" spans="1:16">
      <c r="A6" s="16" t="s">
        <v>615</v>
      </c>
      <c r="B6" s="766">
        <f>kWh_PV_kleiner_dan_10kW</f>
        <v>2028.3205298006501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48240.383339607346</v>
      </c>
      <c r="C8" s="21">
        <f>C5</f>
        <v>0</v>
      </c>
      <c r="D8" s="21">
        <f>D5</f>
        <v>147944.81837247734</v>
      </c>
      <c r="E8" s="21">
        <f>E5</f>
        <v>1376.4435878656861</v>
      </c>
      <c r="F8" s="21">
        <f>F5</f>
        <v>46984.070006389884</v>
      </c>
      <c r="G8" s="21"/>
      <c r="H8" s="21"/>
      <c r="I8" s="21"/>
      <c r="J8" s="21">
        <f>J5</f>
        <v>1057.9621384334087</v>
      </c>
      <c r="K8" s="21"/>
      <c r="L8" s="21">
        <f>L5</f>
        <v>0</v>
      </c>
      <c r="M8" s="21">
        <f>M5</f>
        <v>0</v>
      </c>
      <c r="N8" s="21">
        <f>N5</f>
        <v>15726.510927594773</v>
      </c>
      <c r="O8" s="21">
        <f>O5</f>
        <v>98.490000000000009</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0.21302759730517909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10276.532955917344</v>
      </c>
      <c r="C12" s="23">
        <f ca="1">C10*C8</f>
        <v>0</v>
      </c>
      <c r="D12" s="23">
        <f>D8*D10</f>
        <v>29884.853311240426</v>
      </c>
      <c r="E12" s="23">
        <f>E10*E8</f>
        <v>312.45269444551076</v>
      </c>
      <c r="F12" s="23">
        <f>F10*F8</f>
        <v>12544.746691706099</v>
      </c>
      <c r="G12" s="23"/>
      <c r="H12" s="23"/>
      <c r="I12" s="23"/>
      <c r="J12" s="23">
        <f>J10*J8</f>
        <v>374.51859700542667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13895</v>
      </c>
      <c r="C26" s="36"/>
      <c r="D26" s="226"/>
    </row>
    <row r="27" spans="1:5" s="15" customFormat="1">
      <c r="A27" s="228" t="s">
        <v>695</v>
      </c>
      <c r="B27" s="37">
        <f>SUM(HH_hh_gas_aantal,HH_rest_gas_aantal)</f>
        <v>11613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11032.35</v>
      </c>
      <c r="C31" s="34" t="s">
        <v>104</v>
      </c>
      <c r="D31" s="172"/>
    </row>
    <row r="32" spans="1:5">
      <c r="A32" s="169" t="s">
        <v>72</v>
      </c>
      <c r="B32" s="33">
        <f>IF((B21*($B$26-($B$27-0.05*$B$27)-$B$60))&lt;0,0,B21*($B$26-($B$27-0.05*$B$27)-$B$60))</f>
        <v>20.216968444530586</v>
      </c>
      <c r="C32" s="34" t="s">
        <v>104</v>
      </c>
      <c r="D32" s="172"/>
    </row>
    <row r="33" spans="1:6">
      <c r="A33" s="169" t="s">
        <v>73</v>
      </c>
      <c r="B33" s="33">
        <f>IF((B22*($B$26-($B$27-0.05*$B$27)-$B$60))&lt;0,0,B22*($B$26-($B$27-0.05*$B$27)-$B$60))</f>
        <v>579.41556501229502</v>
      </c>
      <c r="C33" s="34" t="s">
        <v>104</v>
      </c>
      <c r="D33" s="172"/>
    </row>
    <row r="34" spans="1:6">
      <c r="A34" s="169" t="s">
        <v>74</v>
      </c>
      <c r="B34" s="33">
        <f>IF((B24*($B$26-($B$27-0.05*$B$27)-$B$60))&lt;0,0,B24*($B$26-($B$27-0.05*$B$27)-$B$60))</f>
        <v>115.54158711203654</v>
      </c>
      <c r="C34" s="33">
        <f>B26*C24</f>
        <v>2841.2164566733395</v>
      </c>
      <c r="D34" s="231"/>
    </row>
    <row r="35" spans="1:6">
      <c r="A35" s="169" t="s">
        <v>76</v>
      </c>
      <c r="B35" s="33">
        <f>IF((B19*($B$26-($B$27-0.05*$B$27)-$B$60))&lt;0,0,B19*($B$26-($B$27-0.05*$B$27)-$B$60))</f>
        <v>60.169548942055322</v>
      </c>
      <c r="C35" s="33">
        <f>B35/2</f>
        <v>30.084774471027661</v>
      </c>
      <c r="D35" s="231"/>
    </row>
    <row r="36" spans="1:6">
      <c r="A36" s="169" t="s">
        <v>77</v>
      </c>
      <c r="B36" s="33">
        <f>IF((B18*($B$26-($B$27-0.05*$B$27)-$B$60))&lt;0,0,B18*($B$26-($B$27-0.05*$B$27)-$B$60))</f>
        <v>2076.306330489082</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58867.612089467038</v>
      </c>
      <c r="C5" s="17">
        <f>IF(ISERROR('Eigen informatie GS &amp; warmtenet'!B58),0,'Eigen informatie GS &amp; warmtenet'!B58)</f>
        <v>0</v>
      </c>
      <c r="D5" s="30">
        <f>SUM(D6:D12)</f>
        <v>55017.718467009981</v>
      </c>
      <c r="E5" s="17">
        <f>SUM(E6:E12)</f>
        <v>880.07654092510734</v>
      </c>
      <c r="F5" s="17">
        <f>SUM(F6:F12)</f>
        <v>10861.280800409575</v>
      </c>
      <c r="G5" s="18"/>
      <c r="H5" s="17"/>
      <c r="I5" s="17"/>
      <c r="J5" s="17">
        <f>SUM(J6:J12)</f>
        <v>0</v>
      </c>
      <c r="K5" s="17"/>
      <c r="L5" s="17"/>
      <c r="M5" s="17"/>
      <c r="N5" s="17">
        <f>SUM(N6:N12)</f>
        <v>1382.4975389964302</v>
      </c>
      <c r="O5" s="17">
        <f>B38*B39*B40</f>
        <v>3.1266666666666669</v>
      </c>
      <c r="P5" s="17">
        <f>B46*B47*B48/1000-B46*B47*B48/1000/B49</f>
        <v>38.133333333333333</v>
      </c>
      <c r="R5" s="32"/>
    </row>
    <row r="6" spans="1:18">
      <c r="A6" s="32" t="s">
        <v>53</v>
      </c>
      <c r="B6" s="37">
        <f>B26</f>
        <v>14687.226322370001</v>
      </c>
      <c r="C6" s="33"/>
      <c r="D6" s="37">
        <f>IF(ISERROR(TER_kantoor_gas_kWh/1000),0,TER_kantoor_gas_kWh/1000)*0.902</f>
        <v>17721.796734009786</v>
      </c>
      <c r="E6" s="33">
        <f>$C$26*'E Balans VL '!I12/100/3.6*1000000</f>
        <v>514.11069711007667</v>
      </c>
      <c r="F6" s="33">
        <f>$C$26*('E Balans VL '!L12+'E Balans VL '!N12)/100/3.6*1000000</f>
        <v>2226.8988421304662</v>
      </c>
      <c r="G6" s="34"/>
      <c r="H6" s="33"/>
      <c r="I6" s="33"/>
      <c r="J6" s="33">
        <f>$C$26*('E Balans VL '!D12+'E Balans VL '!E12)/100/3.6*1000000</f>
        <v>0</v>
      </c>
      <c r="K6" s="33"/>
      <c r="L6" s="33"/>
      <c r="M6" s="33"/>
      <c r="N6" s="33">
        <f>$C$26*'E Balans VL '!Y12/100/3.6*1000000</f>
        <v>113.52766249659562</v>
      </c>
      <c r="O6" s="33"/>
      <c r="P6" s="33"/>
      <c r="R6" s="32"/>
    </row>
    <row r="7" spans="1:18">
      <c r="A7" s="32" t="s">
        <v>52</v>
      </c>
      <c r="B7" s="37">
        <f t="shared" ref="B7:B12" si="0">B27</f>
        <v>3032.0392634736204</v>
      </c>
      <c r="C7" s="33"/>
      <c r="D7" s="37">
        <f>IF(ISERROR(TER_horeca_gas_kWh/1000),0,TER_horeca_gas_kWh/1000)*0.902</f>
        <v>4036.8334656953725</v>
      </c>
      <c r="E7" s="33">
        <f>$C$27*'E Balans VL '!I9/100/3.6*1000000</f>
        <v>171.0473307634328</v>
      </c>
      <c r="F7" s="33">
        <f>$C$27*('E Balans VL '!L9+'E Balans VL '!N9)/100/3.6*1000000</f>
        <v>528.19801921782766</v>
      </c>
      <c r="G7" s="34"/>
      <c r="H7" s="33"/>
      <c r="I7" s="33"/>
      <c r="J7" s="33">
        <f>$C$27*('E Balans VL '!D9+'E Balans VL '!E9)/100/3.6*1000000</f>
        <v>0</v>
      </c>
      <c r="K7" s="33"/>
      <c r="L7" s="33"/>
      <c r="M7" s="33"/>
      <c r="N7" s="33">
        <f>$C$27*'E Balans VL '!Y9/100/3.6*1000000</f>
        <v>0</v>
      </c>
      <c r="O7" s="33"/>
      <c r="P7" s="33"/>
      <c r="R7" s="32"/>
    </row>
    <row r="8" spans="1:18">
      <c r="A8" s="6" t="s">
        <v>51</v>
      </c>
      <c r="B8" s="37">
        <f t="shared" si="0"/>
        <v>28087.929669096298</v>
      </c>
      <c r="C8" s="33"/>
      <c r="D8" s="37">
        <f>IF(ISERROR(TER_handel_gas_kWh/1000),0,TER_handel_gas_kWh/1000)*0.902</f>
        <v>11079.874976863322</v>
      </c>
      <c r="E8" s="33">
        <f>$C$28*'E Balans VL '!I13/100/3.6*1000000</f>
        <v>144.20057722887415</v>
      </c>
      <c r="F8" s="33">
        <f>$C$28*('E Balans VL '!L13+'E Balans VL '!N13)/100/3.6*1000000</f>
        <v>4330.7247519089015</v>
      </c>
      <c r="G8" s="34"/>
      <c r="H8" s="33"/>
      <c r="I8" s="33"/>
      <c r="J8" s="33">
        <f>$C$28*('E Balans VL '!D13+'E Balans VL '!E13)/100/3.6*1000000</f>
        <v>0</v>
      </c>
      <c r="K8" s="33"/>
      <c r="L8" s="33"/>
      <c r="M8" s="33"/>
      <c r="N8" s="33">
        <f>$C$28*'E Balans VL '!Y13/100/3.6*1000000</f>
        <v>13.137067565568101</v>
      </c>
      <c r="O8" s="33"/>
      <c r="P8" s="33"/>
      <c r="R8" s="32"/>
    </row>
    <row r="9" spans="1:18">
      <c r="A9" s="32" t="s">
        <v>50</v>
      </c>
      <c r="B9" s="37">
        <f t="shared" si="0"/>
        <v>6146.0073209907096</v>
      </c>
      <c r="C9" s="33"/>
      <c r="D9" s="37">
        <f>IF(ISERROR(TER_gezond_gas_kWh/1000),0,TER_gezond_gas_kWh/1000)*0.902</f>
        <v>12011.213519802242</v>
      </c>
      <c r="E9" s="33">
        <f>$C$29*'E Balans VL '!I10/100/3.6*1000000</f>
        <v>2.5474762642552271</v>
      </c>
      <c r="F9" s="33">
        <f>$C$29*('E Balans VL '!L10+'E Balans VL '!N10)/100/3.6*1000000</f>
        <v>1513.6734576570773</v>
      </c>
      <c r="G9" s="34"/>
      <c r="H9" s="33"/>
      <c r="I9" s="33"/>
      <c r="J9" s="33">
        <f>$C$29*('E Balans VL '!D10+'E Balans VL '!E10)/100/3.6*1000000</f>
        <v>0</v>
      </c>
      <c r="K9" s="33"/>
      <c r="L9" s="33"/>
      <c r="M9" s="33"/>
      <c r="N9" s="33">
        <f>$C$29*'E Balans VL '!Y10/100/3.6*1000000</f>
        <v>53.116715390454374</v>
      </c>
      <c r="O9" s="33"/>
      <c r="P9" s="33"/>
      <c r="R9" s="32"/>
    </row>
    <row r="10" spans="1:18">
      <c r="A10" s="32" t="s">
        <v>49</v>
      </c>
      <c r="B10" s="37">
        <f t="shared" si="0"/>
        <v>5111.95021211943</v>
      </c>
      <c r="C10" s="33"/>
      <c r="D10" s="37">
        <f>IF(ISERROR(TER_ander_gas_kWh/1000),0,TER_ander_gas_kWh/1000)*0.902</f>
        <v>3330.0653826220259</v>
      </c>
      <c r="E10" s="33">
        <f>$C$30*'E Balans VL '!I14/100/3.6*1000000</f>
        <v>31.162574618681017</v>
      </c>
      <c r="F10" s="33">
        <f>$C$30*('E Balans VL '!L14+'E Balans VL '!N14)/100/3.6*1000000</f>
        <v>1355.2480270073984</v>
      </c>
      <c r="G10" s="34"/>
      <c r="H10" s="33"/>
      <c r="I10" s="33"/>
      <c r="J10" s="33">
        <f>$C$30*('E Balans VL '!D14+'E Balans VL '!E14)/100/3.6*1000000</f>
        <v>0</v>
      </c>
      <c r="K10" s="33"/>
      <c r="L10" s="33"/>
      <c r="M10" s="33"/>
      <c r="N10" s="33">
        <f>$C$30*'E Balans VL '!Y14/100/3.6*1000000</f>
        <v>1178.1940627798488</v>
      </c>
      <c r="O10" s="33"/>
      <c r="P10" s="33"/>
      <c r="R10" s="32"/>
    </row>
    <row r="11" spans="1:18">
      <c r="A11" s="32" t="s">
        <v>54</v>
      </c>
      <c r="B11" s="37">
        <f t="shared" si="0"/>
        <v>1046.6306390643699</v>
      </c>
      <c r="C11" s="33"/>
      <c r="D11" s="37">
        <f>IF(ISERROR(TER_onderwijs_gas_kWh/1000),0,TER_onderwijs_gas_kWh/1000)*0.902</f>
        <v>3112.5295157635192</v>
      </c>
      <c r="E11" s="33">
        <f>$C$31*'E Balans VL '!I11/100/3.6*1000000</f>
        <v>0.7975870456001678</v>
      </c>
      <c r="F11" s="33">
        <f>$C$31*('E Balans VL '!L11+'E Balans VL '!N11)/100/3.6*1000000</f>
        <v>757.39928817252985</v>
      </c>
      <c r="G11" s="34"/>
      <c r="H11" s="33"/>
      <c r="I11" s="33"/>
      <c r="J11" s="33">
        <f>$C$31*('E Balans VL '!D11+'E Balans VL '!E11)/100/3.6*1000000</f>
        <v>0</v>
      </c>
      <c r="K11" s="33"/>
      <c r="L11" s="33"/>
      <c r="M11" s="33"/>
      <c r="N11" s="33">
        <f>$C$31*'E Balans VL '!Y11/100/3.6*1000000</f>
        <v>3.0846706334873888</v>
      </c>
      <c r="O11" s="33"/>
      <c r="P11" s="33"/>
      <c r="R11" s="32"/>
    </row>
    <row r="12" spans="1:18">
      <c r="A12" s="32" t="s">
        <v>249</v>
      </c>
      <c r="B12" s="37">
        <f t="shared" si="0"/>
        <v>755.82866235260894</v>
      </c>
      <c r="C12" s="33"/>
      <c r="D12" s="37">
        <f>IF(ISERROR(TER_rest_gas_kWh/1000),0,TER_rest_gas_kWh/1000)*0.902</f>
        <v>3725.4048722537036</v>
      </c>
      <c r="E12" s="33">
        <f>$C$32*'E Balans VL '!I8/100/3.6*1000000</f>
        <v>16.210297894187338</v>
      </c>
      <c r="F12" s="33">
        <f>$C$32*('E Balans VL '!L8+'E Balans VL '!N8)/100/3.6*1000000</f>
        <v>149.13841431537529</v>
      </c>
      <c r="G12" s="34"/>
      <c r="H12" s="33"/>
      <c r="I12" s="33"/>
      <c r="J12" s="33">
        <f>$C$32*('E Balans VL '!D8+'E Balans VL '!E8)/100/3.6*1000000</f>
        <v>0</v>
      </c>
      <c r="K12" s="33"/>
      <c r="L12" s="33"/>
      <c r="M12" s="33"/>
      <c r="N12" s="33">
        <f>$C$32*'E Balans VL '!Y8/100/3.6*1000000</f>
        <v>21.437360130476108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58867.612089467038</v>
      </c>
      <c r="C16" s="21">
        <f ca="1">C5+C13+C14</f>
        <v>0</v>
      </c>
      <c r="D16" s="21">
        <f t="shared" ref="D16:N16" ca="1" si="1">MAX((D5+D13+D14),0)</f>
        <v>55017.718467009981</v>
      </c>
      <c r="E16" s="21">
        <f t="shared" si="1"/>
        <v>880.07654092510734</v>
      </c>
      <c r="F16" s="21">
        <f t="shared" ca="1" si="1"/>
        <v>10861.280800409575</v>
      </c>
      <c r="G16" s="21">
        <f t="shared" si="1"/>
        <v>0</v>
      </c>
      <c r="H16" s="21">
        <f t="shared" si="1"/>
        <v>0</v>
      </c>
      <c r="I16" s="21">
        <f t="shared" si="1"/>
        <v>0</v>
      </c>
      <c r="J16" s="21">
        <f t="shared" si="1"/>
        <v>0</v>
      </c>
      <c r="K16" s="21">
        <f t="shared" si="1"/>
        <v>0</v>
      </c>
      <c r="L16" s="21">
        <f t="shared" ca="1" si="1"/>
        <v>0</v>
      </c>
      <c r="M16" s="21">
        <f t="shared" si="1"/>
        <v>0</v>
      </c>
      <c r="N16" s="21">
        <f t="shared" ca="1" si="1"/>
        <v>1382.4975389964302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0.21302759730517909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12540.425962512476</v>
      </c>
      <c r="C20" s="23">
        <f t="shared" ref="C20:P20" ca="1" si="2">C16*C18</f>
        <v>0</v>
      </c>
      <c r="D20" s="23">
        <f t="shared" ca="1" si="2"/>
        <v>11113.579130336017</v>
      </c>
      <c r="E20" s="23">
        <f t="shared" si="2"/>
        <v>199.77737478999939</v>
      </c>
      <c r="F20" s="23">
        <f t="shared" ca="1" si="2"/>
        <v>2899.9619737093567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14687.226322370001</v>
      </c>
      <c r="C26" s="39">
        <f>IF(ISERROR(B26*3.6/1000000/'E Balans VL '!Z12*100),0,B26*3.6/1000000/'E Balans VL '!Z12*100)</f>
        <v>0.30906832102282605</v>
      </c>
      <c r="D26" s="234" t="s">
        <v>700</v>
      </c>
      <c r="F26" s="6"/>
    </row>
    <row r="27" spans="1:18">
      <c r="A27" s="229" t="s">
        <v>52</v>
      </c>
      <c r="B27" s="33">
        <f>IF(ISERROR(TER_horeca_ele_kWh/1000),0,TER_horeca_ele_kWh/1000)</f>
        <v>3032.0392634736204</v>
      </c>
      <c r="C27" s="39">
        <f>IF(ISERROR(B27*3.6/1000000/'E Balans VL '!Z9*100),0,B27*3.6/1000000/'E Balans VL '!Z9*100)</f>
        <v>0.25671424448688118</v>
      </c>
      <c r="D27" s="234" t="s">
        <v>700</v>
      </c>
      <c r="F27" s="6"/>
    </row>
    <row r="28" spans="1:18">
      <c r="A28" s="169" t="s">
        <v>51</v>
      </c>
      <c r="B28" s="33">
        <f>IF(ISERROR(TER_handel_ele_kWh/1000),0,TER_handel_ele_kWh/1000)</f>
        <v>28087.929669096298</v>
      </c>
      <c r="C28" s="39">
        <f>IF(ISERROR(B28*3.6/1000000/'E Balans VL '!Z13*100),0,B28*3.6/1000000/'E Balans VL '!Z13*100)</f>
        <v>0.77761044891682041</v>
      </c>
      <c r="D28" s="234" t="s">
        <v>700</v>
      </c>
      <c r="F28" s="6"/>
    </row>
    <row r="29" spans="1:18">
      <c r="A29" s="229" t="s">
        <v>50</v>
      </c>
      <c r="B29" s="33">
        <f>IF(ISERROR(TER_gezond_ele_kWh/1000),0,TER_gezond_ele_kWh/1000)</f>
        <v>6146.0073209907096</v>
      </c>
      <c r="C29" s="39">
        <f>IF(ISERROR(B29*3.6/1000000/'E Balans VL '!Z10*100),0,B29*3.6/1000000/'E Balans VL '!Z10*100)</f>
        <v>0.79891281529363112</v>
      </c>
      <c r="D29" s="234" t="s">
        <v>700</v>
      </c>
      <c r="F29" s="6"/>
    </row>
    <row r="30" spans="1:18">
      <c r="A30" s="229" t="s">
        <v>49</v>
      </c>
      <c r="B30" s="33">
        <f>IF(ISERROR(TER_ander_ele_kWh/1000),0,TER_ander_ele_kWh/1000)</f>
        <v>5111.95021211943</v>
      </c>
      <c r="C30" s="39">
        <f>IF(ISERROR(B30*3.6/1000000/'E Balans VL '!Z14*100),0,B30*3.6/1000000/'E Balans VL '!Z14*100)</f>
        <v>0.39622302160392453</v>
      </c>
      <c r="D30" s="234" t="s">
        <v>700</v>
      </c>
      <c r="F30" s="6"/>
    </row>
    <row r="31" spans="1:18">
      <c r="A31" s="229" t="s">
        <v>54</v>
      </c>
      <c r="B31" s="33">
        <f>IF(ISERROR(TER_onderwijs_ele_kWh/1000),0,TER_onderwijs_ele_kWh/1000)</f>
        <v>1046.6306390643699</v>
      </c>
      <c r="C31" s="39">
        <f>IF(ISERROR(B31*3.6/1000000/'E Balans VL '!Z11*100),0,B31*3.6/1000000/'E Balans VL '!Z11*100)</f>
        <v>0.20023827546169354</v>
      </c>
      <c r="D31" s="234" t="s">
        <v>700</v>
      </c>
    </row>
    <row r="32" spans="1:18">
      <c r="A32" s="229" t="s">
        <v>249</v>
      </c>
      <c r="B32" s="33">
        <f>IF(ISERROR(TER_rest_ele_kWh/1000),0,TER_rest_ele_kWh/1000)</f>
        <v>755.82866235260894</v>
      </c>
      <c r="C32" s="39">
        <f>IF(ISERROR(B32*3.6/1000000/'E Balans VL '!Z8*100),0,B32*3.6/1000000/'E Balans VL '!Z8*100)</f>
        <v>6.2323877336902273E-3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46427.046697532831</v>
      </c>
      <c r="C5" s="17">
        <f>IF(ISERROR('Eigen informatie GS &amp; warmtenet'!B59),0,'Eigen informatie GS &amp; warmtenet'!B59)</f>
        <v>0</v>
      </c>
      <c r="D5" s="30">
        <f>SUM(D6:D15)</f>
        <v>55570.793241354666</v>
      </c>
      <c r="E5" s="17">
        <f>SUM(E6:E15)</f>
        <v>473.36073724353793</v>
      </c>
      <c r="F5" s="17">
        <f>SUM(F6:F15)</f>
        <v>13796.586733104257</v>
      </c>
      <c r="G5" s="18"/>
      <c r="H5" s="17"/>
      <c r="I5" s="17"/>
      <c r="J5" s="17">
        <f>SUM(J6:J15)</f>
        <v>223.123958594616</v>
      </c>
      <c r="K5" s="17"/>
      <c r="L5" s="17"/>
      <c r="M5" s="17"/>
      <c r="N5" s="17">
        <f>SUM(N6:N15)</f>
        <v>1285.5873554301329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647.66729763937406</v>
      </c>
      <c r="C8" s="33"/>
      <c r="D8" s="37">
        <f>IF( ISERROR(IND_metaal_Gas_kWH/1000),0,IND_metaal_Gas_kWH/1000)*0.902</f>
        <v>101.54286638803389</v>
      </c>
      <c r="E8" s="33">
        <f>C30*'E Balans VL '!I18/100/3.6*1000000</f>
        <v>4.5510151992046985</v>
      </c>
      <c r="F8" s="33">
        <f>C30*'E Balans VL '!L18/100/3.6*1000000+C30*'E Balans VL '!N18/100/3.6*1000000</f>
        <v>71.110080054144049</v>
      </c>
      <c r="G8" s="34"/>
      <c r="H8" s="33"/>
      <c r="I8" s="33"/>
      <c r="J8" s="40">
        <f>C30*'E Balans VL '!D18/100/3.6*1000000+C30*'E Balans VL '!E18/100/3.6*1000000</f>
        <v>13.362772327064878</v>
      </c>
      <c r="K8" s="33"/>
      <c r="L8" s="33"/>
      <c r="M8" s="33"/>
      <c r="N8" s="33">
        <f>C30*'E Balans VL '!Y18/100/3.6*1000000</f>
        <v>2.427503676501118</v>
      </c>
      <c r="O8" s="33"/>
      <c r="P8" s="33"/>
      <c r="R8" s="32"/>
    </row>
    <row r="9" spans="1:18">
      <c r="A9" s="6" t="s">
        <v>32</v>
      </c>
      <c r="B9" s="37">
        <f t="shared" si="0"/>
        <v>9188.0183733342692</v>
      </c>
      <c r="C9" s="33"/>
      <c r="D9" s="37">
        <f>IF( ISERROR(IND_andere_gas_kWh/1000),0,IND_andere_gas_kWh/1000)*0.902</f>
        <v>2314.0971477549224</v>
      </c>
      <c r="E9" s="33">
        <f>C31*'E Balans VL '!I19/100/3.6*1000000</f>
        <v>154.32402426203029</v>
      </c>
      <c r="F9" s="33">
        <f>C31*'E Balans VL '!L19/100/3.6*1000000+C31*'E Balans VL '!N19/100/3.6*1000000</f>
        <v>7182.6694538205102</v>
      </c>
      <c r="G9" s="34"/>
      <c r="H9" s="33"/>
      <c r="I9" s="33"/>
      <c r="J9" s="40">
        <f>C31*'E Balans VL '!D19/100/3.6*1000000+C31*'E Balans VL '!E19/100/3.6*1000000</f>
        <v>0.82867815109997545</v>
      </c>
      <c r="K9" s="33"/>
      <c r="L9" s="33"/>
      <c r="M9" s="33"/>
      <c r="N9" s="33">
        <f>C31*'E Balans VL '!Y19/100/3.6*1000000</f>
        <v>680.97957024140351</v>
      </c>
      <c r="O9" s="33"/>
      <c r="P9" s="33"/>
      <c r="R9" s="32"/>
    </row>
    <row r="10" spans="1:18">
      <c r="A10" s="6" t="s">
        <v>40</v>
      </c>
      <c r="B10" s="37">
        <f t="shared" si="0"/>
        <v>6716.8726373142199</v>
      </c>
      <c r="C10" s="33"/>
      <c r="D10" s="37">
        <f>IF( ISERROR(IND_voed_gas_kWh/1000),0,IND_voed_gas_kWh/1000)*0.902</f>
        <v>2353.8208617491291</v>
      </c>
      <c r="E10" s="33">
        <f>C32*'E Balans VL '!I20/100/3.6*1000000</f>
        <v>61.281954746564708</v>
      </c>
      <c r="F10" s="33">
        <f>C32*'E Balans VL '!L20/100/3.6*1000000+C32*'E Balans VL '!N20/100/3.6*1000000</f>
        <v>1083.6416478798974</v>
      </c>
      <c r="G10" s="34"/>
      <c r="H10" s="33"/>
      <c r="I10" s="33"/>
      <c r="J10" s="40">
        <f>C32*'E Balans VL '!D20/100/3.6*1000000+C32*'E Balans VL '!E20/100/3.6*1000000</f>
        <v>27.664485315327028</v>
      </c>
      <c r="K10" s="33"/>
      <c r="L10" s="33"/>
      <c r="M10" s="33"/>
      <c r="N10" s="33">
        <f>C32*'E Balans VL '!Y20/100/3.6*1000000</f>
        <v>98.262550281183323</v>
      </c>
      <c r="O10" s="33"/>
      <c r="P10" s="33"/>
      <c r="R10" s="32"/>
    </row>
    <row r="11" spans="1:18">
      <c r="A11" s="6" t="s">
        <v>39</v>
      </c>
      <c r="B11" s="37">
        <f t="shared" si="0"/>
        <v>2852.7158079433302</v>
      </c>
      <c r="C11" s="33"/>
      <c r="D11" s="37">
        <f>IF( ISERROR(IND_textiel_gas_kWh/1000),0,IND_textiel_gas_kWh/1000)*0.902</f>
        <v>659.17579122998711</v>
      </c>
      <c r="E11" s="33">
        <f>C33*'E Balans VL '!I21/100/3.6*1000000</f>
        <v>6.506515601760559</v>
      </c>
      <c r="F11" s="33">
        <f>C33*'E Balans VL '!L21/100/3.6*1000000+C33*'E Balans VL '!N21/100/3.6*1000000</f>
        <v>60.979446276780493</v>
      </c>
      <c r="G11" s="34"/>
      <c r="H11" s="33"/>
      <c r="I11" s="33"/>
      <c r="J11" s="40">
        <f>C33*'E Balans VL '!D21/100/3.6*1000000+C33*'E Balans VL '!E21/100/3.6*1000000</f>
        <v>0</v>
      </c>
      <c r="K11" s="33"/>
      <c r="L11" s="33"/>
      <c r="M11" s="33"/>
      <c r="N11" s="33">
        <f>C33*'E Balans VL '!Y21/100/3.6*1000000</f>
        <v>20.23678108295595</v>
      </c>
      <c r="O11" s="33"/>
      <c r="P11" s="33"/>
      <c r="R11" s="32"/>
    </row>
    <row r="12" spans="1:18">
      <c r="A12" s="6" t="s">
        <v>36</v>
      </c>
      <c r="B12" s="37">
        <f t="shared" si="0"/>
        <v>51.641947658785696</v>
      </c>
      <c r="C12" s="33"/>
      <c r="D12" s="37">
        <f>IF( ISERROR(IND_min_gas_kWh/1000),0,IND_min_gas_kWh/1000)*0.902</f>
        <v>70.509515033831704</v>
      </c>
      <c r="E12" s="33">
        <f>C34*'E Balans VL '!I22/100/3.6*1000000</f>
        <v>1.280888192404855</v>
      </c>
      <c r="F12" s="33">
        <f>C34*'E Balans VL '!L22/100/3.6*1000000+C34*'E Balans VL '!N22/100/3.6*1000000</f>
        <v>5.4874514102016887</v>
      </c>
      <c r="G12" s="34"/>
      <c r="H12" s="33"/>
      <c r="I12" s="33"/>
      <c r="J12" s="40">
        <f>C34*'E Balans VL '!D22/100/3.6*1000000+C34*'E Balans VL '!E22/100/3.6*1000000</f>
        <v>0.29335656424483414</v>
      </c>
      <c r="K12" s="33"/>
      <c r="L12" s="33"/>
      <c r="M12" s="33"/>
      <c r="N12" s="33">
        <f>C34*'E Balans VL '!Y22/100/3.6*1000000</f>
        <v>0</v>
      </c>
      <c r="O12" s="33"/>
      <c r="P12" s="33"/>
      <c r="R12" s="32"/>
    </row>
    <row r="13" spans="1:18">
      <c r="A13" s="6" t="s">
        <v>38</v>
      </c>
      <c r="B13" s="37">
        <f t="shared" si="0"/>
        <v>92.780356096151408</v>
      </c>
      <c r="C13" s="33"/>
      <c r="D13" s="37">
        <f>IF( ISERROR(IND_papier_gas_kWh/1000),0,IND_papier_gas_kWh/1000)*0.902</f>
        <v>136.03859155324545</v>
      </c>
      <c r="E13" s="33">
        <f>C35*'E Balans VL '!I23/100/3.6*1000000</f>
        <v>2.8546094219143319</v>
      </c>
      <c r="F13" s="33">
        <f>C35*'E Balans VL '!L23/100/3.6*1000000+C35*'E Balans VL '!N23/100/3.6*1000000</f>
        <v>19.700512081084923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26877.350277546699</v>
      </c>
      <c r="C15" s="33"/>
      <c r="D15" s="37">
        <f>IF( ISERROR(IND_rest_gas_kWh/1000),0,IND_rest_gas_kWh/1000)*0.902</f>
        <v>49935.608467645514</v>
      </c>
      <c r="E15" s="33">
        <f>C37*'E Balans VL '!I15/100/3.6*1000000</f>
        <v>242.5617298196585</v>
      </c>
      <c r="F15" s="33">
        <f>C37*'E Balans VL '!L15/100/3.6*1000000+C37*'E Balans VL '!N15/100/3.6*1000000</f>
        <v>5372.998141581641</v>
      </c>
      <c r="G15" s="34"/>
      <c r="H15" s="33"/>
      <c r="I15" s="33"/>
      <c r="J15" s="40">
        <f>C37*'E Balans VL '!D15/100/3.6*1000000+C37*'E Balans VL '!E15/100/3.6*1000000</f>
        <v>180.9746662368793</v>
      </c>
      <c r="K15" s="33"/>
      <c r="L15" s="33"/>
      <c r="M15" s="33"/>
      <c r="N15" s="33">
        <f>C37*'E Balans VL '!Y15/100/3.6*1000000</f>
        <v>483.6809501480891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46427.046697532831</v>
      </c>
      <c r="C18" s="21">
        <f>C5+C16</f>
        <v>0</v>
      </c>
      <c r="D18" s="21">
        <f>MAX((D5+D16),0)</f>
        <v>55570.793241354666</v>
      </c>
      <c r="E18" s="21">
        <f>MAX((E5+E16),0)</f>
        <v>473.36073724353793</v>
      </c>
      <c r="F18" s="21">
        <f>MAX((F5+F16),0)</f>
        <v>13796.586733104257</v>
      </c>
      <c r="G18" s="21"/>
      <c r="H18" s="21"/>
      <c r="I18" s="21"/>
      <c r="J18" s="21">
        <f>MAX((J5+J16),0)</f>
        <v>223.123958594616</v>
      </c>
      <c r="K18" s="21"/>
      <c r="L18" s="21">
        <f>MAX((L5+L16),0)</f>
        <v>0</v>
      </c>
      <c r="M18" s="21"/>
      <c r="N18" s="21">
        <f>MAX((N5+N16),0)</f>
        <v>1285.5873554301329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0.21302759730517909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9890.2422079507687</v>
      </c>
      <c r="C22" s="23">
        <f ca="1">C18*C20</f>
        <v>0</v>
      </c>
      <c r="D22" s="23">
        <f>D18*D20</f>
        <v>11225.300234753644</v>
      </c>
      <c r="E22" s="23">
        <f>E18*E20</f>
        <v>107.45288735428311</v>
      </c>
      <c r="F22" s="23">
        <f>F18*F20</f>
        <v>3683.6886577388368</v>
      </c>
      <c r="G22" s="23"/>
      <c r="H22" s="23"/>
      <c r="I22" s="23"/>
      <c r="J22" s="23">
        <f>J18*J20</f>
        <v>78.985881342494054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647.66729763937406</v>
      </c>
      <c r="C30" s="39">
        <f>IF(ISERROR(B30*3.6/1000000/'E Balans VL '!Z18*100),0,B30*3.6/1000000/'E Balans VL '!Z18*100)</f>
        <v>4.3115607502647174E-2</v>
      </c>
      <c r="D30" s="234" t="s">
        <v>700</v>
      </c>
    </row>
    <row r="31" spans="1:18">
      <c r="A31" s="6" t="s">
        <v>32</v>
      </c>
      <c r="B31" s="37">
        <f>IF( ISERROR(IND_ander_ele_kWh/1000),0,IND_ander_ele_kWh/1000)</f>
        <v>9188.0183733342692</v>
      </c>
      <c r="C31" s="39">
        <f>IF(ISERROR(B31*3.6/1000000/'E Balans VL '!Z19*100),0,B31*3.6/1000000/'E Balans VL '!Z19*100)</f>
        <v>0.40726844286142139</v>
      </c>
      <c r="D31" s="234" t="s">
        <v>700</v>
      </c>
    </row>
    <row r="32" spans="1:18">
      <c r="A32" s="169" t="s">
        <v>40</v>
      </c>
      <c r="B32" s="37">
        <f>IF( ISERROR(IND_voed_ele_kWh/1000),0,IND_voed_ele_kWh/1000)</f>
        <v>6716.8726373142199</v>
      </c>
      <c r="C32" s="39">
        <f>IF(ISERROR(B32*3.6/1000000/'E Balans VL '!Z20*100),0,B32*3.6/1000000/'E Balans VL '!Z20*100)</f>
        <v>0.22436281430009719</v>
      </c>
      <c r="D32" s="234" t="s">
        <v>700</v>
      </c>
    </row>
    <row r="33" spans="1:5">
      <c r="A33" s="169" t="s">
        <v>39</v>
      </c>
      <c r="B33" s="37">
        <f>IF( ISERROR(IND_textiel_ele_kWh/1000),0,IND_textiel_ele_kWh/1000)</f>
        <v>2852.7158079433302</v>
      </c>
      <c r="C33" s="39">
        <f>IF(ISERROR(B33*3.6/1000000/'E Balans VL '!Z21*100),0,B33*3.6/1000000/'E Balans VL '!Z21*100)</f>
        <v>0.37556661459243956</v>
      </c>
      <c r="D33" s="234" t="s">
        <v>700</v>
      </c>
    </row>
    <row r="34" spans="1:5">
      <c r="A34" s="169" t="s">
        <v>36</v>
      </c>
      <c r="B34" s="37">
        <f>IF( ISERROR(IND_min_ele_kWh/1000),0,IND_min_ele_kWh/1000)</f>
        <v>51.641947658785696</v>
      </c>
      <c r="C34" s="39">
        <f>IF(ISERROR(B34*3.6/1000000/'E Balans VL '!Z22*100),0,B34*3.6/1000000/'E Balans VL '!Z22*100)</f>
        <v>1.0043791565083485E-2</v>
      </c>
      <c r="D34" s="234" t="s">
        <v>700</v>
      </c>
    </row>
    <row r="35" spans="1:5">
      <c r="A35" s="169" t="s">
        <v>38</v>
      </c>
      <c r="B35" s="37">
        <f>IF( ISERROR(IND_papier_ele_kWh/1000),0,IND_papier_ele_kWh/1000)</f>
        <v>92.780356096151408</v>
      </c>
      <c r="C35" s="39">
        <f>IF(ISERROR(B35*3.6/1000000/'E Balans VL '!Z22*100),0,B35*3.6/1000000/'E Balans VL '!Z22*100)</f>
        <v>1.8044760126420825E-2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26877.350277546699</v>
      </c>
      <c r="C37" s="39">
        <f>IF(ISERROR(B37*3.6/1000000/'E Balans VL '!Z15*100),0,B37*3.6/1000000/'E Balans VL '!Z15*100)</f>
        <v>0.19992369911584282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1225.5460836602667</v>
      </c>
      <c r="C5" s="17">
        <f>'Eigen informatie GS &amp; warmtenet'!B60</f>
        <v>0</v>
      </c>
      <c r="D5" s="30">
        <f>IF(ISERROR(SUM(LB_lb_gas_kWh,LB_rest_gas_kWh)/1000),0,SUM(LB_lb_gas_kWh,LB_rest_gas_kWh)/1000)*0.902</f>
        <v>362.09793234008083</v>
      </c>
      <c r="E5" s="17">
        <f>B17*'E Balans VL '!I25/3.6*1000000/100</f>
        <v>12.834183907997748</v>
      </c>
      <c r="F5" s="17">
        <f>B17*('E Balans VL '!L25/3.6*1000000+'E Balans VL '!N25/3.6*1000000)/100</f>
        <v>5246.2684553182517</v>
      </c>
      <c r="G5" s="18"/>
      <c r="H5" s="17"/>
      <c r="I5" s="17"/>
      <c r="J5" s="17">
        <f>('E Balans VL '!D25+'E Balans VL '!E25)/3.6*1000000*landbouw!B17/100</f>
        <v>109.45225002780592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1225.5460836602667</v>
      </c>
      <c r="C8" s="21">
        <f>C5+C6</f>
        <v>0</v>
      </c>
      <c r="D8" s="21">
        <f>MAX((D5+D6),0)</f>
        <v>362.09793234008083</v>
      </c>
      <c r="E8" s="21">
        <f>MAX((E5+E6),0)</f>
        <v>12.834183907997748</v>
      </c>
      <c r="F8" s="21">
        <f>MAX((F5+F6),0)</f>
        <v>5246.2684553182517</v>
      </c>
      <c r="G8" s="21"/>
      <c r="H8" s="21"/>
      <c r="I8" s="21"/>
      <c r="J8" s="21">
        <f>MAX((J5+J6),0)</f>
        <v>109.45225002780592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0.21302759730517909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261.07513758891861</v>
      </c>
      <c r="C12" s="23">
        <f ca="1">C8*C10</f>
        <v>0</v>
      </c>
      <c r="D12" s="23">
        <f>D8*D10</f>
        <v>73.143782332696333</v>
      </c>
      <c r="E12" s="23">
        <f>E8*E10</f>
        <v>2.9133597471154888</v>
      </c>
      <c r="F12" s="23">
        <f>F8*F10</f>
        <v>1400.7536775699732</v>
      </c>
      <c r="G12" s="23"/>
      <c r="H12" s="23"/>
      <c r="I12" s="23"/>
      <c r="J12" s="23">
        <f>J8*J10</f>
        <v>38.746096509843291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0.18863519968658238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152.75469966846541</v>
      </c>
      <c r="C26" s="244">
        <f>B26*'GWP N2O_CH4'!B5</f>
        <v>3207.8486930377735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74.57177162473188</v>
      </c>
      <c r="C27" s="244">
        <f>B27*'GWP N2O_CH4'!B5</f>
        <v>1566.0072041193696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2.3721785491659362</v>
      </c>
      <c r="C28" s="244">
        <f>B28*'GWP N2O_CH4'!B4</f>
        <v>735.37535024144017</v>
      </c>
      <c r="D28" s="50"/>
    </row>
    <row r="29" spans="1:4">
      <c r="A29" s="41" t="s">
        <v>266</v>
      </c>
      <c r="B29" s="244">
        <f>B34*'ha_N2O bodem landbouw'!B4</f>
        <v>13.306655239031265</v>
      </c>
      <c r="C29" s="244">
        <f>B29*'GWP N2O_CH4'!B4</f>
        <v>4125.0631240996918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2.1990995438243813E-3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7.4091794167192758E-6</v>
      </c>
      <c r="C5" s="433" t="s">
        <v>204</v>
      </c>
      <c r="D5" s="418">
        <f>SUM(D6:D11)</f>
        <v>2.3994852837739883E-5</v>
      </c>
      <c r="E5" s="418">
        <f>SUM(E6:E11)</f>
        <v>2.6847302234305212E-3</v>
      </c>
      <c r="F5" s="431" t="s">
        <v>204</v>
      </c>
      <c r="G5" s="418">
        <f>SUM(G6:G11)</f>
        <v>0.55653460434967639</v>
      </c>
      <c r="H5" s="418">
        <f>SUM(H6:H11)</f>
        <v>8.0880850026722767E-2</v>
      </c>
      <c r="I5" s="433" t="s">
        <v>204</v>
      </c>
      <c r="J5" s="433" t="s">
        <v>204</v>
      </c>
      <c r="K5" s="433" t="s">
        <v>204</v>
      </c>
      <c r="L5" s="433" t="s">
        <v>204</v>
      </c>
      <c r="M5" s="418">
        <f>SUM(M6:M11)</f>
        <v>2.7697598252520134E-2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3.0576973528844249E-6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9.6813454889978478E-6</v>
      </c>
      <c r="E6" s="421">
        <f>vkm_GW_PW*SUMIFS(TableVerdeelsleutelVkm[LPG],TableVerdeelsleutelVkm[Voertuigtype],"Lichte voertuigen")*SUMIFS(TableECFTransport[EnergieConsumptieFactor (PJ per km)],TableECFTransport[Index],CONCATENATE($A6,"_LPG_LPG"))</f>
        <v>1.0088803853416906E-3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0.13438311883378684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3.2238220040475635E-2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7.2728806318244927E-3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1.2194011321146792E-7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5.4967818319447463E-2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1.4882526542415289E-6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2.3680364708999939E-3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9.8075113199630415E-7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5.2773753027033406E-6</v>
      </c>
      <c r="E8" s="421">
        <f>vkm_NGW_PW*SUMIFS(TableVerdeelsleutelVkm[LPG],TableVerdeelsleutelVkm[Voertuigtype],"Lichte voertuigen")*SUMIFS(TableECFTransport[EnergieConsumptieFactor (PJ per km)],TableECFTransport[Index],CONCATENATE($A8,"_LPG_LPG"))</f>
        <v>5.1899625791919563E-4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6.5453697738002886E-2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1.6617000411732294E-2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3.5844901350657052E-3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1.7297761561641137E-8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1.0800673278548627E-2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2.5482170924415519E-7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4.6529576533367454E-4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2.8953236723546365E-6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9.0361320460386943E-6</v>
      </c>
      <c r="E10" s="421">
        <f>vkm_SW_PW*SUMIFS(TableVerdeelsleutelVkm[LPG],TableVerdeelsleutelVkm[Voertuigtype],"Lichte voertuigen")*SUMIFS(TableECFTransport[EnergieConsumptieFactor (PJ per km)],TableECFTransport[Index],CONCATENATE($A10,"_LPG_LPG"))</f>
        <v>1.1568535801696348E-3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0.14470826013133953</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3.2019663523594706E-2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7.7076200594999675E-3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3.3616938471080116E-7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0.14622103604855105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4.2229765566380658E-6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6.2992751898963001E-3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2.0581053935331322</v>
      </c>
      <c r="C14" s="21"/>
      <c r="D14" s="21">
        <f t="shared" ref="D14:M14" si="0">((D5)*10^9/3600)+D12</f>
        <v>6.6652368993721902</v>
      </c>
      <c r="E14" s="21">
        <f t="shared" si="0"/>
        <v>745.75839539736705</v>
      </c>
      <c r="F14" s="21"/>
      <c r="G14" s="21">
        <f t="shared" si="0"/>
        <v>154592.94565268789</v>
      </c>
      <c r="H14" s="21">
        <f t="shared" si="0"/>
        <v>22466.902785200771</v>
      </c>
      <c r="I14" s="21"/>
      <c r="J14" s="21"/>
      <c r="K14" s="21"/>
      <c r="L14" s="21"/>
      <c r="M14" s="21">
        <f t="shared" si="0"/>
        <v>7693.7772923667035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0.21302759730517909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0.4384332469851932</v>
      </c>
      <c r="C18" s="23"/>
      <c r="D18" s="23">
        <f t="shared" ref="D18:M18" si="1">D14*D16</f>
        <v>1.3463778536731825</v>
      </c>
      <c r="E18" s="23">
        <f t="shared" si="1"/>
        <v>169.28715575520232</v>
      </c>
      <c r="F18" s="23"/>
      <c r="G18" s="23">
        <f t="shared" si="1"/>
        <v>41276.316489267672</v>
      </c>
      <c r="H18" s="23">
        <f t="shared" si="1"/>
        <v>5594.2587935149922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4.1320229888428373E-5</v>
      </c>
      <c r="C50" s="315">
        <f t="shared" ref="C50:P50" si="2">SUM(C51:C52)</f>
        <v>0</v>
      </c>
      <c r="D50" s="315">
        <f t="shared" si="2"/>
        <v>0</v>
      </c>
      <c r="E50" s="315">
        <f t="shared" si="2"/>
        <v>0</v>
      </c>
      <c r="F50" s="315">
        <f t="shared" si="2"/>
        <v>0</v>
      </c>
      <c r="G50" s="315">
        <f t="shared" si="2"/>
        <v>8.964009025039292E-3</v>
      </c>
      <c r="H50" s="315">
        <f t="shared" si="2"/>
        <v>0</v>
      </c>
      <c r="I50" s="315">
        <f t="shared" si="2"/>
        <v>0</v>
      </c>
      <c r="J50" s="315">
        <f t="shared" si="2"/>
        <v>0</v>
      </c>
      <c r="K50" s="315">
        <f t="shared" si="2"/>
        <v>0</v>
      </c>
      <c r="L50" s="315">
        <f t="shared" si="2"/>
        <v>0</v>
      </c>
      <c r="M50" s="315">
        <f t="shared" si="2"/>
        <v>3.8380443346123041E-4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4.1320229888428373E-5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8.964009025039292E-3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3.8380443346123041E-4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11.477841635674547</v>
      </c>
      <c r="C54" s="21">
        <f t="shared" ref="C54:P54" si="3">(C50)*10^9/3600</f>
        <v>0</v>
      </c>
      <c r="D54" s="21">
        <f t="shared" si="3"/>
        <v>0</v>
      </c>
      <c r="E54" s="21">
        <f t="shared" si="3"/>
        <v>0</v>
      </c>
      <c r="F54" s="21">
        <f t="shared" si="3"/>
        <v>0</v>
      </c>
      <c r="G54" s="21">
        <f t="shared" si="3"/>
        <v>2490.002506955359</v>
      </c>
      <c r="H54" s="21">
        <f t="shared" si="3"/>
        <v>0</v>
      </c>
      <c r="I54" s="21">
        <f t="shared" si="3"/>
        <v>0</v>
      </c>
      <c r="J54" s="21">
        <f t="shared" si="3"/>
        <v>0</v>
      </c>
      <c r="K54" s="21">
        <f t="shared" si="3"/>
        <v>0</v>
      </c>
      <c r="L54" s="21">
        <f t="shared" si="3"/>
        <v>0</v>
      </c>
      <c r="M54" s="21">
        <f t="shared" si="3"/>
        <v>106.61234262811956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0.21302759730517909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2.4450970258970957</v>
      </c>
      <c r="C58" s="23">
        <f t="shared" ref="C58:P58" ca="1" si="4">C54*C56</f>
        <v>0</v>
      </c>
      <c r="D58" s="23">
        <f t="shared" si="4"/>
        <v>0</v>
      </c>
      <c r="E58" s="23">
        <f t="shared" si="4"/>
        <v>0</v>
      </c>
      <c r="F58" s="23">
        <f t="shared" si="4"/>
        <v>0</v>
      </c>
      <c r="G58" s="23">
        <f t="shared" si="4"/>
        <v>664.83066935708086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5785.6021649361774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5785.6021649361774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2021-11-11T13:45:58Z</dcterms:modified>
</cp:coreProperties>
</file>