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311467C8-4E5D-4A55-91DD-BF07D797584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K90" i="14"/>
  <c r="D78" i="14"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4" i="13"/>
  <c r="B33"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<sst xmlns="http://schemas.openxmlformats.org/spreadsheetml/2006/main" count="2569" uniqueCount="977">
  <si>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</si>
  <si>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</si>
  <si>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</si>
  <si>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</si>
  <si>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</si>
  <si>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</si>
  <si>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</si>
  <si>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</si>
  <si>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</si>
  <si>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</si>
  <si>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</si>
  <si>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</si>
  <si>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</si>
  <si>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</si>
  <si>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</si>
  <si>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</si>
  <si>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</si>
  <si>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</si>
  <si>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</si>
  <si>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</si>
  <si>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</si>
  <si>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</si>
  <si>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</si>
  <si>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</si>
  <si>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</si>
  <si>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</si>
  <si>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</si>
  <si>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</si>
  <si>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</si>
  <si>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</si>
  <si>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</si>
  <si>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</si>
  <si>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</si>
  <si>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</si>
  <si>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</si>
  <si>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</si>
  <si>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</si>
  <si>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</si>
  <si>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</si>
  <si>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</si>
  <si>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</si>
  <si>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</si>
  <si>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</si>
  <si>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</si>
  <si>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</si>
  <si>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</si>
  <si>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</si>
  <si>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</si>
  <si>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</si>
  <si>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</si>
  <si>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</si>
  <si>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</si>
  <si>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</si>
  <si>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</si>
  <si>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</si>
  <si>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</si>
  <si>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</si>
  <si>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</si>
  <si>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</si>
  <si>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</si>
  <si>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</si>
  <si>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</si>
  <si>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</si>
  <si>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</si>
  <si>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</si>
  <si>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</si>
  <si>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</si>
  <si>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</si>
  <si>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</si>
  <si>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</si>
  <si>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</si>
  <si>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</si>
  <si>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</si>
  <si>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</si>
  <si>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</si>
  <si>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</si>
  <si>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</si>
  <si>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</si>
  <si>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</si>
  <si>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</si>
  <si>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</si>
  <si>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</si>
  <si>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</si>
  <si>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</si>
  <si>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</si>
  <si>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</si>
  <si>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</si>
  <si>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</si>
  <si>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</si>
  <si>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</si>
  <si>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</si>
  <si>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</si>
  <si>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</si>
  <si>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</si>
  <si>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</si>
  <si>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</si>
  <si>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</si>
  <si>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</si>
  <si>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</si>
  <si>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</si>
  <si>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</si>
  <si>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</si>
  <si>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</si>
  <si>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</si>
  <si>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</si>
  <si>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</si>
  <si>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</si>
  <si>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</si>
  <si>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</si>
  <si>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</si>
  <si>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</si>
  <si>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</si>
  <si>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</si>
  <si>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</si>
  <si>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</si>
  <si>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</si>
  <si>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</si>
  <si>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</si>
  <si>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</si>
  <si>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</si>
  <si>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</si>
  <si>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</si>
  <si>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</si>
  <si>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</si>
  <si>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</si>
  <si>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</si>
  <si>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</si>
  <si>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</si>
  <si>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</si>
  <si>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</si>
  <si>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</si>
  <si>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</si>
  <si>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</si>
  <si>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</si>
  <si>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</si>
  <si>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</si>
  <si>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</si>
  <si>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</si>
  <si>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</si>
  <si>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</si>
  <si>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</si>
  <si>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</si>
  <si>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</si>
  <si>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</si>
  <si>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</si>
  <si>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</si>
  <si>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</si>
  <si>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</si>
  <si>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</si>
  <si>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</si>
  <si>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</si>
  <si>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</si>
  <si>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</si>
  <si>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</si>
  <si>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</si>
  <si>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</si>
  <si>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</si>
  <si>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</si>
  <si>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</si>
  <si>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</si>
  <si>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</si>
  <si>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</si>
  <si>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</si>
  <si>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</si>
  <si>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</si>
  <si>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</si>
  <si>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</si>
  <si>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</si>
  <si>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</si>
  <si>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</si>
  <si>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</si>
  <si>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</si>
  <si>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</si>
  <si>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</si>
  <si>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</si>
  <si>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</si>
  <si>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</si>
  <si>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</si>
  <si>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</si>
  <si>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</si>
  <si>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</si>
  <si>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</si>
  <si>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</si>
  <si>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</si>
  <si>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</si>
  <si>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</si>
  <si>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</si>
  <si>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</si>
  <si>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</si>
  <si>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</si>
  <si>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</si>
  <si>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</si>
  <si>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</si>
  <si>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</si>
  <si>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</si>
  <si>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</si>
  <si>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</si>
  <si>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</si>
  <si>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</si>
  <si>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</si>
  <si>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</si>
  <si>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</si>
  <si>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</si>
  <si>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</si>
  <si>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</si>
  <si>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</si>
  <si>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</si>
  <si>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</si>
  <si>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</si>
  <si>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</si>
  <si>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</si>
  <si>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</si>
  <si>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</si>
  <si>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</si>
  <si>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</si>
  <si>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</si>
  <si>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</si>
  <si>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</si>
  <si>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</si>
  <si>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</si>
  <si>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</si>
  <si>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</si>
  <si>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</si>
  <si>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</si>
  <si>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</si>
  <si>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</si>
  <si>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</si>
  <si>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</si>
  <si>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</si>
  <si>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</si>
  <si>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</si>
  <si>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</si>
  <si>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</si>
  <si>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</si>
  <si>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</si>
  <si>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</si>
  <si>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</si>
  <si>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</si>
  <si>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</si>
  <si>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</si>
  <si>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</si>
  <si>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</si>
  <si>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</si>
  <si>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</si>
  <si>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</si>
  <si>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</si>
  <si>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</si>
  <si>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</si>
  <si>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</si>
  <si>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</si>
  <si>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</si>
  <si>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</si>
  <si>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</si>
  <si>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</si>
  <si>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</si>
  <si>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</si>
  <si>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</si>
  <si>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</si>
  <si>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</si>
  <si>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</si>
  <si>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</si>
  <si>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</si>
  <si>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</si>
  <si>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</si>
  <si>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</si>
  <si>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</si>
  <si>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</si>
  <si>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</si>
  <si>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</si>
  <si>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</si>
  <si>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</si>
  <si>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</si>
  <si>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</si>
  <si>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</si>
  <si>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</si>
  <si>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</si>
  <si>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</si>
  <si>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</si>
  <si>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</si>
  <si>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</si>
  <si>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</si>
  <si>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</si>
  <si>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</si>
  <si>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</si>
  <si>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</si>
  <si>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</si>
  <si>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</si>
  <si>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</si>
  <si>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</si>
  <si>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</si>
  <si>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</si>
  <si>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</si>
  <si>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</si>
  <si>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</si>
  <si>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</si>
  <si>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</si>
  <si>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</si>
  <si>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</si>
  <si>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</si>
  <si>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</si>
  <si>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</si>
  <si>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</si>
  <si>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</si>
  <si>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</si>
  <si>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</si>
  <si>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</si>
  <si>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</si>
  <si>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</si>
  <si>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</si>
  <si>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</si>
  <si>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</si>
  <si>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</si>
  <si>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</si>
  <si>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</si>
  <si>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</si>
  <si>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</si>
  <si>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</si>
  <si>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</si>
  <si>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</si>
  <si>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</si>
  <si>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</si>
  <si>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</si>
  <si>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</si>
  <si>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</si>
  <si>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</si>
  <si>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</si>
  <si>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</si>
  <si>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</si>
  <si>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</si>
  <si>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</si>
  <si>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</si>
  <si>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</si>
  <si>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</si>
  <si>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</si>
  <si>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</si>
  <si>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</si>
  <si>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</si>
  <si>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</si>
  <si>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</si>
  <si>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</si>
  <si>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</si>
  <si>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</si>
  <si>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</si>
  <si>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</si>
  <si>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</si>
  <si>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</si>
  <si>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</si>
  <si>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</si>
  <si>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</si>
  <si>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</si>
  <si>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</si>
  <si>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</si>
  <si>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</si>
  <si>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</si>
  <si>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</si>
  <si>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</si>
  <si>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</si>
  <si>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</si>
  <si>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</si>
  <si>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</si>
  <si>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</si>
  <si>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</si>
  <si>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</si>
  <si>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</si>
  <si>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</si>
  <si>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</si>
  <si>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</si>
  <si>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</si>
  <si>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</si>
  <si>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</si>
  <si>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</si>
  <si>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</si>
  <si>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</si>
  <si>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</si>
  <si>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</si>
  <si>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</si>
  <si>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</si>
  <si>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</si>
  <si>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</si>
  <si>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</si>
  <si>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</si>
  <si>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</si>
  <si>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</si>
  <si>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</si>
  <si>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</si>
  <si>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</si>
  <si>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</si>
  <si>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</si>
  <si>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</si>
  <si>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</si>
  <si>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</si>
  <si>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</si>
  <si>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</si>
  <si>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</si>
  <si>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</si>
  <si>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</si>
  <si>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</si>
  <si>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</si>
  <si>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</si>
  <si>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</si>
  <si>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</si>
  <si>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</si>
  <si>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</si>
  <si>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</si>
  <si>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</si>
  <si>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</si>
  <si>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</si>
  <si>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</si>
  <si>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</si>
  <si>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</si>
  <si>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</si>
  <si>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</si>
  <si>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</si>
  <si>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</si>
  <si>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</si>
  <si>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</si>
  <si>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</si>
  <si>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</si>
  <si>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</si>
  <si>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</si>
  <si>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</si>
  <si>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</si>
  <si>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</si>
  <si>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</si>
  <si>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</si>
  <si>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</si>
  <si>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</si>
  <si>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</si>
  <si>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</si>
  <si>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</si>
  <si>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</si>
  <si>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</si>
  <si>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</si>
  <si>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</si>
  <si>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</si>
  <si>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</si>
  <si>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</si>
  <si>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</si>
  <si>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</si>
  <si>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</si>
  <si>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</si>
  <si>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</si>
  <si>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</si>
  <si>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</si>
  <si>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</si>
  <si>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</si>
  <si>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</si>
  <si>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</si>
  <si>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</si>
  <si>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</si>
  <si>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</si>
  <si>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</si>
  <si>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</si>
  <si>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</si>
  <si>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</si>
  <si>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</si>
  <si>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</si>
  <si>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</si>
  <si>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</si>
  <si>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</si>
  <si>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</si>
  <si>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</si>
  <si>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</si>
  <si>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</si>
  <si>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</si>
  <si>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</si>
  <si>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</si>
  <si>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</si>
  <si>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</si>
  <si>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</si>
  <si>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</si>
  <si>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</si>
  <si>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</si>
  <si>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</si>
  <si>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</si>
  <si>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</si>
  <si>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</si>
  <si>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</si>
  <si>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</si>
  <si>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</si>
  <si>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</si>
  <si>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</si>
  <si>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</si>
  <si>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</si>
  <si>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</si>
  <si>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</si>
  <si>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</si>
  <si>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</si>
  <si>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</si>
  <si>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</si>
  <si>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</si>
  <si>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</si>
  <si>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</si>
  <si>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</si>
  <si>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</si>
  <si>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</si>
  <si>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</si>
  <si>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</si>
  <si>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</si>
  <si>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</si>
  <si>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</si>
  <si>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</si>
  <si>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</si>
  <si>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</si>
  <si>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</si>
  <si>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</si>
  <si>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</si>
  <si>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</si>
  <si>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</si>
  <si>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</si>
  <si>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</si>
  <si>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</si>
  <si>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</si>
  <si>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</si>
  <si>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</si>
  <si>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</si>
  <si>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</si>
  <si>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</si>
  <si>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</si>
  <si>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</si>
  <si>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</si>
  <si>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</si>
  <si>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</si>
  <si>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</si>
  <si>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</si>
  <si>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</si>
  <si>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</si>
  <si>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</si>
  <si>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</si>
  <si>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</si>
  <si>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</si>
  <si>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</si>
  <si>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</si>
  <si>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</si>
  <si>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</si>
  <si>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</si>
  <si>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</si>
  <si>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</si>
  <si>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</si>
  <si>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</si>
  <si>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</si>
  <si>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</si>
  <si>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</si>
  <si>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</si>
  <si>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</si>
  <si>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</si>
  <si>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</si>
  <si>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</si>
  <si>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</si>
  <si>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</si>
  <si>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</si>
  <si>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</si>
  <si>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</si>
  <si>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</si>
  <si>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</si>
  <si>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</si>
  <si>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</si>
  <si>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</si>
  <si>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</si>
  <si>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</si>
  <si>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</si>
  <si>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</si>
  <si>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</si>
  <si>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</si>
  <si>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</si>
  <si>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</si>
  <si>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</si>
  <si>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</si>
  <si>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</si>
  <si>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</si>
  <si>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</si>
  <si>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</si>
  <si>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</si>
  <si>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</si>
  <si>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</si>
  <si>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</si>
  <si>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</si>
  <si>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</si>
  <si>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</si>
  <si>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</si>
  <si>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</si>
  <si>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</si>
  <si>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</si>
  <si>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</si>
  <si>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</si>
  <si>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</si>
  <si>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</si>
  <si>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</si>
  <si>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</si>
  <si>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</si>
  <si>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</si>
  <si>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</si>
  <si>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</si>
  <si>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</si>
  <si>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</si>
  <si>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</si>
  <si>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</si>
  <si>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</si>
  <si>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</si>
  <si>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</si>
  <si>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</si>
  <si>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</si>
  <si>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</si>
  <si>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</si>
  <si>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</si>
  <si>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</si>
  <si>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</si>
  <si>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</si>
  <si>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</si>
  <si>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</si>
  <si>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</si>
  <si>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</si>
  <si>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</si>
  <si>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</si>
  <si>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</si>
  <si>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</si>
  <si>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</si>
  <si>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</si>
  <si>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</si>
  <si>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</si>
  <si>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</si>
  <si>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</si>
  <si>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</si>
  <si>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</si>
  <si>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</si>
  <si>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</si>
  <si>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</si>
  <si>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</si>
  <si>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</si>
  <si>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</si>
  <si>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</si>
  <si>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</si>
  <si>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</si>
  <si>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</si>
  <si>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</si>
  <si>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</si>
  <si>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</si>
  <si>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</si>
  <si>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</si>
  <si>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</si>
  <si>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</si>
  <si>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</si>
  <si>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</si>
  <si>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</si>
  <si>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</si>
  <si>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</si>
  <si>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</si>
  <si>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</si>
  <si>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</si>
  <si>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</si>
  <si>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</si>
  <si>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</si>
  <si>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</si>
  <si>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</si>
  <si>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</si>
  <si>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</si>
  <si>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</si>
  <si>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</si>
  <si>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</si>
  <si>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</si>
  <si>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</si>
  <si>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</si>
  <si>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</si>
  <si>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</si>
  <si>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</si>
  <si>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</si>
  <si>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</si>
  <si>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</si>
  <si>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</si>
  <si>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</si>
  <si>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</si>
  <si>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</si>
  <si>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</si>
  <si>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</si>
  <si>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</si>
  <si>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</si>
  <si>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</si>
  <si>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</si>
  <si>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</si>
  <si>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</si>
  <si>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</si>
  <si>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</si>
  <si>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</si>
  <si>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</si>
  <si>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</si>
  <si>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</si>
  <si>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</si>
  <si>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</si>
  <si>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</si>
  <si>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</si>
  <si>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</si>
  <si>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</si>
  <si>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</si>
  <si>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</si>
  <si>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</si>
  <si>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</si>
  <si>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</si>
  <si>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</si>
  <si>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</si>
  <si>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</si>
  <si>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</si>
  <si>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</si>
  <si>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</si>
  <si>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</si>
  <si>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</si>
  <si>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</si>
  <si>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</si>
  <si>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</si>
  <si>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</si>
  <si>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</si>
  <si>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</si>
  <si>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</si>
  <si>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</si>
  <si>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</si>
  <si>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</si>
  <si>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</si>
  <si>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</si>
  <si>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</si>
  <si>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</si>
  <si>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</si>
  <si>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</si>
  <si>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</si>
  <si>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</si>
  <si>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</si>
  <si>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</si>
  <si>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</si>
  <si>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</si>
  <si>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</si>
  <si>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</si>
  <si>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</si>
  <si>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</si>
  <si>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</si>
  <si>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</si>
  <si>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</si>
  <si>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</si>
  <si>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</si>
  <si>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</si>
  <si>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</si>
  <si>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</si>
  <si>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</si>
  <si>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</si>
  <si>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</si>
  <si>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</si>
  <si>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</si>
  <si>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</si>
  <si>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</si>
  <si>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</si>
  <si>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</si>
  <si>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</si>
  <si>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</si>
  <si>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</si>
  <si>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</si>
  <si>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</si>
  <si>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</si>
  <si>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</si>
  <si>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</si>
  <si>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</si>
  <si>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</si>
  <si>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</si>
  <si>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</si>
  <si>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</si>
  <si>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</si>
  <si>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</si>
  <si>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</si>
  <si>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</si>
  <si>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</si>
  <si>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</si>
  <si>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</si>
  <si>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</si>
  <si>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</si>
  <si>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</si>
  <si>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</si>
  <si>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</si>
  <si>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</si>
  <si>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</si>
  <si>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</si>
  <si>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</si>
  <si>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</si>
  <si>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</si>
  <si>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</si>
  <si>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</si>
  <si>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</si>
  <si>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</si>
  <si>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</si>
  <si>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</si>
  <si>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</si>
  <si>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</si>
  <si>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</si>
  <si>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</si>
  <si>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</si>
  <si>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</si>
  <si>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</si>
  <si>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</si>
  <si>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</si>
  <si>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</si>
  <si>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</si>
  <si>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</si>
  <si>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</si>
  <si>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</si>
  <si>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</si>
  <si>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</si>
  <si>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</si>
  <si>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</si>
  <si>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</si>
  <si>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</si>
  <si>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</si>
  <si>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</si>
  <si>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</si>
  <si>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</si>
  <si>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</si>
  <si>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</si>
  <si>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</si>
  <si>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</si>
  <si>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</si>
  <si>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</si>
  <si>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</si>
  <si>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</si>
  <si>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</si>
  <si>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</si>
  <si>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</si>
  <si>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</si>
  <si>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</si>
  <si>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</si>
  <si>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</si>
  <si>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</si>
  <si>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</si>
  <si>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</si>
  <si>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</si>
  <si>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</si>
  <si>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</si>
  <si>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</si>
  <si>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</si>
  <si>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</si>
  <si>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</si>
  <si>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</si>
  <si>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</si>
  <si>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</si>
  <si>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</si>
  <si>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</si>
  <si>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</si>
  <si>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</si>
  <si>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</si>
  <si>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</si>
  <si>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</si>
  <si>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</si>
  <si>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</si>
  <si>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</si>
  <si>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</si>
  <si>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</si>
  <si>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</si>
  <si>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</si>
  <si>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</si>
  <si>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</si>
  <si>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</si>
  <si>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</si>
  <si>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</si>
  <si>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</si>
  <si>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</si>
  <si>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</si>
  <si>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</si>
  <si>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</si>
  <si>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</si>
  <si>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</si>
  <si>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</si>
  <si>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</si>
  <si>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</si>
  <si>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</si>
  <si>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</si>
  <si>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</si>
  <si>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</si>
  <si>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</si>
  <si>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</si>
  <si>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</si>
  <si>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</si>
  <si>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</si>
  <si>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</si>
  <si>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</si>
  <si>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</si>
  <si>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</si>
  <si>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</si>
  <si>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</si>
  <si>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</si>
  <si>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</si>
  <si>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</si>
  <si>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</si>
  <si>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</si>
  <si>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</si>
  <si>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</si>
  <si>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</si>
  <si>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</si>
  <si>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</si>
  <si>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</si>
  <si>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</si>
  <si>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</si>
  <si>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</si>
  <si>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</si>
  <si>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</si>
  <si>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</si>
  <si>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</si>
  <si>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</si>
  <si>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</si>
  <si>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</si>
  <si>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</si>
  <si>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</si>
  <si>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</si>
  <si>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</si>
  <si>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</si>
  <si>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</si>
  <si>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</si>
  <si>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</si>
  <si>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</si>
  <si>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</si>
  <si>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</si>
  <si>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</si>
  <si>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</si>
  <si>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</si>
  <si>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</si>
  <si>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</si>
  <si>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</si>
  <si>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</si>
  <si>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</si>
  <si>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</si>
  <si>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</si>
  <si>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</si>
  <si>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</si>
  <si>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</si>
  <si>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</si>
  <si>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</si>
  <si>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</si>
  <si>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</si>
  <si>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</si>
  <si>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</si>
  <si>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</si>
  <si>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</si>
  <si>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</si>
  <si>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</si>
  <si>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</si>
  <si>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</si>
  <si>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</si>
  <si>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</si>
  <si>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</si>
  <si>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</si>
  <si>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</si>
  <si>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</si>
  <si>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</si>
  <si>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</si>
  <si>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</si>
  <si>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</si>
  <si>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</si>
  <si>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</si>
  <si>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</si>
  <si>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</si>
  <si>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</si>
  <si>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</si>
  <si>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</si>
  <si>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</si>
  <si>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</si>
  <si>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</si>
  <si>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</si>
  <si>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</si>
  <si>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</si>
  <si>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</si>
  <si>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</si>
  <si>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</si>
  <si>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</si>
  <si>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</si>
  <si>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</si>
  <si>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</si>
  <si>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</si>
  <si>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</si>
  <si>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31022</t>
  </si>
  <si>
    <t>OOSTKAMP</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</si>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</sst>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73F5292C-D9F3-4B16-9E31-84AF74B74963}"/>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31022</v>
      </c>
      <c r="B6" s="384"/>
      <c r="C6" s="385"/>
    </row>
    <row r="7" spans="1:7" s="382" customFormat="1" ht="15.75" customHeight="1">
      <c r="A7" s="386" t="str">
        <f>txtMunicipality</f>
        <v>OOSTKAMP</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31833.582531307526</v>
      </c>
      <c r="D10" s="674">
        <f ca="1">tertiair!C16</f>
        <v>0</v>
      </c>
      <c r="E10" s="674">
        <f ca="1">tertiair!D16</f>
        <v>21971.519488095004</v>
      </c>
      <c r="F10" s="674">
        <f>tertiair!E16</f>
        <v>635.53414629572717</v>
      </c>
      <c r="G10" s="674">
        <f ca="1">tertiair!F16</f>
        <v>5590.6963714527601</v>
      </c>
      <c r="H10" s="674">
        <f>tertiair!G16</f>
        <v>0</v>
      </c>
      <c r="I10" s="674">
        <f>tertiair!H16</f>
        <v>0</v>
      </c>
      <c r="J10" s="674">
        <f>tertiair!I16</f>
        <v>0</v>
      </c>
      <c r="K10" s="674">
        <f>tertiair!J16</f>
        <v>0</v>
      </c>
      <c r="L10" s="674">
        <f>tertiair!K16</f>
        <v>0</v>
      </c>
      <c r="M10" s="674">
        <f ca="1">tertiair!L16</f>
        <v>0</v>
      </c>
      <c r="N10" s="674">
        <f>tertiair!M16</f>
        <v>0</v>
      </c>
      <c r="O10" s="674">
        <f ca="1">tertiair!N16</f>
        <v>815.03373076345224</v>
      </c>
      <c r="P10" s="674">
        <f>tertiair!O16</f>
        <v>1.5633333333333335</v>
      </c>
      <c r="Q10" s="675">
        <f>tertiair!P16</f>
        <v>0</v>
      </c>
      <c r="R10" s="677">
        <f ca="1">SUM(C10:Q10)</f>
        <v>60847.929601247808</v>
      </c>
      <c r="S10" s="67"/>
    </row>
    <row r="11" spans="1:19" s="443" customFormat="1">
      <c r="A11" s="789" t="s">
        <v>214</v>
      </c>
      <c r="B11" s="794"/>
      <c r="C11" s="674">
        <f>huishoudens!B8</f>
        <v>46372.296706526555</v>
      </c>
      <c r="D11" s="674">
        <f>huishoudens!C8</f>
        <v>0</v>
      </c>
      <c r="E11" s="674">
        <f>huishoudens!D8</f>
        <v>66597.286120369114</v>
      </c>
      <c r="F11" s="674">
        <f>huishoudens!E8</f>
        <v>2202.9903239171658</v>
      </c>
      <c r="G11" s="674">
        <f>huishoudens!F8</f>
        <v>75197.743310947626</v>
      </c>
      <c r="H11" s="674">
        <f>huishoudens!G8</f>
        <v>0</v>
      </c>
      <c r="I11" s="674">
        <f>huishoudens!H8</f>
        <v>0</v>
      </c>
      <c r="J11" s="674">
        <f>huishoudens!I8</f>
        <v>0</v>
      </c>
      <c r="K11" s="674">
        <f>huishoudens!J8</f>
        <v>1693.262531487735</v>
      </c>
      <c r="L11" s="674">
        <f>huishoudens!K8</f>
        <v>0</v>
      </c>
      <c r="M11" s="674">
        <f>huishoudens!L8</f>
        <v>0</v>
      </c>
      <c r="N11" s="674">
        <f>huishoudens!M8</f>
        <v>0</v>
      </c>
      <c r="O11" s="674">
        <f>huishoudens!N8</f>
        <v>11242.214449488611</v>
      </c>
      <c r="P11" s="674">
        <f>huishoudens!O8</f>
        <v>121.94000000000001</v>
      </c>
      <c r="Q11" s="675">
        <f>huishoudens!P8</f>
        <v>419.4666666666667</v>
      </c>
      <c r="R11" s="677">
        <f>SUM(C11:Q11)</f>
        <v>203847.20010940349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26713.176920590806</v>
      </c>
      <c r="D13" s="674">
        <f>industrie!C18</f>
        <v>0</v>
      </c>
      <c r="E13" s="674">
        <f>industrie!D18</f>
        <v>28819.066479258359</v>
      </c>
      <c r="F13" s="674">
        <f>industrie!E18</f>
        <v>347.82421271125565</v>
      </c>
      <c r="G13" s="674">
        <f>industrie!F18</f>
        <v>6600.5369834526518</v>
      </c>
      <c r="H13" s="674">
        <f>industrie!G18</f>
        <v>0</v>
      </c>
      <c r="I13" s="674">
        <f>industrie!H18</f>
        <v>0</v>
      </c>
      <c r="J13" s="674">
        <f>industrie!I18</f>
        <v>0</v>
      </c>
      <c r="K13" s="674">
        <f>industrie!J18</f>
        <v>149.14093450025044</v>
      </c>
      <c r="L13" s="674">
        <f>industrie!K18</f>
        <v>0</v>
      </c>
      <c r="M13" s="674">
        <f>industrie!L18</f>
        <v>0</v>
      </c>
      <c r="N13" s="674">
        <f>industrie!M18</f>
        <v>0</v>
      </c>
      <c r="O13" s="674">
        <f>industrie!N18</f>
        <v>515.30093068677309</v>
      </c>
      <c r="P13" s="674">
        <f>industrie!O18</f>
        <v>0</v>
      </c>
      <c r="Q13" s="675">
        <f>industrie!P18</f>
        <v>0</v>
      </c>
      <c r="R13" s="677">
        <f>SUM(C13:Q13)</f>
        <v>63145.046461200094</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104919.05615842488</v>
      </c>
      <c r="D16" s="707">
        <f t="shared" ref="D16:R16" ca="1" si="0">SUM(D9:D15)</f>
        <v>0</v>
      </c>
      <c r="E16" s="707">
        <f t="shared" ca="1" si="0"/>
        <v>117387.87208772247</v>
      </c>
      <c r="F16" s="707">
        <f t="shared" si="0"/>
        <v>3186.3486829241488</v>
      </c>
      <c r="G16" s="707">
        <f t="shared" ca="1" si="0"/>
        <v>87388.976665853043</v>
      </c>
      <c r="H16" s="707">
        <f t="shared" si="0"/>
        <v>0</v>
      </c>
      <c r="I16" s="707">
        <f t="shared" si="0"/>
        <v>0</v>
      </c>
      <c r="J16" s="707">
        <f t="shared" si="0"/>
        <v>0</v>
      </c>
      <c r="K16" s="707">
        <f t="shared" si="0"/>
        <v>1842.4034659879856</v>
      </c>
      <c r="L16" s="707">
        <f t="shared" si="0"/>
        <v>0</v>
      </c>
      <c r="M16" s="707">
        <f t="shared" ca="1" si="0"/>
        <v>0</v>
      </c>
      <c r="N16" s="707">
        <f t="shared" si="0"/>
        <v>0</v>
      </c>
      <c r="O16" s="707">
        <f t="shared" ca="1" si="0"/>
        <v>12572.549110938837</v>
      </c>
      <c r="P16" s="707">
        <f t="shared" si="0"/>
        <v>123.50333333333334</v>
      </c>
      <c r="Q16" s="707">
        <f t="shared" si="0"/>
        <v>419.4666666666667</v>
      </c>
      <c r="R16" s="707">
        <f t="shared" ca="1" si="0"/>
        <v>327840.1761718514</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8.4257884247141135</v>
      </c>
      <c r="D19" s="674">
        <f>transport!C54</f>
        <v>0</v>
      </c>
      <c r="E19" s="674">
        <f>transport!D54</f>
        <v>0</v>
      </c>
      <c r="F19" s="674">
        <f>transport!E54</f>
        <v>0</v>
      </c>
      <c r="G19" s="674">
        <f>transport!F54</f>
        <v>0</v>
      </c>
      <c r="H19" s="674">
        <f>transport!G54</f>
        <v>1827.8902050194201</v>
      </c>
      <c r="I19" s="674">
        <f>transport!H54</f>
        <v>0</v>
      </c>
      <c r="J19" s="674">
        <f>transport!I54</f>
        <v>0</v>
      </c>
      <c r="K19" s="674">
        <f>transport!J54</f>
        <v>0</v>
      </c>
      <c r="L19" s="674">
        <f>transport!K54</f>
        <v>0</v>
      </c>
      <c r="M19" s="674">
        <f>transport!L54</f>
        <v>0</v>
      </c>
      <c r="N19" s="674">
        <f>transport!M54</f>
        <v>78.263237197458736</v>
      </c>
      <c r="O19" s="674">
        <f>transport!N54</f>
        <v>0</v>
      </c>
      <c r="P19" s="674">
        <f>transport!O54</f>
        <v>0</v>
      </c>
      <c r="Q19" s="675">
        <f>transport!P54</f>
        <v>0</v>
      </c>
      <c r="R19" s="677">
        <f>SUM(C19:Q19)</f>
        <v>1914.5792306415929</v>
      </c>
      <c r="S19" s="67"/>
    </row>
    <row r="20" spans="1:19" s="443" customFormat="1">
      <c r="A20" s="789" t="s">
        <v>296</v>
      </c>
      <c r="B20" s="794"/>
      <c r="C20" s="674">
        <f>transport!B14</f>
        <v>4.2588228919092277</v>
      </c>
      <c r="D20" s="674">
        <f>transport!C14</f>
        <v>0</v>
      </c>
      <c r="E20" s="674">
        <f>transport!D14</f>
        <v>13.365586872164975</v>
      </c>
      <c r="F20" s="674">
        <f>transport!E14</f>
        <v>1584.141779089106</v>
      </c>
      <c r="G20" s="674">
        <f>transport!F14</f>
        <v>0</v>
      </c>
      <c r="H20" s="674">
        <f>transport!G14</f>
        <v>329506.64071084122</v>
      </c>
      <c r="I20" s="674">
        <f>transport!H14</f>
        <v>45938.329461156303</v>
      </c>
      <c r="J20" s="674">
        <f>transport!I14</f>
        <v>0</v>
      </c>
      <c r="K20" s="674">
        <f>transport!J14</f>
        <v>0</v>
      </c>
      <c r="L20" s="674">
        <f>transport!K14</f>
        <v>0</v>
      </c>
      <c r="M20" s="674">
        <f>transport!L14</f>
        <v>0</v>
      </c>
      <c r="N20" s="674">
        <f>transport!M14</f>
        <v>16309.188914132836</v>
      </c>
      <c r="O20" s="674">
        <f>transport!N14</f>
        <v>0</v>
      </c>
      <c r="P20" s="674">
        <f>transport!O14</f>
        <v>0</v>
      </c>
      <c r="Q20" s="675">
        <f>transport!P14</f>
        <v>0</v>
      </c>
      <c r="R20" s="677">
        <f>SUM(C20:Q20)</f>
        <v>393355.92527498357</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12.684611316623341</v>
      </c>
      <c r="D22" s="792">
        <f t="shared" ref="D22:R22" si="1">SUM(D18:D21)</f>
        <v>0</v>
      </c>
      <c r="E22" s="792">
        <f t="shared" si="1"/>
        <v>13.365586872164975</v>
      </c>
      <c r="F22" s="792">
        <f t="shared" si="1"/>
        <v>1584.141779089106</v>
      </c>
      <c r="G22" s="792">
        <f t="shared" si="1"/>
        <v>0</v>
      </c>
      <c r="H22" s="792">
        <f t="shared" si="1"/>
        <v>331334.53091586067</v>
      </c>
      <c r="I22" s="792">
        <f t="shared" si="1"/>
        <v>45938.329461156303</v>
      </c>
      <c r="J22" s="792">
        <f t="shared" si="1"/>
        <v>0</v>
      </c>
      <c r="K22" s="792">
        <f t="shared" si="1"/>
        <v>0</v>
      </c>
      <c r="L22" s="792">
        <f t="shared" si="1"/>
        <v>0</v>
      </c>
      <c r="M22" s="792">
        <f t="shared" si="1"/>
        <v>0</v>
      </c>
      <c r="N22" s="792">
        <f t="shared" si="1"/>
        <v>16387.452151330293</v>
      </c>
      <c r="O22" s="792">
        <f t="shared" si="1"/>
        <v>0</v>
      </c>
      <c r="P22" s="792">
        <f t="shared" si="1"/>
        <v>0</v>
      </c>
      <c r="Q22" s="792">
        <f t="shared" si="1"/>
        <v>0</v>
      </c>
      <c r="R22" s="792">
        <f t="shared" si="1"/>
        <v>395270.50450562517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3884.917345142363</v>
      </c>
      <c r="D24" s="674">
        <f>+landbouw!C8</f>
        <v>0</v>
      </c>
      <c r="E24" s="674">
        <f>+landbouw!D8</f>
        <v>192.85186224670932</v>
      </c>
      <c r="F24" s="674">
        <f>+landbouw!E8</f>
        <v>40.683695488638214</v>
      </c>
      <c r="G24" s="674">
        <f>+landbouw!F8</f>
        <v>16630.398147466974</v>
      </c>
      <c r="H24" s="674">
        <f>+landbouw!G8</f>
        <v>0</v>
      </c>
      <c r="I24" s="674">
        <f>+landbouw!H8</f>
        <v>0</v>
      </c>
      <c r="J24" s="674">
        <f>+landbouw!I8</f>
        <v>0</v>
      </c>
      <c r="K24" s="674">
        <f>+landbouw!J8</f>
        <v>346.95794002941381</v>
      </c>
      <c r="L24" s="674">
        <f>+landbouw!K8</f>
        <v>0</v>
      </c>
      <c r="M24" s="674">
        <f>+landbouw!L8</f>
        <v>0</v>
      </c>
      <c r="N24" s="674">
        <f>+landbouw!M8</f>
        <v>0</v>
      </c>
      <c r="O24" s="674">
        <f>+landbouw!N8</f>
        <v>0</v>
      </c>
      <c r="P24" s="674">
        <f>+landbouw!O8</f>
        <v>0</v>
      </c>
      <c r="Q24" s="675">
        <f>+landbouw!P8</f>
        <v>0</v>
      </c>
      <c r="R24" s="677">
        <f>SUM(C24:Q24)</f>
        <v>21095.808990374098</v>
      </c>
      <c r="S24" s="67"/>
    </row>
    <row r="25" spans="1:19" s="443" customFormat="1" ht="15" thickBot="1">
      <c r="A25" s="811" t="s">
        <v>889</v>
      </c>
      <c r="B25" s="966"/>
      <c r="C25" s="967">
        <f>IF(Onbekend_ele_kWh="---",0,Onbekend_ele_kWh)/1000+IF(REST_rest_ele_kWh="---",0,REST_rest_ele_kWh)/1000</f>
        <v>3073.5037441644999</v>
      </c>
      <c r="D25" s="967"/>
      <c r="E25" s="967">
        <f>IF(onbekend_gas_kWh="---",0,onbekend_gas_kWh)/1000+IF(REST_rest_gas_kWh="---",0,REST_rest_gas_kWh)/1000</f>
        <v>4133.8946036409197</v>
      </c>
      <c r="F25" s="967"/>
      <c r="G25" s="967"/>
      <c r="H25" s="967"/>
      <c r="I25" s="967"/>
      <c r="J25" s="967"/>
      <c r="K25" s="967"/>
      <c r="L25" s="967"/>
      <c r="M25" s="967"/>
      <c r="N25" s="967"/>
      <c r="O25" s="967"/>
      <c r="P25" s="967"/>
      <c r="Q25" s="968"/>
      <c r="R25" s="677">
        <f>SUM(C25:Q25)</f>
        <v>7207.3983478054197</v>
      </c>
      <c r="S25" s="67"/>
    </row>
    <row r="26" spans="1:19" s="443" customFormat="1" ht="15.75" thickBot="1">
      <c r="A26" s="680" t="s">
        <v>890</v>
      </c>
      <c r="B26" s="797"/>
      <c r="C26" s="792">
        <f>SUM(C24:C25)</f>
        <v>6958.421089306863</v>
      </c>
      <c r="D26" s="792">
        <f t="shared" ref="D26:R26" si="2">SUM(D24:D25)</f>
        <v>0</v>
      </c>
      <c r="E26" s="792">
        <f t="shared" si="2"/>
        <v>4326.7464658876288</v>
      </c>
      <c r="F26" s="792">
        <f t="shared" si="2"/>
        <v>40.683695488638214</v>
      </c>
      <c r="G26" s="792">
        <f t="shared" si="2"/>
        <v>16630.398147466974</v>
      </c>
      <c r="H26" s="792">
        <f t="shared" si="2"/>
        <v>0</v>
      </c>
      <c r="I26" s="792">
        <f t="shared" si="2"/>
        <v>0</v>
      </c>
      <c r="J26" s="792">
        <f t="shared" si="2"/>
        <v>0</v>
      </c>
      <c r="K26" s="792">
        <f t="shared" si="2"/>
        <v>346.95794002941381</v>
      </c>
      <c r="L26" s="792">
        <f t="shared" si="2"/>
        <v>0</v>
      </c>
      <c r="M26" s="792">
        <f t="shared" si="2"/>
        <v>0</v>
      </c>
      <c r="N26" s="792">
        <f t="shared" si="2"/>
        <v>0</v>
      </c>
      <c r="O26" s="792">
        <f t="shared" si="2"/>
        <v>0</v>
      </c>
      <c r="P26" s="792">
        <f t="shared" si="2"/>
        <v>0</v>
      </c>
      <c r="Q26" s="792">
        <f t="shared" si="2"/>
        <v>0</v>
      </c>
      <c r="R26" s="792">
        <f t="shared" si="2"/>
        <v>28303.20733817952</v>
      </c>
      <c r="S26" s="67"/>
    </row>
    <row r="27" spans="1:19" s="443" customFormat="1" ht="17.25" thickTop="1" thickBot="1">
      <c r="A27" s="681" t="s">
        <v>109</v>
      </c>
      <c r="B27" s="784"/>
      <c r="C27" s="682">
        <f ca="1">C22+C16+C26</f>
        <v>111890.16185904837</v>
      </c>
      <c r="D27" s="682">
        <f t="shared" ref="D27:R27" ca="1" si="3">D22+D16+D26</f>
        <v>0</v>
      </c>
      <c r="E27" s="682">
        <f t="shared" ca="1" si="3"/>
        <v>121727.98414048227</v>
      </c>
      <c r="F27" s="682">
        <f t="shared" si="3"/>
        <v>4811.1741575018932</v>
      </c>
      <c r="G27" s="682">
        <f t="shared" ca="1" si="3"/>
        <v>104019.37481332001</v>
      </c>
      <c r="H27" s="682">
        <f t="shared" si="3"/>
        <v>331334.53091586067</v>
      </c>
      <c r="I27" s="682">
        <f t="shared" si="3"/>
        <v>45938.329461156303</v>
      </c>
      <c r="J27" s="682">
        <f t="shared" si="3"/>
        <v>0</v>
      </c>
      <c r="K27" s="682">
        <f t="shared" si="3"/>
        <v>2189.3614060173995</v>
      </c>
      <c r="L27" s="682">
        <f t="shared" si="3"/>
        <v>0</v>
      </c>
      <c r="M27" s="682">
        <f t="shared" ca="1" si="3"/>
        <v>0</v>
      </c>
      <c r="N27" s="682">
        <f t="shared" si="3"/>
        <v>16387.452151330293</v>
      </c>
      <c r="O27" s="682">
        <f t="shared" ca="1" si="3"/>
        <v>12572.549110938837</v>
      </c>
      <c r="P27" s="682">
        <f t="shared" si="3"/>
        <v>123.50333333333334</v>
      </c>
      <c r="Q27" s="682">
        <f t="shared" si="3"/>
        <v>419.4666666666667</v>
      </c>
      <c r="R27" s="682">
        <f t="shared" ca="1" si="3"/>
        <v>751413.88801565603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6757.3557003605665</v>
      </c>
      <c r="D40" s="674">
        <f ca="1">tertiair!C20</f>
        <v>0</v>
      </c>
      <c r="E40" s="674">
        <f ca="1">tertiair!D20</f>
        <v>4438.2469365951911</v>
      </c>
      <c r="F40" s="674">
        <f>tertiair!E20</f>
        <v>144.26625120913008</v>
      </c>
      <c r="G40" s="674">
        <f ca="1">tertiair!F20</f>
        <v>1492.7159311778871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12832.584819342776</v>
      </c>
    </row>
    <row r="41" spans="1:18">
      <c r="A41" s="802" t="s">
        <v>214</v>
      </c>
      <c r="B41" s="809"/>
      <c r="C41" s="674">
        <f ca="1">huishoudens!B12</f>
        <v>9843.5073457561011</v>
      </c>
      <c r="D41" s="674">
        <f ca="1">huishoudens!C12</f>
        <v>0</v>
      </c>
      <c r="E41" s="674">
        <f>huishoudens!D12</f>
        <v>13452.651796314562</v>
      </c>
      <c r="F41" s="674">
        <f>huishoudens!E12</f>
        <v>500.07880352919665</v>
      </c>
      <c r="G41" s="674">
        <f>huishoudens!F12</f>
        <v>20077.797464023017</v>
      </c>
      <c r="H41" s="674">
        <f>huishoudens!G12</f>
        <v>0</v>
      </c>
      <c r="I41" s="674">
        <f>huishoudens!H12</f>
        <v>0</v>
      </c>
      <c r="J41" s="674">
        <f>huishoudens!I12</f>
        <v>0</v>
      </c>
      <c r="K41" s="674">
        <f>huishoudens!J12</f>
        <v>599.41493614665819</v>
      </c>
      <c r="L41" s="674">
        <f>huishoudens!K12</f>
        <v>0</v>
      </c>
      <c r="M41" s="674">
        <f>huishoudens!L12</f>
        <v>0</v>
      </c>
      <c r="N41" s="674">
        <f>huishoudens!M12</f>
        <v>0</v>
      </c>
      <c r="O41" s="674">
        <f>huishoudens!N12</f>
        <v>0</v>
      </c>
      <c r="P41" s="674">
        <f>huishoudens!O12</f>
        <v>0</v>
      </c>
      <c r="Q41" s="749">
        <f>huishoudens!P12</f>
        <v>0</v>
      </c>
      <c r="R41" s="830">
        <f t="shared" ca="1" si="4"/>
        <v>44473.450345769525</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5670.4405846111458</v>
      </c>
      <c r="D43" s="674">
        <f ca="1">industrie!C22</f>
        <v>0</v>
      </c>
      <c r="E43" s="674">
        <f>industrie!D22</f>
        <v>5821.4514288101891</v>
      </c>
      <c r="F43" s="674">
        <f>industrie!E22</f>
        <v>78.956096285455033</v>
      </c>
      <c r="G43" s="674">
        <f>industrie!F22</f>
        <v>1762.3433745818581</v>
      </c>
      <c r="H43" s="674">
        <f>industrie!G22</f>
        <v>0</v>
      </c>
      <c r="I43" s="674">
        <f>industrie!H22</f>
        <v>0</v>
      </c>
      <c r="J43" s="674">
        <f>industrie!I22</f>
        <v>0</v>
      </c>
      <c r="K43" s="674">
        <f>industrie!J22</f>
        <v>52.795890813088654</v>
      </c>
      <c r="L43" s="674">
        <f>industrie!K22</f>
        <v>0</v>
      </c>
      <c r="M43" s="674">
        <f>industrie!L22</f>
        <v>0</v>
      </c>
      <c r="N43" s="674">
        <f>industrie!M22</f>
        <v>0</v>
      </c>
      <c r="O43" s="674">
        <f>industrie!N22</f>
        <v>0</v>
      </c>
      <c r="P43" s="674">
        <f>industrie!O22</f>
        <v>0</v>
      </c>
      <c r="Q43" s="749">
        <f>industrie!P22</f>
        <v>0</v>
      </c>
      <c r="R43" s="829">
        <f t="shared" ca="1" si="4"/>
        <v>13385.987375101739</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22271.303630727816</v>
      </c>
      <c r="D46" s="707">
        <f t="shared" ref="D46:Q46" ca="1" si="5">SUM(D39:D45)</f>
        <v>0</v>
      </c>
      <c r="E46" s="707">
        <f t="shared" ca="1" si="5"/>
        <v>23712.35016171994</v>
      </c>
      <c r="F46" s="707">
        <f t="shared" si="5"/>
        <v>723.30115102378181</v>
      </c>
      <c r="G46" s="707">
        <f t="shared" ca="1" si="5"/>
        <v>23332.856769782764</v>
      </c>
      <c r="H46" s="707">
        <f t="shared" si="5"/>
        <v>0</v>
      </c>
      <c r="I46" s="707">
        <f t="shared" si="5"/>
        <v>0</v>
      </c>
      <c r="J46" s="707">
        <f t="shared" si="5"/>
        <v>0</v>
      </c>
      <c r="K46" s="707">
        <f t="shared" si="5"/>
        <v>652.2108269597469</v>
      </c>
      <c r="L46" s="707">
        <f t="shared" si="5"/>
        <v>0</v>
      </c>
      <c r="M46" s="707">
        <f t="shared" ca="1" si="5"/>
        <v>0</v>
      </c>
      <c r="N46" s="707">
        <f t="shared" si="5"/>
        <v>0</v>
      </c>
      <c r="O46" s="707">
        <f t="shared" ca="1" si="5"/>
        <v>0</v>
      </c>
      <c r="P46" s="707">
        <f t="shared" si="5"/>
        <v>0</v>
      </c>
      <c r="Q46" s="707">
        <f t="shared" si="5"/>
        <v>0</v>
      </c>
      <c r="R46" s="707">
        <f ca="1">SUM(R39:R45)</f>
        <v>70692.022540214035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1.7885529970049343</v>
      </c>
      <c r="D49" s="674">
        <f ca="1">transport!C58</f>
        <v>0</v>
      </c>
      <c r="E49" s="674">
        <f>transport!D58</f>
        <v>0</v>
      </c>
      <c r="F49" s="674">
        <f>transport!E58</f>
        <v>0</v>
      </c>
      <c r="G49" s="674">
        <f>transport!F58</f>
        <v>0</v>
      </c>
      <c r="H49" s="674">
        <f>transport!G58</f>
        <v>488.04668474018519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489.83523773719014</v>
      </c>
    </row>
    <row r="50" spans="1:18">
      <c r="A50" s="805" t="s">
        <v>296</v>
      </c>
      <c r="B50" s="815"/>
      <c r="C50" s="973">
        <f ca="1">transport!B18</f>
        <v>0.90402583866161101</v>
      </c>
      <c r="D50" s="973">
        <f>transport!C18</f>
        <v>0</v>
      </c>
      <c r="E50" s="973">
        <f>transport!D18</f>
        <v>2.6998485481773251</v>
      </c>
      <c r="F50" s="973">
        <f>transport!E18</f>
        <v>359.60018385322707</v>
      </c>
      <c r="G50" s="973">
        <f>transport!F18</f>
        <v>0</v>
      </c>
      <c r="H50" s="973">
        <f>transport!G18</f>
        <v>87978.27306979461</v>
      </c>
      <c r="I50" s="973">
        <f>transport!H18</f>
        <v>11438.64403582792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99780.121163862597</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2.6925788356665454</v>
      </c>
      <c r="D52" s="707">
        <f t="shared" ref="D52:Q52" ca="1" si="6">SUM(D48:D51)</f>
        <v>0</v>
      </c>
      <c r="E52" s="707">
        <f t="shared" si="6"/>
        <v>2.6998485481773251</v>
      </c>
      <c r="F52" s="707">
        <f t="shared" si="6"/>
        <v>359.60018385322707</v>
      </c>
      <c r="G52" s="707">
        <f t="shared" si="6"/>
        <v>0</v>
      </c>
      <c r="H52" s="707">
        <f t="shared" si="6"/>
        <v>88466.319754534794</v>
      </c>
      <c r="I52" s="707">
        <f t="shared" si="6"/>
        <v>11438.64403582792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100269.95640159979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824.65642507592213</v>
      </c>
      <c r="D54" s="973">
        <f ca="1">+landbouw!C12</f>
        <v>0</v>
      </c>
      <c r="E54" s="973">
        <f>+landbouw!D12</f>
        <v>38.956076173835285</v>
      </c>
      <c r="F54" s="973">
        <f>+landbouw!E12</f>
        <v>9.2351988759208758</v>
      </c>
      <c r="G54" s="973">
        <f>+landbouw!F12</f>
        <v>4440.3163053736826</v>
      </c>
      <c r="H54" s="973">
        <f>+landbouw!G12</f>
        <v>0</v>
      </c>
      <c r="I54" s="973">
        <f>+landbouw!H12</f>
        <v>0</v>
      </c>
      <c r="J54" s="973">
        <f>+landbouw!I12</f>
        <v>0</v>
      </c>
      <c r="K54" s="973">
        <f>+landbouw!J12</f>
        <v>122.82311077041248</v>
      </c>
      <c r="L54" s="973">
        <f>+landbouw!K12</f>
        <v>0</v>
      </c>
      <c r="M54" s="973">
        <f>+landbouw!L12</f>
        <v>0</v>
      </c>
      <c r="N54" s="973">
        <f>+landbouw!M12</f>
        <v>0</v>
      </c>
      <c r="O54" s="973">
        <f>+landbouw!N12</f>
        <v>0</v>
      </c>
      <c r="P54" s="973">
        <f>+landbouw!O12</f>
        <v>0</v>
      </c>
      <c r="Q54" s="974">
        <f>+landbouw!P12</f>
        <v>0</v>
      </c>
      <c r="R54" s="706">
        <f ca="1">SUM(C54:Q54)</f>
        <v>5435.9871162697727</v>
      </c>
    </row>
    <row r="55" spans="1:18" ht="15" thickBot="1">
      <c r="A55" s="805" t="s">
        <v>889</v>
      </c>
      <c r="B55" s="815"/>
      <c r="C55" s="973">
        <f ca="1">C25*'EF ele_warmte'!B12</f>
        <v>652.41661146005106</v>
      </c>
      <c r="D55" s="973"/>
      <c r="E55" s="973">
        <f>E25*EF_CO2_aardgas</f>
        <v>835.04670993546586</v>
      </c>
      <c r="F55" s="973"/>
      <c r="G55" s="973"/>
      <c r="H55" s="973"/>
      <c r="I55" s="973"/>
      <c r="J55" s="973"/>
      <c r="K55" s="973"/>
      <c r="L55" s="973"/>
      <c r="M55" s="973"/>
      <c r="N55" s="973"/>
      <c r="O55" s="973"/>
      <c r="P55" s="973"/>
      <c r="Q55" s="974"/>
      <c r="R55" s="706">
        <f ca="1">SUM(C55:Q55)</f>
        <v>1487.4633213955169</v>
      </c>
    </row>
    <row r="56" spans="1:18" ht="15.75" thickBot="1">
      <c r="A56" s="803" t="s">
        <v>890</v>
      </c>
      <c r="B56" s="816"/>
      <c r="C56" s="707">
        <f ca="1">SUM(C54:C55)</f>
        <v>1477.0730365359732</v>
      </c>
      <c r="D56" s="707">
        <f t="shared" ref="D56:Q56" ca="1" si="7">SUM(D54:D55)</f>
        <v>0</v>
      </c>
      <c r="E56" s="707">
        <f t="shared" si="7"/>
        <v>874.00278610930116</v>
      </c>
      <c r="F56" s="707">
        <f t="shared" si="7"/>
        <v>9.2351988759208758</v>
      </c>
      <c r="G56" s="707">
        <f t="shared" si="7"/>
        <v>4440.3163053736826</v>
      </c>
      <c r="H56" s="707">
        <f t="shared" si="7"/>
        <v>0</v>
      </c>
      <c r="I56" s="707">
        <f t="shared" si="7"/>
        <v>0</v>
      </c>
      <c r="J56" s="707">
        <f t="shared" si="7"/>
        <v>0</v>
      </c>
      <c r="K56" s="707">
        <f t="shared" si="7"/>
        <v>122.82311077041248</v>
      </c>
      <c r="L56" s="707">
        <f t="shared" si="7"/>
        <v>0</v>
      </c>
      <c r="M56" s="707">
        <f t="shared" si="7"/>
        <v>0</v>
      </c>
      <c r="N56" s="707">
        <f t="shared" si="7"/>
        <v>0</v>
      </c>
      <c r="O56" s="707">
        <f t="shared" si="7"/>
        <v>0</v>
      </c>
      <c r="P56" s="707">
        <f t="shared" si="7"/>
        <v>0</v>
      </c>
      <c r="Q56" s="708">
        <f t="shared" si="7"/>
        <v>0</v>
      </c>
      <c r="R56" s="709">
        <f ca="1">SUM(R54:R55)</f>
        <v>6923.4504376652894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23751.069246099458</v>
      </c>
      <c r="D61" s="715">
        <f t="shared" ref="D61:Q61" ca="1" si="8">D46+D52+D56</f>
        <v>0</v>
      </c>
      <c r="E61" s="715">
        <f t="shared" ca="1" si="8"/>
        <v>24589.052796377418</v>
      </c>
      <c r="F61" s="715">
        <f t="shared" si="8"/>
        <v>1092.1365337529296</v>
      </c>
      <c r="G61" s="715">
        <f t="shared" ca="1" si="8"/>
        <v>27773.173075156446</v>
      </c>
      <c r="H61" s="715">
        <f t="shared" si="8"/>
        <v>88466.319754534794</v>
      </c>
      <c r="I61" s="715">
        <f t="shared" si="8"/>
        <v>11438.64403582792</v>
      </c>
      <c r="J61" s="715">
        <f t="shared" si="8"/>
        <v>0</v>
      </c>
      <c r="K61" s="715">
        <f t="shared" si="8"/>
        <v>775.03393773015932</v>
      </c>
      <c r="L61" s="715">
        <f t="shared" si="8"/>
        <v>0</v>
      </c>
      <c r="M61" s="715">
        <f t="shared" ca="1" si="8"/>
        <v>0</v>
      </c>
      <c r="N61" s="715">
        <f t="shared" si="8"/>
        <v>0</v>
      </c>
      <c r="O61" s="715">
        <f t="shared" ca="1" si="8"/>
        <v>0</v>
      </c>
      <c r="P61" s="715">
        <f t="shared" si="8"/>
        <v>0</v>
      </c>
      <c r="Q61" s="715">
        <f t="shared" si="8"/>
        <v>0</v>
      </c>
      <c r="R61" s="715">
        <f ca="1">R46+R52+R56</f>
        <v>177885.42937947909</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0.21227129223407007</v>
      </c>
      <c r="D63" s="759">
        <f t="shared" ca="1" si="9"/>
        <v>0</v>
      </c>
      <c r="E63" s="975">
        <f t="shared" ca="1" si="9"/>
        <v>0.20200000000000001</v>
      </c>
      <c r="F63" s="759">
        <f t="shared" si="9"/>
        <v>0.22699999999999998</v>
      </c>
      <c r="G63" s="759">
        <f t="shared" ca="1" si="9"/>
        <v>0.26700000000000002</v>
      </c>
      <c r="H63" s="759">
        <f t="shared" si="9"/>
        <v>0.26699999999999996</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4419.260292987502</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4419.260292987502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46372.296706526555</v>
      </c>
      <c r="C4" s="447">
        <f>huishoudens!C8</f>
        <v>0</v>
      </c>
      <c r="D4" s="447">
        <f>huishoudens!D8</f>
        <v>66597.286120369114</v>
      </c>
      <c r="E4" s="447">
        <f>huishoudens!E8</f>
        <v>2202.9903239171658</v>
      </c>
      <c r="F4" s="447">
        <f>huishoudens!F8</f>
        <v>75197.743310947626</v>
      </c>
      <c r="G4" s="447">
        <f>huishoudens!G8</f>
        <v>0</v>
      </c>
      <c r="H4" s="447">
        <f>huishoudens!H8</f>
        <v>0</v>
      </c>
      <c r="I4" s="447">
        <f>huishoudens!I8</f>
        <v>0</v>
      </c>
      <c r="J4" s="447">
        <f>huishoudens!J8</f>
        <v>1693.262531487735</v>
      </c>
      <c r="K4" s="447">
        <f>huishoudens!K8</f>
        <v>0</v>
      </c>
      <c r="L4" s="447">
        <f>huishoudens!L8</f>
        <v>0</v>
      </c>
      <c r="M4" s="447">
        <f>huishoudens!M8</f>
        <v>0</v>
      </c>
      <c r="N4" s="447">
        <f>huishoudens!N8</f>
        <v>11242.214449488611</v>
      </c>
      <c r="O4" s="447">
        <f>huishoudens!O8</f>
        <v>121.94000000000001</v>
      </c>
      <c r="P4" s="448">
        <f>huishoudens!P8</f>
        <v>419.4666666666667</v>
      </c>
      <c r="Q4" s="449">
        <f>SUM(B4:P4)</f>
        <v>203847.20010940349</v>
      </c>
    </row>
    <row r="5" spans="1:17">
      <c r="A5" s="446" t="s">
        <v>149</v>
      </c>
      <c r="B5" s="447">
        <f ca="1">tertiair!B16</f>
        <v>30268.485531307524</v>
      </c>
      <c r="C5" s="447">
        <f ca="1">tertiair!C16</f>
        <v>0</v>
      </c>
      <c r="D5" s="447">
        <f ca="1">tertiair!D16</f>
        <v>21971.519488095004</v>
      </c>
      <c r="E5" s="447">
        <f>tertiair!E16</f>
        <v>635.53414629572717</v>
      </c>
      <c r="F5" s="447">
        <f ca="1">tertiair!F16</f>
        <v>5590.6963714527601</v>
      </c>
      <c r="G5" s="447">
        <f>tertiair!G16</f>
        <v>0</v>
      </c>
      <c r="H5" s="447">
        <f>tertiair!H16</f>
        <v>0</v>
      </c>
      <c r="I5" s="447">
        <f>tertiair!I16</f>
        <v>0</v>
      </c>
      <c r="J5" s="447">
        <f>tertiair!J16</f>
        <v>0</v>
      </c>
      <c r="K5" s="447">
        <f>tertiair!K16</f>
        <v>0</v>
      </c>
      <c r="L5" s="447">
        <f ca="1">tertiair!L16</f>
        <v>0</v>
      </c>
      <c r="M5" s="447">
        <f>tertiair!M16</f>
        <v>0</v>
      </c>
      <c r="N5" s="447">
        <f ca="1">tertiair!N16</f>
        <v>815.03373076345224</v>
      </c>
      <c r="O5" s="447">
        <f>tertiair!O16</f>
        <v>1.5633333333333335</v>
      </c>
      <c r="P5" s="448">
        <f>tertiair!P16</f>
        <v>0</v>
      </c>
      <c r="Q5" s="446">
        <f t="shared" ref="Q5:Q14" ca="1" si="0">SUM(B5:P5)</f>
        <v>59282.832601247799</v>
      </c>
    </row>
    <row r="6" spans="1:17">
      <c r="A6" s="446" t="s">
        <v>187</v>
      </c>
      <c r="B6" s="447">
        <f>'openbare verlichting'!B8</f>
        <v>1565.097</v>
      </c>
      <c r="C6" s="447"/>
      <c r="D6" s="447"/>
      <c r="E6" s="447"/>
      <c r="F6" s="447"/>
      <c r="G6" s="447"/>
      <c r="H6" s="447"/>
      <c r="I6" s="447"/>
      <c r="J6" s="447"/>
      <c r="K6" s="447"/>
      <c r="L6" s="447"/>
      <c r="M6" s="447"/>
      <c r="N6" s="447"/>
      <c r="O6" s="447"/>
      <c r="P6" s="448"/>
      <c r="Q6" s="446">
        <f t="shared" si="0"/>
        <v>1565.097</v>
      </c>
    </row>
    <row r="7" spans="1:17">
      <c r="A7" s="446" t="s">
        <v>105</v>
      </c>
      <c r="B7" s="447">
        <f>landbouw!B8</f>
        <v>3884.917345142363</v>
      </c>
      <c r="C7" s="447">
        <f>landbouw!C8</f>
        <v>0</v>
      </c>
      <c r="D7" s="447">
        <f>landbouw!D8</f>
        <v>192.85186224670932</v>
      </c>
      <c r="E7" s="447">
        <f>landbouw!E8</f>
        <v>40.683695488638214</v>
      </c>
      <c r="F7" s="447">
        <f>landbouw!F8</f>
        <v>16630.398147466974</v>
      </c>
      <c r="G7" s="447">
        <f>landbouw!G8</f>
        <v>0</v>
      </c>
      <c r="H7" s="447">
        <f>landbouw!H8</f>
        <v>0</v>
      </c>
      <c r="I7" s="447">
        <f>landbouw!I8</f>
        <v>0</v>
      </c>
      <c r="J7" s="447">
        <f>landbouw!J8</f>
        <v>346.95794002941381</v>
      </c>
      <c r="K7" s="447">
        <f>landbouw!K8</f>
        <v>0</v>
      </c>
      <c r="L7" s="447">
        <f>landbouw!L8</f>
        <v>0</v>
      </c>
      <c r="M7" s="447">
        <f>landbouw!M8</f>
        <v>0</v>
      </c>
      <c r="N7" s="447">
        <f>landbouw!N8</f>
        <v>0</v>
      </c>
      <c r="O7" s="447">
        <f>landbouw!O8</f>
        <v>0</v>
      </c>
      <c r="P7" s="448">
        <f>landbouw!P8</f>
        <v>0</v>
      </c>
      <c r="Q7" s="446">
        <f t="shared" si="0"/>
        <v>21095.808990374098</v>
      </c>
    </row>
    <row r="8" spans="1:17">
      <c r="A8" s="446" t="s">
        <v>637</v>
      </c>
      <c r="B8" s="447">
        <f>industrie!B18</f>
        <v>26713.176920590806</v>
      </c>
      <c r="C8" s="447">
        <f>industrie!C18</f>
        <v>0</v>
      </c>
      <c r="D8" s="447">
        <f>industrie!D18</f>
        <v>28819.066479258359</v>
      </c>
      <c r="E8" s="447">
        <f>industrie!E18</f>
        <v>347.82421271125565</v>
      </c>
      <c r="F8" s="447">
        <f>industrie!F18</f>
        <v>6600.5369834526518</v>
      </c>
      <c r="G8" s="447">
        <f>industrie!G18</f>
        <v>0</v>
      </c>
      <c r="H8" s="447">
        <f>industrie!H18</f>
        <v>0</v>
      </c>
      <c r="I8" s="447">
        <f>industrie!I18</f>
        <v>0</v>
      </c>
      <c r="J8" s="447">
        <f>industrie!J18</f>
        <v>149.14093450025044</v>
      </c>
      <c r="K8" s="447">
        <f>industrie!K18</f>
        <v>0</v>
      </c>
      <c r="L8" s="447">
        <f>industrie!L18</f>
        <v>0</v>
      </c>
      <c r="M8" s="447">
        <f>industrie!M18</f>
        <v>0</v>
      </c>
      <c r="N8" s="447">
        <f>industrie!N18</f>
        <v>515.30093068677309</v>
      </c>
      <c r="O8" s="447">
        <f>industrie!O18</f>
        <v>0</v>
      </c>
      <c r="P8" s="448">
        <f>industrie!P18</f>
        <v>0</v>
      </c>
      <c r="Q8" s="446">
        <f t="shared" si="0"/>
        <v>63145.046461200094</v>
      </c>
    </row>
    <row r="9" spans="1:17" s="452" customFormat="1">
      <c r="A9" s="450" t="s">
        <v>556</v>
      </c>
      <c r="B9" s="451">
        <f>transport!B14</f>
        <v>4.2588228919092277</v>
      </c>
      <c r="C9" s="451">
        <f>transport!C14</f>
        <v>0</v>
      </c>
      <c r="D9" s="451">
        <f>transport!D14</f>
        <v>13.365586872164975</v>
      </c>
      <c r="E9" s="451">
        <f>transport!E14</f>
        <v>1584.141779089106</v>
      </c>
      <c r="F9" s="451">
        <f>transport!F14</f>
        <v>0</v>
      </c>
      <c r="G9" s="451">
        <f>transport!G14</f>
        <v>329506.64071084122</v>
      </c>
      <c r="H9" s="451">
        <f>transport!H14</f>
        <v>45938.329461156303</v>
      </c>
      <c r="I9" s="451">
        <f>transport!I14</f>
        <v>0</v>
      </c>
      <c r="J9" s="451">
        <f>transport!J14</f>
        <v>0</v>
      </c>
      <c r="K9" s="451">
        <f>transport!K14</f>
        <v>0</v>
      </c>
      <c r="L9" s="451">
        <f>transport!L14</f>
        <v>0</v>
      </c>
      <c r="M9" s="451">
        <f>transport!M14</f>
        <v>16309.188914132836</v>
      </c>
      <c r="N9" s="451">
        <f>transport!N14</f>
        <v>0</v>
      </c>
      <c r="O9" s="451">
        <f>transport!O14</f>
        <v>0</v>
      </c>
      <c r="P9" s="451">
        <f>transport!P14</f>
        <v>0</v>
      </c>
      <c r="Q9" s="450">
        <f>SUM(B9:P9)</f>
        <v>393355.92527498357</v>
      </c>
    </row>
    <row r="10" spans="1:17">
      <c r="A10" s="446" t="s">
        <v>546</v>
      </c>
      <c r="B10" s="447">
        <f>transport!B54</f>
        <v>8.4257884247141135</v>
      </c>
      <c r="C10" s="447">
        <f>transport!C54</f>
        <v>0</v>
      </c>
      <c r="D10" s="447">
        <f>transport!D54</f>
        <v>0</v>
      </c>
      <c r="E10" s="447">
        <f>transport!E54</f>
        <v>0</v>
      </c>
      <c r="F10" s="447">
        <f>transport!F54</f>
        <v>0</v>
      </c>
      <c r="G10" s="447">
        <f>transport!G54</f>
        <v>1827.8902050194201</v>
      </c>
      <c r="H10" s="447">
        <f>transport!H54</f>
        <v>0</v>
      </c>
      <c r="I10" s="447">
        <f>transport!I54</f>
        <v>0</v>
      </c>
      <c r="J10" s="447">
        <f>transport!J54</f>
        <v>0</v>
      </c>
      <c r="K10" s="447">
        <f>transport!K54</f>
        <v>0</v>
      </c>
      <c r="L10" s="447">
        <f>transport!L54</f>
        <v>0</v>
      </c>
      <c r="M10" s="447">
        <f>transport!M54</f>
        <v>78.263237197458736</v>
      </c>
      <c r="N10" s="447">
        <f>transport!N54</f>
        <v>0</v>
      </c>
      <c r="O10" s="447">
        <f>transport!O54</f>
        <v>0</v>
      </c>
      <c r="P10" s="448">
        <f>transport!P54</f>
        <v>0</v>
      </c>
      <c r="Q10" s="446">
        <f t="shared" si="0"/>
        <v>1914.5792306415929</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3073.5037441644999</v>
      </c>
      <c r="C14" s="454"/>
      <c r="D14" s="454">
        <f>'SEAP template'!E25</f>
        <v>4133.8946036409197</v>
      </c>
      <c r="E14" s="454"/>
      <c r="F14" s="454"/>
      <c r="G14" s="454"/>
      <c r="H14" s="454"/>
      <c r="I14" s="454"/>
      <c r="J14" s="454"/>
      <c r="K14" s="454"/>
      <c r="L14" s="454"/>
      <c r="M14" s="454"/>
      <c r="N14" s="454"/>
      <c r="O14" s="454"/>
      <c r="P14" s="455"/>
      <c r="Q14" s="446">
        <f t="shared" si="0"/>
        <v>7207.3983478054197</v>
      </c>
    </row>
    <row r="15" spans="1:17" s="459" customFormat="1">
      <c r="A15" s="456" t="s">
        <v>550</v>
      </c>
      <c r="B15" s="457">
        <f ca="1">SUM(B4:B14)</f>
        <v>111890.16185904837</v>
      </c>
      <c r="C15" s="457">
        <f t="shared" ref="C15:Q15" ca="1" si="1">SUM(C4:C14)</f>
        <v>0</v>
      </c>
      <c r="D15" s="457">
        <f t="shared" ca="1" si="1"/>
        <v>121727.98414048227</v>
      </c>
      <c r="E15" s="457">
        <f t="shared" si="1"/>
        <v>4811.1741575018932</v>
      </c>
      <c r="F15" s="457">
        <f t="shared" ca="1" si="1"/>
        <v>104019.37481332001</v>
      </c>
      <c r="G15" s="457">
        <f t="shared" si="1"/>
        <v>331334.53091586067</v>
      </c>
      <c r="H15" s="457">
        <f t="shared" si="1"/>
        <v>45938.329461156303</v>
      </c>
      <c r="I15" s="457">
        <f t="shared" si="1"/>
        <v>0</v>
      </c>
      <c r="J15" s="457">
        <f t="shared" si="1"/>
        <v>2189.3614060173991</v>
      </c>
      <c r="K15" s="457">
        <f t="shared" si="1"/>
        <v>0</v>
      </c>
      <c r="L15" s="457">
        <f t="shared" ca="1" si="1"/>
        <v>0</v>
      </c>
      <c r="M15" s="457">
        <f t="shared" si="1"/>
        <v>16387.452151330293</v>
      </c>
      <c r="N15" s="457">
        <f t="shared" ca="1" si="1"/>
        <v>12572.549110938837</v>
      </c>
      <c r="O15" s="457">
        <f t="shared" si="1"/>
        <v>123.50333333333334</v>
      </c>
      <c r="P15" s="457">
        <f t="shared" si="1"/>
        <v>419.4666666666667</v>
      </c>
      <c r="Q15" s="457">
        <f t="shared" ca="1" si="1"/>
        <v>751413.88801565603</v>
      </c>
    </row>
    <row r="17" spans="1:17">
      <c r="A17" s="460" t="s">
        <v>551</v>
      </c>
      <c r="B17" s="764">
        <f ca="1">huishoudens!B10</f>
        <v>0.21227129223407004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9843.5073457561011</v>
      </c>
      <c r="C22" s="447">
        <f t="shared" ref="C22:C32" ca="1" si="3">C4*$C$17</f>
        <v>0</v>
      </c>
      <c r="D22" s="447">
        <f t="shared" ref="D22:D32" si="4">D4*$D$17</f>
        <v>13452.651796314562</v>
      </c>
      <c r="E22" s="447">
        <f t="shared" ref="E22:E32" si="5">E4*$E$17</f>
        <v>500.07880352919665</v>
      </c>
      <c r="F22" s="447">
        <f t="shared" ref="F22:F32" si="6">F4*$F$17</f>
        <v>20077.797464023017</v>
      </c>
      <c r="G22" s="447">
        <f t="shared" ref="G22:G32" si="7">G4*$G$17</f>
        <v>0</v>
      </c>
      <c r="H22" s="447">
        <f t="shared" ref="H22:H32" si="8">H4*$H$17</f>
        <v>0</v>
      </c>
      <c r="I22" s="447">
        <f t="shared" ref="I22:I32" si="9">I4*$I$17</f>
        <v>0</v>
      </c>
      <c r="J22" s="447">
        <f t="shared" ref="J22:J32" si="10">J4*$J$17</f>
        <v>599.41493614665819</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44473.450345769525</v>
      </c>
    </row>
    <row r="23" spans="1:17">
      <c r="A23" s="446" t="s">
        <v>149</v>
      </c>
      <c r="B23" s="447">
        <f t="shared" ca="1" si="2"/>
        <v>6425.1305376989003</v>
      </c>
      <c r="C23" s="447">
        <f t="shared" ca="1" si="3"/>
        <v>0</v>
      </c>
      <c r="D23" s="447">
        <f t="shared" ca="1" si="4"/>
        <v>4438.2469365951911</v>
      </c>
      <c r="E23" s="447">
        <f t="shared" si="5"/>
        <v>144.26625120913008</v>
      </c>
      <c r="F23" s="447">
        <f t="shared" ca="1" si="6"/>
        <v>1492.7159311778871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12500.359656681108</v>
      </c>
    </row>
    <row r="24" spans="1:17">
      <c r="A24" s="446" t="s">
        <v>187</v>
      </c>
      <c r="B24" s="447">
        <f t="shared" ca="1" si="2"/>
        <v>332.22516266166633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332.22516266166633</v>
      </c>
    </row>
    <row r="25" spans="1:17">
      <c r="A25" s="446" t="s">
        <v>105</v>
      </c>
      <c r="B25" s="447">
        <f t="shared" ca="1" si="2"/>
        <v>824.65642507592213</v>
      </c>
      <c r="C25" s="447">
        <f t="shared" ca="1" si="3"/>
        <v>0</v>
      </c>
      <c r="D25" s="447">
        <f t="shared" si="4"/>
        <v>38.956076173835285</v>
      </c>
      <c r="E25" s="447">
        <f t="shared" si="5"/>
        <v>9.2351988759208758</v>
      </c>
      <c r="F25" s="447">
        <f t="shared" si="6"/>
        <v>4440.3163053736826</v>
      </c>
      <c r="G25" s="447">
        <f t="shared" si="7"/>
        <v>0</v>
      </c>
      <c r="H25" s="447">
        <f t="shared" si="8"/>
        <v>0</v>
      </c>
      <c r="I25" s="447">
        <f t="shared" si="9"/>
        <v>0</v>
      </c>
      <c r="J25" s="447">
        <f t="shared" si="10"/>
        <v>122.82311077041248</v>
      </c>
      <c r="K25" s="447">
        <f t="shared" si="11"/>
        <v>0</v>
      </c>
      <c r="L25" s="447">
        <f t="shared" si="12"/>
        <v>0</v>
      </c>
      <c r="M25" s="447">
        <f t="shared" si="13"/>
        <v>0</v>
      </c>
      <c r="N25" s="447">
        <f t="shared" si="14"/>
        <v>0</v>
      </c>
      <c r="O25" s="447">
        <f t="shared" si="15"/>
        <v>0</v>
      </c>
      <c r="P25" s="448">
        <f t="shared" si="16"/>
        <v>0</v>
      </c>
      <c r="Q25" s="446">
        <f t="shared" ca="1" si="17"/>
        <v>5435.9871162697727</v>
      </c>
    </row>
    <row r="26" spans="1:17">
      <c r="A26" s="446" t="s">
        <v>637</v>
      </c>
      <c r="B26" s="447">
        <f t="shared" ca="1" si="2"/>
        <v>5670.4405846111458</v>
      </c>
      <c r="C26" s="447">
        <f t="shared" ca="1" si="3"/>
        <v>0</v>
      </c>
      <c r="D26" s="447">
        <f t="shared" si="4"/>
        <v>5821.4514288101891</v>
      </c>
      <c r="E26" s="447">
        <f t="shared" si="5"/>
        <v>78.956096285455033</v>
      </c>
      <c r="F26" s="447">
        <f t="shared" si="6"/>
        <v>1762.3433745818581</v>
      </c>
      <c r="G26" s="447">
        <f t="shared" si="7"/>
        <v>0</v>
      </c>
      <c r="H26" s="447">
        <f t="shared" si="8"/>
        <v>0</v>
      </c>
      <c r="I26" s="447">
        <f t="shared" si="9"/>
        <v>0</v>
      </c>
      <c r="J26" s="447">
        <f t="shared" si="10"/>
        <v>52.795890813088654</v>
      </c>
      <c r="K26" s="447">
        <f t="shared" si="11"/>
        <v>0</v>
      </c>
      <c r="L26" s="447">
        <f t="shared" si="12"/>
        <v>0</v>
      </c>
      <c r="M26" s="447">
        <f t="shared" si="13"/>
        <v>0</v>
      </c>
      <c r="N26" s="447">
        <f t="shared" si="14"/>
        <v>0</v>
      </c>
      <c r="O26" s="447">
        <f t="shared" si="15"/>
        <v>0</v>
      </c>
      <c r="P26" s="448">
        <f t="shared" si="16"/>
        <v>0</v>
      </c>
      <c r="Q26" s="446">
        <f t="shared" ca="1" si="17"/>
        <v>13385.987375101739</v>
      </c>
    </row>
    <row r="27" spans="1:17" s="452" customFormat="1">
      <c r="A27" s="450" t="s">
        <v>556</v>
      </c>
      <c r="B27" s="758">
        <f t="shared" ca="1" si="2"/>
        <v>0.90402583866161101</v>
      </c>
      <c r="C27" s="451">
        <f t="shared" ca="1" si="3"/>
        <v>0</v>
      </c>
      <c r="D27" s="451">
        <f t="shared" si="4"/>
        <v>2.6998485481773251</v>
      </c>
      <c r="E27" s="451">
        <f t="shared" si="5"/>
        <v>359.60018385322707</v>
      </c>
      <c r="F27" s="451">
        <f t="shared" si="6"/>
        <v>0</v>
      </c>
      <c r="G27" s="451">
        <f t="shared" si="7"/>
        <v>87978.27306979461</v>
      </c>
      <c r="H27" s="451">
        <f t="shared" si="8"/>
        <v>11438.64403582792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99780.121163862597</v>
      </c>
    </row>
    <row r="28" spans="1:17">
      <c r="A28" s="446" t="s">
        <v>546</v>
      </c>
      <c r="B28" s="447">
        <f t="shared" ca="1" si="2"/>
        <v>1.7885529970049343</v>
      </c>
      <c r="C28" s="447">
        <f t="shared" ca="1" si="3"/>
        <v>0</v>
      </c>
      <c r="D28" s="447">
        <f t="shared" si="4"/>
        <v>0</v>
      </c>
      <c r="E28" s="447">
        <f t="shared" si="5"/>
        <v>0</v>
      </c>
      <c r="F28" s="447">
        <f t="shared" si="6"/>
        <v>0</v>
      </c>
      <c r="G28" s="447">
        <f t="shared" si="7"/>
        <v>488.04668474018519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489.83523773719014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652.41661146005106</v>
      </c>
      <c r="C32" s="447">
        <f t="shared" ca="1" si="3"/>
        <v>0</v>
      </c>
      <c r="D32" s="447">
        <f t="shared" si="4"/>
        <v>835.04670993546586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1487.4633213955169</v>
      </c>
    </row>
    <row r="33" spans="1:17" s="459" customFormat="1">
      <c r="A33" s="456" t="s">
        <v>550</v>
      </c>
      <c r="B33" s="457">
        <f ca="1">SUM(B22:B32)</f>
        <v>23751.069246099454</v>
      </c>
      <c r="C33" s="457">
        <f t="shared" ref="C33:Q33" ca="1" si="19">SUM(C22:C32)</f>
        <v>0</v>
      </c>
      <c r="D33" s="457">
        <f t="shared" ca="1" si="19"/>
        <v>24589.052796377418</v>
      </c>
      <c r="E33" s="457">
        <f t="shared" si="19"/>
        <v>1092.1365337529298</v>
      </c>
      <c r="F33" s="457">
        <f t="shared" ca="1" si="19"/>
        <v>27773.173075156446</v>
      </c>
      <c r="G33" s="457">
        <f t="shared" si="19"/>
        <v>88466.319754534794</v>
      </c>
      <c r="H33" s="457">
        <f t="shared" si="19"/>
        <v>11438.64403582792</v>
      </c>
      <c r="I33" s="457">
        <f t="shared" si="19"/>
        <v>0</v>
      </c>
      <c r="J33" s="457">
        <f t="shared" si="19"/>
        <v>775.03393773015944</v>
      </c>
      <c r="K33" s="457">
        <f t="shared" si="19"/>
        <v>0</v>
      </c>
      <c r="L33" s="457">
        <f t="shared" ca="1" si="19"/>
        <v>0</v>
      </c>
      <c r="M33" s="457">
        <f t="shared" si="19"/>
        <v>0</v>
      </c>
      <c r="N33" s="457">
        <f t="shared" ca="1" si="19"/>
        <v>0</v>
      </c>
      <c r="O33" s="457">
        <f t="shared" si="19"/>
        <v>0</v>
      </c>
      <c r="P33" s="457">
        <f t="shared" si="19"/>
        <v>0</v>
      </c>
      <c r="Q33" s="457">
        <f t="shared" ca="1" si="19"/>
        <v>177885.42937947912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4419.260292987502</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4419.260292987502</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0.21227129223407004</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0.21227129223407004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0.21227129223407004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0.21227129223407004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9090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4740</v>
      </c>
      <c r="C14" s="326"/>
      <c r="D14" s="326"/>
      <c r="E14" s="326"/>
      <c r="F14" s="326"/>
    </row>
    <row r="15" spans="1:6">
      <c r="A15" s="1280" t="s">
        <v>177</v>
      </c>
      <c r="B15" s="1281">
        <v>514</v>
      </c>
      <c r="C15" s="326"/>
      <c r="D15" s="326"/>
      <c r="E15" s="326"/>
      <c r="F15" s="326"/>
    </row>
    <row r="16" spans="1:6">
      <c r="A16" s="1280" t="s">
        <v>6</v>
      </c>
      <c r="B16" s="1281">
        <v>2330</v>
      </c>
      <c r="C16" s="326"/>
      <c r="D16" s="326"/>
      <c r="E16" s="326"/>
      <c r="F16" s="326"/>
    </row>
    <row r="17" spans="1:6">
      <c r="A17" s="1280" t="s">
        <v>7</v>
      </c>
      <c r="B17" s="1281">
        <v>1930</v>
      </c>
      <c r="C17" s="326"/>
      <c r="D17" s="326"/>
      <c r="E17" s="326"/>
      <c r="F17" s="326"/>
    </row>
    <row r="18" spans="1:6">
      <c r="A18" s="1280" t="s">
        <v>8</v>
      </c>
      <c r="B18" s="1281">
        <v>2653</v>
      </c>
      <c r="C18" s="326"/>
      <c r="D18" s="326"/>
      <c r="E18" s="326"/>
      <c r="F18" s="326"/>
    </row>
    <row r="19" spans="1:6">
      <c r="A19" s="1280" t="s">
        <v>9</v>
      </c>
      <c r="B19" s="1281">
        <v>2518</v>
      </c>
      <c r="C19" s="326"/>
      <c r="D19" s="326"/>
      <c r="E19" s="326"/>
      <c r="F19" s="326"/>
    </row>
    <row r="20" spans="1:6">
      <c r="A20" s="1280" t="s">
        <v>10</v>
      </c>
      <c r="B20" s="1281">
        <v>1910</v>
      </c>
      <c r="C20" s="326"/>
      <c r="D20" s="326"/>
      <c r="E20" s="326"/>
      <c r="F20" s="326"/>
    </row>
    <row r="21" spans="1:6">
      <c r="A21" s="1280" t="s">
        <v>11</v>
      </c>
      <c r="B21" s="1281">
        <v>7467</v>
      </c>
      <c r="C21" s="326"/>
      <c r="D21" s="326"/>
      <c r="E21" s="326"/>
      <c r="F21" s="326"/>
    </row>
    <row r="22" spans="1:6">
      <c r="A22" s="1280" t="s">
        <v>12</v>
      </c>
      <c r="B22" s="1281">
        <v>57527</v>
      </c>
      <c r="C22" s="326"/>
      <c r="D22" s="326"/>
      <c r="E22" s="326"/>
      <c r="F22" s="326"/>
    </row>
    <row r="23" spans="1:6">
      <c r="A23" s="1280" t="s">
        <v>13</v>
      </c>
      <c r="B23" s="1281">
        <v>104</v>
      </c>
      <c r="C23" s="326"/>
      <c r="D23" s="326"/>
      <c r="E23" s="326"/>
      <c r="F23" s="326"/>
    </row>
    <row r="24" spans="1:6">
      <c r="A24" s="1280" t="s">
        <v>14</v>
      </c>
      <c r="B24" s="1281">
        <v>14</v>
      </c>
      <c r="C24" s="326"/>
      <c r="D24" s="326"/>
      <c r="E24" s="326"/>
      <c r="F24" s="326"/>
    </row>
    <row r="25" spans="1:6">
      <c r="A25" s="1280" t="s">
        <v>15</v>
      </c>
      <c r="B25" s="1281">
        <v>1081</v>
      </c>
      <c r="C25" s="326"/>
      <c r="D25" s="326"/>
      <c r="E25" s="326"/>
      <c r="F25" s="326"/>
    </row>
    <row r="26" spans="1:6">
      <c r="A26" s="1280" t="s">
        <v>16</v>
      </c>
      <c r="B26" s="1281">
        <v>336</v>
      </c>
      <c r="C26" s="326"/>
      <c r="D26" s="326"/>
      <c r="E26" s="326"/>
      <c r="F26" s="326"/>
    </row>
    <row r="27" spans="1:6">
      <c r="A27" s="1280" t="s">
        <v>17</v>
      </c>
      <c r="B27" s="1281">
        <v>23</v>
      </c>
      <c r="C27" s="326"/>
      <c r="D27" s="326"/>
      <c r="E27" s="326"/>
      <c r="F27" s="326"/>
    </row>
    <row r="28" spans="1:6">
      <c r="A28" s="1280" t="s">
        <v>18</v>
      </c>
      <c r="B28" s="1282">
        <v>291435</v>
      </c>
      <c r="C28" s="326"/>
      <c r="D28" s="326"/>
      <c r="E28" s="326"/>
      <c r="F28" s="326"/>
    </row>
    <row r="29" spans="1:6">
      <c r="A29" s="1280" t="s">
        <v>972</v>
      </c>
      <c r="B29" s="1282">
        <v>142</v>
      </c>
      <c r="C29" s="326"/>
      <c r="D29" s="326"/>
      <c r="E29" s="326"/>
      <c r="F29" s="326"/>
    </row>
    <row r="30" spans="1:6">
      <c r="A30" s="1275" t="s">
        <v>973</v>
      </c>
      <c r="B30" s="1283">
        <v>47</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128476.32686555</v>
      </c>
      <c r="E38" s="1281">
        <v>0</v>
      </c>
      <c r="F38" s="1281">
        <v>0</v>
      </c>
    </row>
    <row r="39" spans="1:6">
      <c r="A39" s="1280" t="s">
        <v>29</v>
      </c>
      <c r="B39" s="1280" t="s">
        <v>30</v>
      </c>
      <c r="C39" s="1281">
        <v>4741</v>
      </c>
      <c r="D39" s="1281">
        <v>73832911.441650897</v>
      </c>
      <c r="E39" s="1281">
        <v>8564</v>
      </c>
      <c r="F39" s="1281">
        <v>43978219.397969298</v>
      </c>
    </row>
    <row r="40" spans="1:6">
      <c r="A40" s="1280" t="s">
        <v>29</v>
      </c>
      <c r="B40" s="1280" t="s">
        <v>28</v>
      </c>
      <c r="C40" s="1281">
        <v>0</v>
      </c>
      <c r="D40" s="1281">
        <v>0</v>
      </c>
      <c r="E40" s="1281">
        <v>0</v>
      </c>
      <c r="F40" s="1281">
        <v>0</v>
      </c>
    </row>
    <row r="41" spans="1:6">
      <c r="A41" s="1280" t="s">
        <v>31</v>
      </c>
      <c r="B41" s="1280" t="s">
        <v>32</v>
      </c>
      <c r="C41" s="1281">
        <v>64</v>
      </c>
      <c r="D41" s="1281">
        <v>1585003.4399105499</v>
      </c>
      <c r="E41" s="1281">
        <v>218</v>
      </c>
      <c r="F41" s="1281">
        <v>2489065.23627911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3</v>
      </c>
      <c r="D44" s="1281">
        <v>2507911.4756935802</v>
      </c>
      <c r="E44" s="1281">
        <v>18</v>
      </c>
      <c r="F44" s="1281">
        <v>1467658.88047139</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4</v>
      </c>
      <c r="D47" s="1281">
        <v>189090.253370736</v>
      </c>
      <c r="E47" s="1281">
        <v>12</v>
      </c>
      <c r="F47" s="1281">
        <v>4206269.6485272497</v>
      </c>
    </row>
    <row r="48" spans="1:6">
      <c r="A48" s="1280" t="s">
        <v>31</v>
      </c>
      <c r="B48" s="1280" t="s">
        <v>28</v>
      </c>
      <c r="C48" s="1281">
        <v>55</v>
      </c>
      <c r="D48" s="1281">
        <v>25757520.802902199</v>
      </c>
      <c r="E48" s="1281">
        <v>54</v>
      </c>
      <c r="F48" s="1281">
        <v>16458408.9954882</v>
      </c>
    </row>
    <row r="49" spans="1:6">
      <c r="A49" s="1280" t="s">
        <v>31</v>
      </c>
      <c r="B49" s="1280" t="s">
        <v>39</v>
      </c>
      <c r="C49" s="1281">
        <v>0</v>
      </c>
      <c r="D49" s="1281">
        <v>0</v>
      </c>
      <c r="E49" s="1281">
        <v>8</v>
      </c>
      <c r="F49" s="1281">
        <v>194258.900585984</v>
      </c>
    </row>
    <row r="50" spans="1:6">
      <c r="A50" s="1280" t="s">
        <v>31</v>
      </c>
      <c r="B50" s="1280" t="s">
        <v>40</v>
      </c>
      <c r="C50" s="1281">
        <v>14</v>
      </c>
      <c r="D50" s="1281">
        <v>1910658.5949282099</v>
      </c>
      <c r="E50" s="1281">
        <v>28</v>
      </c>
      <c r="F50" s="1281">
        <v>1897515.2592388701</v>
      </c>
    </row>
    <row r="51" spans="1:6">
      <c r="A51" s="1280" t="s">
        <v>41</v>
      </c>
      <c r="B51" s="1280" t="s">
        <v>42</v>
      </c>
      <c r="C51" s="1281">
        <v>8</v>
      </c>
      <c r="D51" s="1281">
        <v>110811.155986218</v>
      </c>
      <c r="E51" s="1281">
        <v>195</v>
      </c>
      <c r="F51" s="1281">
        <v>3753970.4813604401</v>
      </c>
    </row>
    <row r="52" spans="1:6">
      <c r="A52" s="1280" t="s">
        <v>41</v>
      </c>
      <c r="B52" s="1280" t="s">
        <v>28</v>
      </c>
      <c r="C52" s="1281">
        <v>4</v>
      </c>
      <c r="D52" s="1281">
        <v>102993.56934272801</v>
      </c>
      <c r="E52" s="1281">
        <v>5</v>
      </c>
      <c r="F52" s="1281">
        <v>130946.86378192301</v>
      </c>
    </row>
    <row r="53" spans="1:6">
      <c r="A53" s="1280" t="s">
        <v>43</v>
      </c>
      <c r="B53" s="1280" t="s">
        <v>44</v>
      </c>
      <c r="C53" s="1281">
        <v>237</v>
      </c>
      <c r="D53" s="1281">
        <v>4133894.60364092</v>
      </c>
      <c r="E53" s="1281">
        <v>445</v>
      </c>
      <c r="F53" s="1281">
        <v>3073503.7441644999</v>
      </c>
    </row>
    <row r="54" spans="1:6">
      <c r="A54" s="1280" t="s">
        <v>45</v>
      </c>
      <c r="B54" s="1280" t="s">
        <v>46</v>
      </c>
      <c r="C54" s="1281">
        <v>0</v>
      </c>
      <c r="D54" s="1281">
        <v>0</v>
      </c>
      <c r="E54" s="1281">
        <v>1</v>
      </c>
      <c r="F54" s="1281">
        <v>1565097</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32</v>
      </c>
      <c r="D57" s="1281">
        <v>2204950.55434652</v>
      </c>
      <c r="E57" s="1281">
        <v>182</v>
      </c>
      <c r="F57" s="1281">
        <v>2610931.4299307298</v>
      </c>
    </row>
    <row r="58" spans="1:6">
      <c r="A58" s="1280" t="s">
        <v>48</v>
      </c>
      <c r="B58" s="1280" t="s">
        <v>50</v>
      </c>
      <c r="C58" s="1281">
        <v>15</v>
      </c>
      <c r="D58" s="1281">
        <v>441215.26701650303</v>
      </c>
      <c r="E58" s="1281">
        <v>35</v>
      </c>
      <c r="F58" s="1281">
        <v>571177.04958706605</v>
      </c>
    </row>
    <row r="59" spans="1:6">
      <c r="A59" s="1280" t="s">
        <v>48</v>
      </c>
      <c r="B59" s="1280" t="s">
        <v>51</v>
      </c>
      <c r="C59" s="1281">
        <v>135</v>
      </c>
      <c r="D59" s="1281">
        <v>4857161.7888754597</v>
      </c>
      <c r="E59" s="1281">
        <v>361</v>
      </c>
      <c r="F59" s="1281">
        <v>10121750.0940775</v>
      </c>
    </row>
    <row r="60" spans="1:6">
      <c r="A60" s="1280" t="s">
        <v>48</v>
      </c>
      <c r="B60" s="1280" t="s">
        <v>52</v>
      </c>
      <c r="C60" s="1281">
        <v>45</v>
      </c>
      <c r="D60" s="1281">
        <v>2992487.2710869801</v>
      </c>
      <c r="E60" s="1281">
        <v>72</v>
      </c>
      <c r="F60" s="1281">
        <v>2702028.6574773402</v>
      </c>
    </row>
    <row r="61" spans="1:6">
      <c r="A61" s="1280" t="s">
        <v>48</v>
      </c>
      <c r="B61" s="1280" t="s">
        <v>53</v>
      </c>
      <c r="C61" s="1281">
        <v>142</v>
      </c>
      <c r="D61" s="1281">
        <v>5368384.8802867904</v>
      </c>
      <c r="E61" s="1281">
        <v>372</v>
      </c>
      <c r="F61" s="1281">
        <v>8982813.89185936</v>
      </c>
    </row>
    <row r="62" spans="1:6">
      <c r="A62" s="1280" t="s">
        <v>48</v>
      </c>
      <c r="B62" s="1280" t="s">
        <v>54</v>
      </c>
      <c r="C62" s="1281">
        <v>4</v>
      </c>
      <c r="D62" s="1281">
        <v>226087.59618451499</v>
      </c>
      <c r="E62" s="1281">
        <v>19</v>
      </c>
      <c r="F62" s="1281">
        <v>613146.09845084802</v>
      </c>
    </row>
    <row r="63" spans="1:6">
      <c r="A63" s="1280" t="s">
        <v>48</v>
      </c>
      <c r="B63" s="1280" t="s">
        <v>28</v>
      </c>
      <c r="C63" s="1281">
        <v>98</v>
      </c>
      <c r="D63" s="1281">
        <v>8268381.6977409301</v>
      </c>
      <c r="E63" s="1281">
        <v>84</v>
      </c>
      <c r="F63" s="1281">
        <v>4666638.3099246798</v>
      </c>
    </row>
    <row r="64" spans="1:6">
      <c r="A64" s="1280" t="s">
        <v>55</v>
      </c>
      <c r="B64" s="1280" t="s">
        <v>56</v>
      </c>
      <c r="C64" s="1281">
        <v>0</v>
      </c>
      <c r="D64" s="1281">
        <v>0</v>
      </c>
      <c r="E64" s="1281">
        <v>0</v>
      </c>
      <c r="F64" s="1281">
        <v>0</v>
      </c>
    </row>
    <row r="65" spans="1:6">
      <c r="A65" s="1280" t="s">
        <v>55</v>
      </c>
      <c r="B65" s="1280" t="s">
        <v>28</v>
      </c>
      <c r="C65" s="1281">
        <v>2</v>
      </c>
      <c r="D65" s="1281">
        <v>50635.931855683797</v>
      </c>
      <c r="E65" s="1281">
        <v>2</v>
      </c>
      <c r="F65" s="1281">
        <v>23575.4938679484</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6</v>
      </c>
      <c r="D68" s="1283">
        <v>526841.76847998798</v>
      </c>
      <c r="E68" s="1283">
        <v>23</v>
      </c>
      <c r="F68" s="1283">
        <v>3324527.79416455</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76142889</v>
      </c>
      <c r="E73" s="445"/>
      <c r="F73" s="326"/>
    </row>
    <row r="74" spans="1:6">
      <c r="A74" s="1280" t="s">
        <v>63</v>
      </c>
      <c r="B74" s="1280" t="s">
        <v>754</v>
      </c>
      <c r="C74" s="1293" t="s">
        <v>755</v>
      </c>
      <c r="D74" s="1281">
        <v>7370655.906789057</v>
      </c>
      <c r="E74" s="445"/>
      <c r="F74" s="326"/>
    </row>
    <row r="75" spans="1:6">
      <c r="A75" s="1280" t="s">
        <v>64</v>
      </c>
      <c r="B75" s="1280" t="s">
        <v>752</v>
      </c>
      <c r="C75" s="1293" t="s">
        <v>756</v>
      </c>
      <c r="D75" s="1281">
        <v>39372929</v>
      </c>
      <c r="E75" s="445"/>
      <c r="F75" s="326"/>
    </row>
    <row r="76" spans="1:6">
      <c r="A76" s="1280" t="s">
        <v>64</v>
      </c>
      <c r="B76" s="1280" t="s">
        <v>754</v>
      </c>
      <c r="C76" s="1293" t="s">
        <v>757</v>
      </c>
      <c r="D76" s="1281">
        <v>2410331.906789057</v>
      </c>
      <c r="E76" s="445"/>
      <c r="F76" s="326"/>
    </row>
    <row r="77" spans="1:6">
      <c r="A77" s="1280" t="s">
        <v>65</v>
      </c>
      <c r="B77" s="1280" t="s">
        <v>752</v>
      </c>
      <c r="C77" s="1293" t="s">
        <v>758</v>
      </c>
      <c r="D77" s="1281">
        <v>260567139</v>
      </c>
      <c r="E77" s="445"/>
      <c r="F77" s="326"/>
    </row>
    <row r="78" spans="1:6">
      <c r="A78" s="1275" t="s">
        <v>65</v>
      </c>
      <c r="B78" s="1275" t="s">
        <v>754</v>
      </c>
      <c r="C78" s="1275" t="s">
        <v>759</v>
      </c>
      <c r="D78" s="1283">
        <v>40231903</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501338.1864218862</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2394.0773085572573</v>
      </c>
      <c r="C91" s="326"/>
      <c r="D91" s="326"/>
      <c r="E91" s="326"/>
      <c r="F91" s="326"/>
    </row>
    <row r="92" spans="1:6">
      <c r="A92" s="1275" t="s">
        <v>68</v>
      </c>
      <c r="B92" s="1276">
        <v>2025.1829844302445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2716</v>
      </c>
      <c r="C97" s="326"/>
      <c r="D97" s="326"/>
      <c r="E97" s="326"/>
      <c r="F97" s="326"/>
    </row>
    <row r="98" spans="1:6">
      <c r="A98" s="1280" t="s">
        <v>71</v>
      </c>
      <c r="B98" s="1281">
        <v>1</v>
      </c>
      <c r="C98" s="326"/>
      <c r="D98" s="326"/>
      <c r="E98" s="326"/>
      <c r="F98" s="326"/>
    </row>
    <row r="99" spans="1:6">
      <c r="A99" s="1280" t="s">
        <v>72</v>
      </c>
      <c r="B99" s="1281">
        <v>234</v>
      </c>
      <c r="C99" s="326"/>
      <c r="D99" s="326"/>
      <c r="E99" s="326"/>
      <c r="F99" s="326"/>
    </row>
    <row r="100" spans="1:6">
      <c r="A100" s="1280" t="s">
        <v>73</v>
      </c>
      <c r="B100" s="1281">
        <v>1001</v>
      </c>
      <c r="C100" s="326"/>
      <c r="D100" s="326"/>
      <c r="E100" s="326"/>
      <c r="F100" s="326"/>
    </row>
    <row r="101" spans="1:6">
      <c r="A101" s="1280" t="s">
        <v>74</v>
      </c>
      <c r="B101" s="1281">
        <v>222</v>
      </c>
      <c r="C101" s="326"/>
      <c r="D101" s="326"/>
      <c r="E101" s="326"/>
      <c r="F101" s="326"/>
    </row>
    <row r="102" spans="1:6">
      <c r="A102" s="1280" t="s">
        <v>75</v>
      </c>
      <c r="B102" s="1281">
        <v>140</v>
      </c>
      <c r="C102" s="326"/>
      <c r="D102" s="326"/>
      <c r="E102" s="326"/>
      <c r="F102" s="326"/>
    </row>
    <row r="103" spans="1:6">
      <c r="A103" s="1280" t="s">
        <v>76</v>
      </c>
      <c r="B103" s="1281">
        <v>292</v>
      </c>
      <c r="C103" s="326"/>
      <c r="D103" s="326"/>
      <c r="E103" s="326"/>
      <c r="F103" s="326"/>
    </row>
    <row r="104" spans="1:6">
      <c r="A104" s="1280" t="s">
        <v>77</v>
      </c>
      <c r="B104" s="1281">
        <v>3420</v>
      </c>
      <c r="C104" s="326"/>
      <c r="D104" s="326"/>
      <c r="E104" s="326"/>
      <c r="F104" s="326"/>
    </row>
    <row r="105" spans="1:6">
      <c r="A105" s="1275" t="s">
        <v>78</v>
      </c>
      <c r="B105" s="1283">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9</v>
      </c>
      <c r="C123" s="1281">
        <v>11</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67</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13</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111890.16185904837</v>
      </c>
      <c r="C3" s="43" t="s">
        <v>163</v>
      </c>
      <c r="D3" s="43"/>
      <c r="E3" s="156"/>
      <c r="F3" s="43"/>
      <c r="G3" s="43"/>
      <c r="H3" s="43"/>
      <c r="I3" s="43"/>
      <c r="J3" s="43"/>
      <c r="K3" s="96"/>
    </row>
    <row r="4" spans="1:11">
      <c r="A4" s="352" t="s">
        <v>164</v>
      </c>
      <c r="B4" s="49">
        <f>IF(ISERROR('SEAP template'!B78+'SEAP template'!C78),0,'SEAP template'!B78+'SEAP template'!C78)</f>
        <v>4419.260292987502</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0.21227129223407004</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1565.097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1565.097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0.21227129223407004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332.22516266166633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43978.219397969297</v>
      </c>
      <c r="C5" s="17">
        <f>IF(ISERROR('Eigen informatie GS &amp; warmtenet'!B57),0,'Eigen informatie GS &amp; warmtenet'!B57)</f>
        <v>0</v>
      </c>
      <c r="D5" s="30">
        <f>(SUM(HH_hh_gas_kWh,HH_rest_gas_kWh)/1000)*0.902</f>
        <v>66597.286120369114</v>
      </c>
      <c r="E5" s="17">
        <f>B32*B41</f>
        <v>2202.9903239171658</v>
      </c>
      <c r="F5" s="17">
        <f>B36*B45</f>
        <v>75197.743310947626</v>
      </c>
      <c r="G5" s="18"/>
      <c r="H5" s="17"/>
      <c r="I5" s="17"/>
      <c r="J5" s="17">
        <f>B35*B44+C35*C44</f>
        <v>1693.262531487735</v>
      </c>
      <c r="K5" s="17"/>
      <c r="L5" s="17"/>
      <c r="M5" s="17"/>
      <c r="N5" s="17">
        <f>B34*B43+C34*C43</f>
        <v>11242.214449488611</v>
      </c>
      <c r="O5" s="17">
        <f>B52*B53*B54</f>
        <v>121.94000000000001</v>
      </c>
      <c r="P5" s="17">
        <f>B60*B61*B62/1000-B60*B61*B62/1000/B63</f>
        <v>419.4666666666667</v>
      </c>
    </row>
    <row r="6" spans="1:16">
      <c r="A6" s="16" t="s">
        <v>615</v>
      </c>
      <c r="B6" s="766">
        <f>kWh_PV_kleiner_dan_10kW</f>
        <v>2394.0773085572573</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46372.296706526555</v>
      </c>
      <c r="C8" s="21">
        <f>C5</f>
        <v>0</v>
      </c>
      <c r="D8" s="21">
        <f>D5</f>
        <v>66597.286120369114</v>
      </c>
      <c r="E8" s="21">
        <f>E5</f>
        <v>2202.9903239171658</v>
      </c>
      <c r="F8" s="21">
        <f>F5</f>
        <v>75197.743310947626</v>
      </c>
      <c r="G8" s="21"/>
      <c r="H8" s="21"/>
      <c r="I8" s="21"/>
      <c r="J8" s="21">
        <f>J5</f>
        <v>1693.262531487735</v>
      </c>
      <c r="K8" s="21"/>
      <c r="L8" s="21">
        <f>L5</f>
        <v>0</v>
      </c>
      <c r="M8" s="21">
        <f>M5</f>
        <v>0</v>
      </c>
      <c r="N8" s="21">
        <f>N5</f>
        <v>11242.214449488611</v>
      </c>
      <c r="O8" s="21">
        <f>O5</f>
        <v>121.94000000000001</v>
      </c>
      <c r="P8" s="21">
        <f>P5</f>
        <v>419.4666666666667</v>
      </c>
    </row>
    <row r="9" spans="1:16">
      <c r="B9" s="19"/>
      <c r="C9" s="19"/>
      <c r="D9" s="256"/>
      <c r="E9" s="19"/>
      <c r="F9" s="19"/>
      <c r="G9" s="19"/>
      <c r="H9" s="19"/>
      <c r="I9" s="19"/>
      <c r="J9" s="19"/>
      <c r="K9" s="19"/>
      <c r="L9" s="19"/>
      <c r="M9" s="19"/>
      <c r="N9" s="19"/>
      <c r="O9" s="19"/>
      <c r="P9" s="19"/>
    </row>
    <row r="10" spans="1:16">
      <c r="A10" s="24" t="s">
        <v>207</v>
      </c>
      <c r="B10" s="25">
        <f ca="1">'EF ele_warmte'!B12</f>
        <v>0.21227129223407004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9843.5073457561011</v>
      </c>
      <c r="C12" s="23">
        <f ca="1">C10*C8</f>
        <v>0</v>
      </c>
      <c r="D12" s="23">
        <f>D8*D10</f>
        <v>13452.651796314562</v>
      </c>
      <c r="E12" s="23">
        <f>E10*E8</f>
        <v>500.07880352919665</v>
      </c>
      <c r="F12" s="23">
        <f>F10*F8</f>
        <v>20077.797464023017</v>
      </c>
      <c r="G12" s="23"/>
      <c r="H12" s="23"/>
      <c r="I12" s="23"/>
      <c r="J12" s="23">
        <f>J10*J8</f>
        <v>599.41493614665819</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9090</v>
      </c>
      <c r="C26" s="36"/>
      <c r="D26" s="226"/>
    </row>
    <row r="27" spans="1:5" s="15" customFormat="1">
      <c r="A27" s="228" t="s">
        <v>695</v>
      </c>
      <c r="B27" s="37">
        <f>SUM(HH_hh_gas_aantal,HH_rest_gas_aantal)</f>
        <v>4741</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4503.95</v>
      </c>
      <c r="C31" s="34" t="s">
        <v>104</v>
      </c>
      <c r="D31" s="172"/>
    </row>
    <row r="32" spans="1:5">
      <c r="A32" s="169" t="s">
        <v>72</v>
      </c>
      <c r="B32" s="33">
        <f>IF((B21*($B$26-($B$27-0.05*$B$27)-$B$60))&lt;0,0,B21*($B$26-($B$27-0.05*$B$27)-$B$60))</f>
        <v>32.357145803047302</v>
      </c>
      <c r="C32" s="34" t="s">
        <v>104</v>
      </c>
      <c r="D32" s="172"/>
    </row>
    <row r="33" spans="1:6">
      <c r="A33" s="169" t="s">
        <v>73</v>
      </c>
      <c r="B33" s="33">
        <f>IF((B22*($B$26-($B$27-0.05*$B$27)-$B$60))&lt;0,0,B22*($B$26-($B$27-0.05*$B$27)-$B$60))</f>
        <v>927.35139638257351</v>
      </c>
      <c r="C33" s="34" t="s">
        <v>104</v>
      </c>
      <c r="D33" s="172"/>
    </row>
    <row r="34" spans="1:6">
      <c r="A34" s="169" t="s">
        <v>74</v>
      </c>
      <c r="B34" s="33">
        <f>IF((B24*($B$26-($B$27-0.05*$B$27)-$B$60))&lt;0,0,B24*($B$26-($B$27-0.05*$B$27)-$B$60))</f>
        <v>184.92366898416373</v>
      </c>
      <c r="C34" s="33">
        <f>B26*C24</f>
        <v>1858.7015178956931</v>
      </c>
      <c r="D34" s="231"/>
    </row>
    <row r="35" spans="1:6">
      <c r="A35" s="169" t="s">
        <v>76</v>
      </c>
      <c r="B35" s="33">
        <f>IF((B19*($B$26-($B$27-0.05*$B$27)-$B$60))&lt;0,0,B19*($B$26-($B$27-0.05*$B$27)-$B$60))</f>
        <v>96.301029175736019</v>
      </c>
      <c r="C35" s="33">
        <f>B35/2</f>
        <v>48.15051458786801</v>
      </c>
      <c r="D35" s="231"/>
    </row>
    <row r="36" spans="1:6">
      <c r="A36" s="169" t="s">
        <v>77</v>
      </c>
      <c r="B36" s="33">
        <f>IF((B18*($B$26-($B$27-0.05*$B$27)-$B$60))&lt;0,0,B18*($B$26-($B$27-0.05*$B$27)-$B$60))</f>
        <v>3323.1167596544797</v>
      </c>
      <c r="C36" s="34" t="s">
        <v>104</v>
      </c>
      <c r="D36" s="172"/>
    </row>
    <row r="37" spans="1:6">
      <c r="A37" s="169" t="s">
        <v>78</v>
      </c>
      <c r="B37" s="33">
        <f>B60</f>
        <v>22</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78</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22</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30268.485531307524</v>
      </c>
      <c r="C5" s="17">
        <f>IF(ISERROR('Eigen informatie GS &amp; warmtenet'!B58),0,'Eigen informatie GS &amp; warmtenet'!B58)</f>
        <v>0</v>
      </c>
      <c r="D5" s="30">
        <f>SUM(D6:D12)</f>
        <v>21971.519488095004</v>
      </c>
      <c r="E5" s="17">
        <f>SUM(E6:E12)</f>
        <v>635.53414629572717</v>
      </c>
      <c r="F5" s="17">
        <f>SUM(F6:F12)</f>
        <v>5590.6963714527601</v>
      </c>
      <c r="G5" s="18"/>
      <c r="H5" s="17"/>
      <c r="I5" s="17"/>
      <c r="J5" s="17">
        <f>SUM(J6:J12)</f>
        <v>0</v>
      </c>
      <c r="K5" s="17"/>
      <c r="L5" s="17"/>
      <c r="M5" s="17"/>
      <c r="N5" s="17">
        <f>SUM(N6:N12)</f>
        <v>815.03373076345224</v>
      </c>
      <c r="O5" s="17">
        <f>B38*B39*B40</f>
        <v>1.5633333333333335</v>
      </c>
      <c r="P5" s="17">
        <f>B46*B47*B48/1000-B46*B47*B48/1000/B49</f>
        <v>0</v>
      </c>
      <c r="R5" s="32"/>
    </row>
    <row r="6" spans="1:18">
      <c r="A6" s="32" t="s">
        <v>53</v>
      </c>
      <c r="B6" s="37">
        <f>B26</f>
        <v>8982.8138918593595</v>
      </c>
      <c r="C6" s="33"/>
      <c r="D6" s="37">
        <f>IF(ISERROR(TER_kantoor_gas_kWh/1000),0,TER_kantoor_gas_kWh/1000)*0.902</f>
        <v>4842.2831620186853</v>
      </c>
      <c r="E6" s="33">
        <f>$C$26*'E Balans VL '!I12/100/3.6*1000000</f>
        <v>314.43382232899967</v>
      </c>
      <c r="F6" s="33">
        <f>$C$26*('E Balans VL '!L12+'E Balans VL '!N12)/100/3.6*1000000</f>
        <v>1361.9874451302908</v>
      </c>
      <c r="G6" s="34"/>
      <c r="H6" s="33"/>
      <c r="I6" s="33"/>
      <c r="J6" s="33">
        <f>$C$26*('E Balans VL '!D12+'E Balans VL '!E12)/100/3.6*1000000</f>
        <v>0</v>
      </c>
      <c r="K6" s="33"/>
      <c r="L6" s="33"/>
      <c r="M6" s="33"/>
      <c r="N6" s="33">
        <f>$C$26*'E Balans VL '!Y12/100/3.6*1000000</f>
        <v>69.434339840701838</v>
      </c>
      <c r="O6" s="33"/>
      <c r="P6" s="33"/>
      <c r="R6" s="32"/>
    </row>
    <row r="7" spans="1:18">
      <c r="A7" s="32" t="s">
        <v>52</v>
      </c>
      <c r="B7" s="37">
        <f t="shared" ref="B7:B12" si="0">B27</f>
        <v>2702.0286574773404</v>
      </c>
      <c r="C7" s="33"/>
      <c r="D7" s="37">
        <f>IF(ISERROR(TER_horeca_gas_kWh/1000),0,TER_horeca_gas_kWh/1000)*0.902</f>
        <v>2699.2235185204559</v>
      </c>
      <c r="E7" s="33">
        <f>$C$27*'E Balans VL '!I9/100/3.6*1000000</f>
        <v>152.43034451285953</v>
      </c>
      <c r="F7" s="33">
        <f>$C$27*('E Balans VL '!L9+'E Balans VL '!N9)/100/3.6*1000000</f>
        <v>470.70834535113335</v>
      </c>
      <c r="G7" s="34"/>
      <c r="H7" s="33"/>
      <c r="I7" s="33"/>
      <c r="J7" s="33">
        <f>$C$27*('E Balans VL '!D9+'E Balans VL '!E9)/100/3.6*1000000</f>
        <v>0</v>
      </c>
      <c r="K7" s="33"/>
      <c r="L7" s="33"/>
      <c r="M7" s="33"/>
      <c r="N7" s="33">
        <f>$C$27*'E Balans VL '!Y9/100/3.6*1000000</f>
        <v>0</v>
      </c>
      <c r="O7" s="33"/>
      <c r="P7" s="33"/>
      <c r="R7" s="32"/>
    </row>
    <row r="8" spans="1:18">
      <c r="A8" s="6" t="s">
        <v>51</v>
      </c>
      <c r="B8" s="37">
        <f t="shared" si="0"/>
        <v>10121.750094077499</v>
      </c>
      <c r="C8" s="33"/>
      <c r="D8" s="37">
        <f>IF(ISERROR(TER_handel_gas_kWh/1000),0,TER_handel_gas_kWh/1000)*0.902</f>
        <v>4381.1599335656647</v>
      </c>
      <c r="E8" s="33">
        <f>$C$28*'E Balans VL '!I13/100/3.6*1000000</f>
        <v>51.964036628098945</v>
      </c>
      <c r="F8" s="33">
        <f>$C$28*('E Balans VL '!L13+'E Balans VL '!N13)/100/3.6*1000000</f>
        <v>1560.6174674129345</v>
      </c>
      <c r="G8" s="34"/>
      <c r="H8" s="33"/>
      <c r="I8" s="33"/>
      <c r="J8" s="33">
        <f>$C$28*('E Balans VL '!D13+'E Balans VL '!E13)/100/3.6*1000000</f>
        <v>0</v>
      </c>
      <c r="K8" s="33"/>
      <c r="L8" s="33"/>
      <c r="M8" s="33"/>
      <c r="N8" s="33">
        <f>$C$28*'E Balans VL '!Y13/100/3.6*1000000</f>
        <v>4.7340660715905871</v>
      </c>
      <c r="O8" s="33"/>
      <c r="P8" s="33"/>
      <c r="R8" s="32"/>
    </row>
    <row r="9" spans="1:18">
      <c r="A9" s="32" t="s">
        <v>50</v>
      </c>
      <c r="B9" s="37">
        <f t="shared" si="0"/>
        <v>571.17704958706611</v>
      </c>
      <c r="C9" s="33"/>
      <c r="D9" s="37">
        <f>IF(ISERROR(TER_gezond_gas_kWh/1000),0,TER_gezond_gas_kWh/1000)*0.902</f>
        <v>397.97617084888577</v>
      </c>
      <c r="E9" s="33">
        <f>$C$29*'E Balans VL '!I10/100/3.6*1000000</f>
        <v>0.23674881927668001</v>
      </c>
      <c r="F9" s="33">
        <f>$C$29*('E Balans VL '!L10+'E Balans VL '!N10)/100/3.6*1000000</f>
        <v>140.67271554168221</v>
      </c>
      <c r="G9" s="34"/>
      <c r="H9" s="33"/>
      <c r="I9" s="33"/>
      <c r="J9" s="33">
        <f>$C$29*('E Balans VL '!D10+'E Balans VL '!E10)/100/3.6*1000000</f>
        <v>0</v>
      </c>
      <c r="K9" s="33"/>
      <c r="L9" s="33"/>
      <c r="M9" s="33"/>
      <c r="N9" s="33">
        <f>$C$29*'E Balans VL '!Y10/100/3.6*1000000</f>
        <v>4.9363834430944218</v>
      </c>
      <c r="O9" s="33"/>
      <c r="P9" s="33"/>
      <c r="R9" s="32"/>
    </row>
    <row r="10" spans="1:18">
      <c r="A10" s="32" t="s">
        <v>49</v>
      </c>
      <c r="B10" s="37">
        <f t="shared" si="0"/>
        <v>2610.9314299307298</v>
      </c>
      <c r="C10" s="33"/>
      <c r="D10" s="37">
        <f>IF(ISERROR(TER_ander_gas_kWh/1000),0,TER_ander_gas_kWh/1000)*0.902</f>
        <v>1988.8654000205609</v>
      </c>
      <c r="E10" s="33">
        <f>$C$30*'E Balans VL '!I14/100/3.6*1000000</f>
        <v>15.916302415578967</v>
      </c>
      <c r="F10" s="33">
        <f>$C$30*('E Balans VL '!L14+'E Balans VL '!N14)/100/3.6*1000000</f>
        <v>692.19368777814657</v>
      </c>
      <c r="G10" s="34"/>
      <c r="H10" s="33"/>
      <c r="I10" s="33"/>
      <c r="J10" s="33">
        <f>$C$30*('E Balans VL '!D14+'E Balans VL '!E14)/100/3.6*1000000</f>
        <v>0</v>
      </c>
      <c r="K10" s="33"/>
      <c r="L10" s="33"/>
      <c r="M10" s="33"/>
      <c r="N10" s="33">
        <f>$C$30*'E Balans VL '!Y14/100/3.6*1000000</f>
        <v>601.76327652344071</v>
      </c>
      <c r="O10" s="33"/>
      <c r="P10" s="33"/>
      <c r="R10" s="32"/>
    </row>
    <row r="11" spans="1:18">
      <c r="A11" s="32" t="s">
        <v>54</v>
      </c>
      <c r="B11" s="37">
        <f t="shared" si="0"/>
        <v>613.14609845084806</v>
      </c>
      <c r="C11" s="33"/>
      <c r="D11" s="37">
        <f>IF(ISERROR(TER_onderwijs_gas_kWh/1000),0,TER_onderwijs_gas_kWh/1000)*0.902</f>
        <v>203.9310117584325</v>
      </c>
      <c r="E11" s="33">
        <f>$C$31*'E Balans VL '!I11/100/3.6*1000000</f>
        <v>0.46724925387417848</v>
      </c>
      <c r="F11" s="33">
        <f>$C$31*('E Balans VL '!L11+'E Balans VL '!N11)/100/3.6*1000000</f>
        <v>443.70611864332682</v>
      </c>
      <c r="G11" s="34"/>
      <c r="H11" s="33"/>
      <c r="I11" s="33"/>
      <c r="J11" s="33">
        <f>$C$31*('E Balans VL '!D11+'E Balans VL '!E11)/100/3.6*1000000</f>
        <v>0</v>
      </c>
      <c r="K11" s="33"/>
      <c r="L11" s="33"/>
      <c r="M11" s="33"/>
      <c r="N11" s="33">
        <f>$C$31*'E Balans VL '!Y11/100/3.6*1000000</f>
        <v>1.8070880913819458</v>
      </c>
      <c r="O11" s="33"/>
      <c r="P11" s="33"/>
      <c r="R11" s="32"/>
    </row>
    <row r="12" spans="1:18">
      <c r="A12" s="32" t="s">
        <v>249</v>
      </c>
      <c r="B12" s="37">
        <f t="shared" si="0"/>
        <v>4666.6383099246796</v>
      </c>
      <c r="C12" s="33"/>
      <c r="D12" s="37">
        <f>IF(ISERROR(TER_rest_gas_kWh/1000),0,TER_rest_gas_kWh/1000)*0.902</f>
        <v>7458.0802913623183</v>
      </c>
      <c r="E12" s="33">
        <f>$C$32*'E Balans VL '!I8/100/3.6*1000000</f>
        <v>100.08564233703922</v>
      </c>
      <c r="F12" s="33">
        <f>$C$32*('E Balans VL '!L8+'E Balans VL '!N8)/100/3.6*1000000</f>
        <v>920.81059159524648</v>
      </c>
      <c r="G12" s="34"/>
      <c r="H12" s="33"/>
      <c r="I12" s="33"/>
      <c r="J12" s="33">
        <f>$C$32*('E Balans VL '!D8+'E Balans VL '!E8)/100/3.6*1000000</f>
        <v>0</v>
      </c>
      <c r="K12" s="33"/>
      <c r="L12" s="33"/>
      <c r="M12" s="33"/>
      <c r="N12" s="33">
        <f>$C$32*'E Balans VL '!Y8/100/3.6*1000000</f>
        <v>132.35857679324278</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30268.485531307524</v>
      </c>
      <c r="C16" s="21">
        <f ca="1">C5+C13+C14</f>
        <v>0</v>
      </c>
      <c r="D16" s="21">
        <f t="shared" ref="D16:N16" ca="1" si="1">MAX((D5+D13+D14),0)</f>
        <v>21971.519488095004</v>
      </c>
      <c r="E16" s="21">
        <f t="shared" si="1"/>
        <v>635.53414629572717</v>
      </c>
      <c r="F16" s="21">
        <f t="shared" ca="1" si="1"/>
        <v>5590.6963714527601</v>
      </c>
      <c r="G16" s="21">
        <f t="shared" si="1"/>
        <v>0</v>
      </c>
      <c r="H16" s="21">
        <f t="shared" si="1"/>
        <v>0</v>
      </c>
      <c r="I16" s="21">
        <f t="shared" si="1"/>
        <v>0</v>
      </c>
      <c r="J16" s="21">
        <f t="shared" si="1"/>
        <v>0</v>
      </c>
      <c r="K16" s="21">
        <f t="shared" si="1"/>
        <v>0</v>
      </c>
      <c r="L16" s="21">
        <f t="shared" ca="1" si="1"/>
        <v>0</v>
      </c>
      <c r="M16" s="21">
        <f t="shared" si="1"/>
        <v>0</v>
      </c>
      <c r="N16" s="21">
        <f t="shared" ca="1" si="1"/>
        <v>815.03373076345224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0.21227129223407004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6425.1305376989003</v>
      </c>
      <c r="C20" s="23">
        <f t="shared" ref="C20:P20" ca="1" si="2">C16*C18</f>
        <v>0</v>
      </c>
      <c r="D20" s="23">
        <f t="shared" ca="1" si="2"/>
        <v>4438.2469365951911</v>
      </c>
      <c r="E20" s="23">
        <f t="shared" si="2"/>
        <v>144.26625120913008</v>
      </c>
      <c r="F20" s="23">
        <f t="shared" ca="1" si="2"/>
        <v>1492.7159311778871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8982.8138918593595</v>
      </c>
      <c r="C26" s="39">
        <f>IF(ISERROR(B26*3.6/1000000/'E Balans VL '!Z12*100),0,B26*3.6/1000000/'E Balans VL '!Z12*100)</f>
        <v>0.18902842147866436</v>
      </c>
      <c r="D26" s="234" t="s">
        <v>700</v>
      </c>
      <c r="F26" s="6"/>
    </row>
    <row r="27" spans="1:18">
      <c r="A27" s="229" t="s">
        <v>52</v>
      </c>
      <c r="B27" s="33">
        <f>IF(ISERROR(TER_horeca_ele_kWh/1000),0,TER_horeca_ele_kWh/1000)</f>
        <v>2702.0286574773404</v>
      </c>
      <c r="C27" s="39">
        <f>IF(ISERROR(B27*3.6/1000000/'E Balans VL '!Z9*100),0,B27*3.6/1000000/'E Balans VL '!Z9*100)</f>
        <v>0.22877317379839138</v>
      </c>
      <c r="D27" s="234" t="s">
        <v>700</v>
      </c>
      <c r="F27" s="6"/>
    </row>
    <row r="28" spans="1:18">
      <c r="A28" s="169" t="s">
        <v>51</v>
      </c>
      <c r="B28" s="33">
        <f>IF(ISERROR(TER_handel_ele_kWh/1000),0,TER_handel_ele_kWh/1000)</f>
        <v>10121.750094077499</v>
      </c>
      <c r="C28" s="39">
        <f>IF(ISERROR(B28*3.6/1000000/'E Balans VL '!Z13*100),0,B28*3.6/1000000/'E Balans VL '!Z13*100)</f>
        <v>0.28021925172859169</v>
      </c>
      <c r="D28" s="234" t="s">
        <v>700</v>
      </c>
      <c r="F28" s="6"/>
    </row>
    <row r="29" spans="1:18">
      <c r="A29" s="229" t="s">
        <v>50</v>
      </c>
      <c r="B29" s="33">
        <f>IF(ISERROR(TER_gezond_ele_kWh/1000),0,TER_gezond_ele_kWh/1000)</f>
        <v>571.17704958706611</v>
      </c>
      <c r="C29" s="39">
        <f>IF(ISERROR(B29*3.6/1000000/'E Balans VL '!Z10*100),0,B29*3.6/1000000/'E Balans VL '!Z10*100)</f>
        <v>7.4246684210450317E-2</v>
      </c>
      <c r="D29" s="234" t="s">
        <v>700</v>
      </c>
      <c r="F29" s="6"/>
    </row>
    <row r="30" spans="1:18">
      <c r="A30" s="229" t="s">
        <v>49</v>
      </c>
      <c r="B30" s="33">
        <f>IF(ISERROR(TER_ander_ele_kWh/1000),0,TER_ander_ele_kWh/1000)</f>
        <v>2610.9314299307298</v>
      </c>
      <c r="C30" s="39">
        <f>IF(ISERROR(B30*3.6/1000000/'E Balans VL '!Z14*100),0,B30*3.6/1000000/'E Balans VL '!Z14*100)</f>
        <v>0.20237112988995593</v>
      </c>
      <c r="D30" s="234" t="s">
        <v>700</v>
      </c>
      <c r="F30" s="6"/>
    </row>
    <row r="31" spans="1:18">
      <c r="A31" s="229" t="s">
        <v>54</v>
      </c>
      <c r="B31" s="33">
        <f>IF(ISERROR(TER_onderwijs_ele_kWh/1000),0,TER_onderwijs_ele_kWh/1000)</f>
        <v>613.14609845084806</v>
      </c>
      <c r="C31" s="39">
        <f>IF(ISERROR(B31*3.6/1000000/'E Balans VL '!Z11*100),0,B31*3.6/1000000/'E Balans VL '!Z11*100)</f>
        <v>0.11730529642206725</v>
      </c>
      <c r="D31" s="234" t="s">
        <v>700</v>
      </c>
    </row>
    <row r="32" spans="1:18">
      <c r="A32" s="229" t="s">
        <v>249</v>
      </c>
      <c r="B32" s="33">
        <f>IF(ISERROR(TER_rest_ele_kWh/1000),0,TER_rest_ele_kWh/1000)</f>
        <v>4666.6383099246796</v>
      </c>
      <c r="C32" s="39">
        <f>IF(ISERROR(B32*3.6/1000000/'E Balans VL '!Z8*100),0,B32*3.6/1000000/'E Balans VL '!Z8*100)</f>
        <v>3.8480016449515209E-2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26713.176920590806</v>
      </c>
      <c r="C5" s="17">
        <f>IF(ISERROR('Eigen informatie GS &amp; warmtenet'!B59),0,'Eigen informatie GS &amp; warmtenet'!B59)</f>
        <v>0</v>
      </c>
      <c r="D5" s="30">
        <f>SUM(D6:D15)</f>
        <v>28819.066479258359</v>
      </c>
      <c r="E5" s="17">
        <f>SUM(E6:E15)</f>
        <v>347.82421271125565</v>
      </c>
      <c r="F5" s="17">
        <f>SUM(F6:F15)</f>
        <v>6600.5369834526518</v>
      </c>
      <c r="G5" s="18"/>
      <c r="H5" s="17"/>
      <c r="I5" s="17"/>
      <c r="J5" s="17">
        <f>SUM(J6:J15)</f>
        <v>149.14093450025044</v>
      </c>
      <c r="K5" s="17"/>
      <c r="L5" s="17"/>
      <c r="M5" s="17"/>
      <c r="N5" s="17">
        <f>SUM(N6:N15)</f>
        <v>515.30093068677309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1467.6588804713899</v>
      </c>
      <c r="C8" s="33"/>
      <c r="D8" s="37">
        <f>IF( ISERROR(IND_metaal_Gas_kWH/1000),0,IND_metaal_Gas_kWH/1000)*0.902</f>
        <v>2262.1361510756092</v>
      </c>
      <c r="E8" s="33">
        <f>C30*'E Balans VL '!I18/100/3.6*1000000</f>
        <v>10.312915128829234</v>
      </c>
      <c r="F8" s="33">
        <f>C30*'E Balans VL '!L18/100/3.6*1000000+C30*'E Balans VL '!N18/100/3.6*1000000</f>
        <v>161.14035842613646</v>
      </c>
      <c r="G8" s="34"/>
      <c r="H8" s="33"/>
      <c r="I8" s="33"/>
      <c r="J8" s="40">
        <f>C30*'E Balans VL '!D18/100/3.6*1000000+C30*'E Balans VL '!E18/100/3.6*1000000</f>
        <v>30.280966084000447</v>
      </c>
      <c r="K8" s="33"/>
      <c r="L8" s="33"/>
      <c r="M8" s="33"/>
      <c r="N8" s="33">
        <f>C30*'E Balans VL '!Y18/100/3.6*1000000</f>
        <v>5.5008911846859636</v>
      </c>
      <c r="O8" s="33"/>
      <c r="P8" s="33"/>
      <c r="R8" s="32"/>
    </row>
    <row r="9" spans="1:18">
      <c r="A9" s="6" t="s">
        <v>32</v>
      </c>
      <c r="B9" s="37">
        <f t="shared" si="0"/>
        <v>2489.0652362791097</v>
      </c>
      <c r="C9" s="33"/>
      <c r="D9" s="37">
        <f>IF( ISERROR(IND_andere_gas_kWh/1000),0,IND_andere_gas_kWh/1000)*0.902</f>
        <v>1429.6731027993162</v>
      </c>
      <c r="E9" s="33">
        <f>C31*'E Balans VL '!I19/100/3.6*1000000</f>
        <v>41.806899845577711</v>
      </c>
      <c r="F9" s="33">
        <f>C31*'E Balans VL '!L19/100/3.6*1000000+C31*'E Balans VL '!N19/100/3.6*1000000</f>
        <v>1945.8094351525162</v>
      </c>
      <c r="G9" s="34"/>
      <c r="H9" s="33"/>
      <c r="I9" s="33"/>
      <c r="J9" s="40">
        <f>C31*'E Balans VL '!D19/100/3.6*1000000+C31*'E Balans VL '!E19/100/3.6*1000000</f>
        <v>0.22449171237545976</v>
      </c>
      <c r="K9" s="33"/>
      <c r="L9" s="33"/>
      <c r="M9" s="33"/>
      <c r="N9" s="33">
        <f>C31*'E Balans VL '!Y19/100/3.6*1000000</f>
        <v>184.47966754435873</v>
      </c>
      <c r="O9" s="33"/>
      <c r="P9" s="33"/>
      <c r="R9" s="32"/>
    </row>
    <row r="10" spans="1:18">
      <c r="A10" s="6" t="s">
        <v>40</v>
      </c>
      <c r="B10" s="37">
        <f t="shared" si="0"/>
        <v>1897.5152592388702</v>
      </c>
      <c r="C10" s="33"/>
      <c r="D10" s="37">
        <f>IF( ISERROR(IND_voed_gas_kWh/1000),0,IND_voed_gas_kWh/1000)*0.902</f>
        <v>1723.4140526252454</v>
      </c>
      <c r="E10" s="33">
        <f>C32*'E Balans VL '!I20/100/3.6*1000000</f>
        <v>17.312140712867386</v>
      </c>
      <c r="F10" s="33">
        <f>C32*'E Balans VL '!L20/100/3.6*1000000+C32*'E Balans VL '!N20/100/3.6*1000000</f>
        <v>306.12856211920882</v>
      </c>
      <c r="G10" s="34"/>
      <c r="H10" s="33"/>
      <c r="I10" s="33"/>
      <c r="J10" s="40">
        <f>C32*'E Balans VL '!D20/100/3.6*1000000+C32*'E Balans VL '!E20/100/3.6*1000000</f>
        <v>7.8152119087689931</v>
      </c>
      <c r="K10" s="33"/>
      <c r="L10" s="33"/>
      <c r="M10" s="33"/>
      <c r="N10" s="33">
        <f>C32*'E Balans VL '!Y20/100/3.6*1000000</f>
        <v>27.759152009889394</v>
      </c>
      <c r="O10" s="33"/>
      <c r="P10" s="33"/>
      <c r="R10" s="32"/>
    </row>
    <row r="11" spans="1:18">
      <c r="A11" s="6" t="s">
        <v>39</v>
      </c>
      <c r="B11" s="37">
        <f t="shared" si="0"/>
        <v>194.25890058598401</v>
      </c>
      <c r="C11" s="33"/>
      <c r="D11" s="37">
        <f>IF( ISERROR(IND_textiel_gas_kWh/1000),0,IND_textiel_gas_kWh/1000)*0.902</f>
        <v>0</v>
      </c>
      <c r="E11" s="33">
        <f>C33*'E Balans VL '!I21/100/3.6*1000000</f>
        <v>0.44306851875119102</v>
      </c>
      <c r="F11" s="33">
        <f>C33*'E Balans VL '!L21/100/3.6*1000000+C33*'E Balans VL '!N21/100/3.6*1000000</f>
        <v>4.1524641743439918</v>
      </c>
      <c r="G11" s="34"/>
      <c r="H11" s="33"/>
      <c r="I11" s="33"/>
      <c r="J11" s="40">
        <f>C33*'E Balans VL '!D21/100/3.6*1000000+C33*'E Balans VL '!E21/100/3.6*1000000</f>
        <v>0</v>
      </c>
      <c r="K11" s="33"/>
      <c r="L11" s="33"/>
      <c r="M11" s="33"/>
      <c r="N11" s="33">
        <f>C33*'E Balans VL '!Y21/100/3.6*1000000</f>
        <v>1.3780464333769191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4206.26964852725</v>
      </c>
      <c r="C13" s="33"/>
      <c r="D13" s="37">
        <f>IF( ISERROR(IND_papier_gas_kWh/1000),0,IND_papier_gas_kWh/1000)*0.902</f>
        <v>170.55940854040389</v>
      </c>
      <c r="E13" s="33">
        <f>C35*'E Balans VL '!I23/100/3.6*1000000</f>
        <v>129.41593969907433</v>
      </c>
      <c r="F13" s="33">
        <f>C35*'E Balans VL '!L23/100/3.6*1000000+C35*'E Balans VL '!N23/100/3.6*1000000</f>
        <v>893.13804682141426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16458.4089954882</v>
      </c>
      <c r="C15" s="33"/>
      <c r="D15" s="37">
        <f>IF( ISERROR(IND_rest_gas_kWh/1000),0,IND_rest_gas_kWh/1000)*0.902</f>
        <v>23233.283764217784</v>
      </c>
      <c r="E15" s="33">
        <f>C37*'E Balans VL '!I15/100/3.6*1000000</f>
        <v>148.53324880615585</v>
      </c>
      <c r="F15" s="33">
        <f>C37*'E Balans VL '!L15/100/3.6*1000000+C37*'E Balans VL '!N15/100/3.6*1000000</f>
        <v>3290.1681167590323</v>
      </c>
      <c r="G15" s="34"/>
      <c r="H15" s="33"/>
      <c r="I15" s="33"/>
      <c r="J15" s="40">
        <f>C37*'E Balans VL '!D15/100/3.6*1000000+C37*'E Balans VL '!E15/100/3.6*1000000</f>
        <v>110.82026479510553</v>
      </c>
      <c r="K15" s="33"/>
      <c r="L15" s="33"/>
      <c r="M15" s="33"/>
      <c r="N15" s="33">
        <f>C37*'E Balans VL '!Y15/100/3.6*1000000</f>
        <v>296.18317351446206</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26713.176920590806</v>
      </c>
      <c r="C18" s="21">
        <f>C5+C16</f>
        <v>0</v>
      </c>
      <c r="D18" s="21">
        <f>MAX((D5+D16),0)</f>
        <v>28819.066479258359</v>
      </c>
      <c r="E18" s="21">
        <f>MAX((E5+E16),0)</f>
        <v>347.82421271125565</v>
      </c>
      <c r="F18" s="21">
        <f>MAX((F5+F16),0)</f>
        <v>6600.5369834526518</v>
      </c>
      <c r="G18" s="21"/>
      <c r="H18" s="21"/>
      <c r="I18" s="21"/>
      <c r="J18" s="21">
        <f>MAX((J5+J16),0)</f>
        <v>149.14093450025044</v>
      </c>
      <c r="K18" s="21"/>
      <c r="L18" s="21">
        <f>MAX((L5+L16),0)</f>
        <v>0</v>
      </c>
      <c r="M18" s="21"/>
      <c r="N18" s="21">
        <f>MAX((N5+N16),0)</f>
        <v>515.30093068677309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0.21227129223407004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5670.4405846111458</v>
      </c>
      <c r="C22" s="23">
        <f ca="1">C18*C20</f>
        <v>0</v>
      </c>
      <c r="D22" s="23">
        <f>D18*D20</f>
        <v>5821.4514288101891</v>
      </c>
      <c r="E22" s="23">
        <f>E18*E20</f>
        <v>78.956096285455033</v>
      </c>
      <c r="F22" s="23">
        <f>F18*F20</f>
        <v>1762.3433745818581</v>
      </c>
      <c r="G22" s="23"/>
      <c r="H22" s="23"/>
      <c r="I22" s="23"/>
      <c r="J22" s="23">
        <f>J18*J20</f>
        <v>52.795890813088654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1467.6588804713899</v>
      </c>
      <c r="C30" s="39">
        <f>IF(ISERROR(B30*3.6/1000000/'E Balans VL '!Z18*100),0,B30*3.6/1000000/'E Balans VL '!Z18*100)</f>
        <v>9.7702947900595138E-2</v>
      </c>
      <c r="D30" s="234" t="s">
        <v>700</v>
      </c>
    </row>
    <row r="31" spans="1:18">
      <c r="A31" s="6" t="s">
        <v>32</v>
      </c>
      <c r="B31" s="37">
        <f>IF( ISERROR(IND_ander_ele_kWh/1000),0,IND_ander_ele_kWh/1000)</f>
        <v>2489.0652362791097</v>
      </c>
      <c r="C31" s="39">
        <f>IF(ISERROR(B31*3.6/1000000/'E Balans VL '!Z19*100),0,B31*3.6/1000000/'E Balans VL '!Z19*100)</f>
        <v>0.11033039789101094</v>
      </c>
      <c r="D31" s="234" t="s">
        <v>700</v>
      </c>
    </row>
    <row r="32" spans="1:18">
      <c r="A32" s="169" t="s">
        <v>40</v>
      </c>
      <c r="B32" s="37">
        <f>IF( ISERROR(IND_voed_ele_kWh/1000),0,IND_voed_ele_kWh/1000)</f>
        <v>1897.5152592388702</v>
      </c>
      <c r="C32" s="39">
        <f>IF(ISERROR(B32*3.6/1000000/'E Balans VL '!Z20*100),0,B32*3.6/1000000/'E Balans VL '!Z20*100)</f>
        <v>6.3382452925360627E-2</v>
      </c>
      <c r="D32" s="234" t="s">
        <v>700</v>
      </c>
    </row>
    <row r="33" spans="1:5">
      <c r="A33" s="169" t="s">
        <v>39</v>
      </c>
      <c r="B33" s="37">
        <f>IF( ISERROR(IND_textiel_ele_kWh/1000),0,IND_textiel_ele_kWh/1000)</f>
        <v>194.25890058598401</v>
      </c>
      <c r="C33" s="39">
        <f>IF(ISERROR(B33*3.6/1000000/'E Balans VL '!Z21*100),0,B33*3.6/1000000/'E Balans VL '!Z21*100)</f>
        <v>2.5574632230935711E-2</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4206.26964852725</v>
      </c>
      <c r="C35" s="39">
        <f>IF(ISERROR(B35*3.6/1000000/'E Balans VL '!Z22*100),0,B35*3.6/1000000/'E Balans VL '!Z22*100)</f>
        <v>0.8180732433928124</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16458.4089954882</v>
      </c>
      <c r="C37" s="39">
        <f>IF(ISERROR(B37*3.6/1000000/'E Balans VL '!Z15*100),0,B37*3.6/1000000/'E Balans VL '!Z15*100)</f>
        <v>0.12242374988461124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3884.917345142363</v>
      </c>
      <c r="C5" s="17">
        <f>'Eigen informatie GS &amp; warmtenet'!B60</f>
        <v>0</v>
      </c>
      <c r="D5" s="30">
        <f>IF(ISERROR(SUM(LB_lb_gas_kWh,LB_rest_gas_kWh)/1000),0,SUM(LB_lb_gas_kWh,LB_rest_gas_kWh)/1000)*0.902</f>
        <v>192.85186224670932</v>
      </c>
      <c r="E5" s="17">
        <f>B17*'E Balans VL '!I25/3.6*1000000/100</f>
        <v>40.683695488638214</v>
      </c>
      <c r="F5" s="17">
        <f>B17*('E Balans VL '!L25/3.6*1000000+'E Balans VL '!N25/3.6*1000000)/100</f>
        <v>16630.398147466974</v>
      </c>
      <c r="G5" s="18"/>
      <c r="H5" s="17"/>
      <c r="I5" s="17"/>
      <c r="J5" s="17">
        <f>('E Balans VL '!D25+'E Balans VL '!E25)/3.6*1000000*landbouw!B17/100</f>
        <v>346.95794002941381</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3884.917345142363</v>
      </c>
      <c r="C8" s="21">
        <f>C5+C6</f>
        <v>0</v>
      </c>
      <c r="D8" s="21">
        <f>MAX((D5+D6),0)</f>
        <v>192.85186224670932</v>
      </c>
      <c r="E8" s="21">
        <f>MAX((E5+E6),0)</f>
        <v>40.683695488638214</v>
      </c>
      <c r="F8" s="21">
        <f>MAX((F5+F6),0)</f>
        <v>16630.398147466974</v>
      </c>
      <c r="G8" s="21"/>
      <c r="H8" s="21"/>
      <c r="I8" s="21"/>
      <c r="J8" s="21">
        <f>MAX((J5+J6),0)</f>
        <v>346.95794002941381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0.21227129223407004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824.65642507592213</v>
      </c>
      <c r="C12" s="23">
        <f ca="1">C8*C10</f>
        <v>0</v>
      </c>
      <c r="D12" s="23">
        <f>D8*D10</f>
        <v>38.956076173835285</v>
      </c>
      <c r="E12" s="23">
        <f>E8*E10</f>
        <v>9.2351988759208758</v>
      </c>
      <c r="F12" s="23">
        <f>F8*F10</f>
        <v>4440.3163053736826</v>
      </c>
      <c r="G12" s="23"/>
      <c r="H12" s="23"/>
      <c r="I12" s="23"/>
      <c r="J12" s="23">
        <f>J8*J10</f>
        <v>122.82311077041248</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0.59796377218071639</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811.4519076627962</v>
      </c>
      <c r="C26" s="244">
        <f>B26*'GWP N2O_CH4'!B5</f>
        <v>17040.490060918721</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409.49646311923516</v>
      </c>
      <c r="C27" s="244">
        <f>B27*'GWP N2O_CH4'!B5</f>
        <v>8599.4257255039374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13.354325580643366</v>
      </c>
      <c r="C28" s="244">
        <f>B28*'GWP N2O_CH4'!B4</f>
        <v>4139.8409299994437</v>
      </c>
      <c r="D28" s="50"/>
    </row>
    <row r="29" spans="1:4">
      <c r="A29" s="41" t="s">
        <v>266</v>
      </c>
      <c r="B29" s="244">
        <f>B34*'ha_N2O bodem landbouw'!B4</f>
        <v>42.646075613933874</v>
      </c>
      <c r="C29" s="244">
        <f>B29*'GWP N2O_CH4'!B4</f>
        <v>13220.283440319501</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7.0478240958266178E-3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1.533176241087322E-5</v>
      </c>
      <c r="C5" s="433" t="s">
        <v>204</v>
      </c>
      <c r="D5" s="418">
        <f>SUM(D6:D11)</f>
        <v>4.8116112739793912E-5</v>
      </c>
      <c r="E5" s="418">
        <f>SUM(E6:E11)</f>
        <v>5.7029104047207815E-3</v>
      </c>
      <c r="F5" s="431" t="s">
        <v>204</v>
      </c>
      <c r="G5" s="418">
        <f>SUM(G6:G11)</f>
        <v>1.1862239065590283</v>
      </c>
      <c r="H5" s="418">
        <f>SUM(H6:H11)</f>
        <v>0.16537798606016268</v>
      </c>
      <c r="I5" s="433" t="s">
        <v>204</v>
      </c>
      <c r="J5" s="433" t="s">
        <v>204</v>
      </c>
      <c r="K5" s="433" t="s">
        <v>204</v>
      </c>
      <c r="L5" s="433" t="s">
        <v>204</v>
      </c>
      <c r="M5" s="418">
        <f>SUM(M6:M11)</f>
        <v>5.8713080090878209E-2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2.8935439481347821E-6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9.1615995360252878E-6</v>
      </c>
      <c r="E6" s="421">
        <f>vkm_GW_PW*SUMIFS(TableVerdeelsleutelVkm[LPG],TableVerdeelsleutelVkm[Voertuigtype],"Lichte voertuigen")*SUMIFS(TableECFTransport[EnergieConsumptieFactor (PJ per km)],TableECFTransport[Index],CONCATENATE($A6,"_LPG_LPG"))</f>
        <v>9.5471833752399412E-4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0.12716872056227954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3.0507501472884203E-2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6.8824338412271481E-3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1.5327692994296719E-7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6.9093739670854554E-2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1.8707117109692878E-6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2.9765870368110687E-3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1.4962303364702967E-6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8.0511444414765234E-6</v>
      </c>
      <c r="E8" s="421">
        <f>vkm_NGW_PW*SUMIFS(TableVerdeelsleutelVkm[LPG],TableVerdeelsleutelVkm[Voertuigtype],"Lichte voertuigen")*SUMIFS(TableECFTransport[EnergieConsumptieFactor (PJ per km)],TableECFTransport[Index],CONCATENATE($A8,"_LPG_LPG"))</f>
        <v>7.9177879105031621E-4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9.9855921644886977E-2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2.5350834993751462E-2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5.4684850273351814E-3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5.0124205971399197E-8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3.1297412102401279E-2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7.3840397178686799E-7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1.3483005125312982E-3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9.9019419677685794E-6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3.0903368762292097E-5</v>
      </c>
      <c r="E10" s="421">
        <f>vkm_SW_PW*SUMIFS(TableVerdeelsleutelVkm[LPG],TableVerdeelsleutelVkm[Voertuigtype],"Lichte voertuigen")*SUMIFS(TableECFTransport[EnergieConsumptieFactor (PJ per km)],TableECFTransport[Index],CONCATENATE($A10,"_LPG_LPG"))</f>
        <v>3.9564132761464709E-3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0.49489900136518289</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0.10950653050139403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2.6359887589600554E-2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8.3664502258519761E-7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0.36390911121342318</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1.0509976450248995E-5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1.5677386083372959E-2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4.2588228919092277</v>
      </c>
      <c r="C14" s="21"/>
      <c r="D14" s="21">
        <f t="shared" ref="D14:M14" si="0">((D5)*10^9/3600)+D12</f>
        <v>13.365586872164975</v>
      </c>
      <c r="E14" s="21">
        <f t="shared" si="0"/>
        <v>1584.141779089106</v>
      </c>
      <c r="F14" s="21"/>
      <c r="G14" s="21">
        <f t="shared" si="0"/>
        <v>329506.64071084122</v>
      </c>
      <c r="H14" s="21">
        <f t="shared" si="0"/>
        <v>45938.329461156303</v>
      </c>
      <c r="I14" s="21"/>
      <c r="J14" s="21"/>
      <c r="K14" s="21"/>
      <c r="L14" s="21"/>
      <c r="M14" s="21">
        <f t="shared" si="0"/>
        <v>16309.188914132836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0.21227129223407004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0.90402583866161101</v>
      </c>
      <c r="C18" s="23"/>
      <c r="D18" s="23">
        <f t="shared" ref="D18:M18" si="1">D14*D16</f>
        <v>2.6998485481773251</v>
      </c>
      <c r="E18" s="23">
        <f t="shared" si="1"/>
        <v>359.60018385322707</v>
      </c>
      <c r="F18" s="23"/>
      <c r="G18" s="23">
        <f t="shared" si="1"/>
        <v>87978.27306979461</v>
      </c>
      <c r="H18" s="23">
        <f t="shared" si="1"/>
        <v>11438.64403582792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3.0332838328970811E-5</v>
      </c>
      <c r="C50" s="315">
        <f t="shared" ref="C50:P50" si="2">SUM(C51:C52)</f>
        <v>0</v>
      </c>
      <c r="D50" s="315">
        <f t="shared" si="2"/>
        <v>0</v>
      </c>
      <c r="E50" s="315">
        <f t="shared" si="2"/>
        <v>0</v>
      </c>
      <c r="F50" s="315">
        <f t="shared" si="2"/>
        <v>0</v>
      </c>
      <c r="G50" s="315">
        <f t="shared" si="2"/>
        <v>6.5804047380699122E-3</v>
      </c>
      <c r="H50" s="315">
        <f t="shared" si="2"/>
        <v>0</v>
      </c>
      <c r="I50" s="315">
        <f t="shared" si="2"/>
        <v>0</v>
      </c>
      <c r="J50" s="315">
        <f t="shared" si="2"/>
        <v>0</v>
      </c>
      <c r="K50" s="315">
        <f t="shared" si="2"/>
        <v>0</v>
      </c>
      <c r="L50" s="315">
        <f t="shared" si="2"/>
        <v>0</v>
      </c>
      <c r="M50" s="315">
        <f t="shared" si="2"/>
        <v>2.8174765391085146E-4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3.0332838328970811E-5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6.5804047380699122E-3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2.8174765391085146E-4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8.4257884247141135</v>
      </c>
      <c r="C54" s="21">
        <f t="shared" ref="C54:P54" si="3">(C50)*10^9/3600</f>
        <v>0</v>
      </c>
      <c r="D54" s="21">
        <f t="shared" si="3"/>
        <v>0</v>
      </c>
      <c r="E54" s="21">
        <f t="shared" si="3"/>
        <v>0</v>
      </c>
      <c r="F54" s="21">
        <f t="shared" si="3"/>
        <v>0</v>
      </c>
      <c r="G54" s="21">
        <f t="shared" si="3"/>
        <v>1827.8902050194201</v>
      </c>
      <c r="H54" s="21">
        <f t="shared" si="3"/>
        <v>0</v>
      </c>
      <c r="I54" s="21">
        <f t="shared" si="3"/>
        <v>0</v>
      </c>
      <c r="J54" s="21">
        <f t="shared" si="3"/>
        <v>0</v>
      </c>
      <c r="K54" s="21">
        <f t="shared" si="3"/>
        <v>0</v>
      </c>
      <c r="L54" s="21">
        <f t="shared" si="3"/>
        <v>0</v>
      </c>
      <c r="M54" s="21">
        <f t="shared" si="3"/>
        <v>78.263237197458736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0.21227129223407004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1.7885529970049343</v>
      </c>
      <c r="C58" s="23">
        <f t="shared" ref="C58:P58" ca="1" si="4">C54*C56</f>
        <v>0</v>
      </c>
      <c r="D58" s="23">
        <f t="shared" si="4"/>
        <v>0</v>
      </c>
      <c r="E58" s="23">
        <f t="shared" si="4"/>
        <v>0</v>
      </c>
      <c r="F58" s="23">
        <f t="shared" si="4"/>
        <v>0</v>
      </c>
      <c r="G58" s="23">
        <f t="shared" si="4"/>
        <v>488.04668474018519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4419.260292987502</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4419.260292987502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2021-11-11T13:44:59Z</dcterms:modified>
</cp:coreProperties>
</file>