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26B27FD6-C1F8-468E-933A-01F7E927FED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I9" i="18"/>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Q87" i="14" s="1"/>
  <c r="I8" i="18"/>
  <c r="I10" i="18" s="1"/>
  <c r="H10" i="18"/>
  <c r="M76" i="14"/>
  <c r="E10" i="18"/>
  <c r="F76" i="14"/>
  <c r="O17" i="18"/>
  <c r="O20" i="18" s="1"/>
  <c r="P9" i="55"/>
  <c r="J20" i="18"/>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B76" i="14"/>
  <c r="I90" i="14"/>
  <c r="B87" i="14"/>
  <c r="C87" i="14"/>
  <c r="H14" i="15"/>
  <c r="H16" i="15" s="1"/>
  <c r="G14" i="15"/>
  <c r="G16" i="15" s="1"/>
  <c r="C76" i="14" l="1"/>
  <c r="I78" i="14"/>
  <c r="G5" i="48"/>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4" i="13"/>
  <c r="B33" i="13"/>
  <c r="B32" i="13"/>
  <c r="B35" i="13"/>
  <c r="C35" i="13" s="1"/>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<sst xmlns="http://schemas.openxmlformats.org/spreadsheetml/2006/main" count="2574" uniqueCount="979">
  <si>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</si>
  <si>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</si>
  <si>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</si>
  <si>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</si>
  <si>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</si>
  <si>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</si>
  <si>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</si>
  <si>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</si>
  <si>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</si>
  <si>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</si>
  <si>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</si>
  <si>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</si>
  <si>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</si>
  <si>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</si>
  <si>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</si>
  <si>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</si>
  <si>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</si>
  <si>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</si>
  <si>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</si>
  <si>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</si>
  <si>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</si>
  <si>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</si>
  <si>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</si>
  <si>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</si>
  <si>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</si>
  <si>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</si>
  <si>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</si>
  <si>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</si>
  <si>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</si>
  <si>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</si>
  <si>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</si>
  <si>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</si>
  <si>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</si>
  <si>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</si>
  <si>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</si>
  <si>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</si>
  <si>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</si>
  <si>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</si>
  <si>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</si>
  <si>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</si>
  <si>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</si>
  <si>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</si>
  <si>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</si>
  <si>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</si>
  <si>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</si>
  <si>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</si>
  <si>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</si>
  <si>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</si>
  <si>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</si>
  <si>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</si>
  <si>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</si>
  <si>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</si>
  <si>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</si>
  <si>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</si>
  <si>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</si>
  <si>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</si>
  <si>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</si>
  <si>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</si>
  <si>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</si>
  <si>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</si>
  <si>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</si>
  <si>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</si>
  <si>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</si>
  <si>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</si>
  <si>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</si>
  <si>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</si>
  <si>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</si>
  <si>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</si>
  <si>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</si>
  <si>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</si>
  <si>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</si>
  <si>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</si>
  <si>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</si>
  <si>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</si>
  <si>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</si>
  <si>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</si>
  <si>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</si>
  <si>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</si>
  <si>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</si>
  <si>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</si>
  <si>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</si>
  <si>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</si>
  <si>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</si>
  <si>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</si>
  <si>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</si>
  <si>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</si>
  <si>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</si>
  <si>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</si>
  <si>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</si>
  <si>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</si>
  <si>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</si>
  <si>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</si>
  <si>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</si>
  <si>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</si>
  <si>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</si>
  <si>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</si>
  <si>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</si>
  <si>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</si>
  <si>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</si>
  <si>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</si>
  <si>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</si>
  <si>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</si>
  <si>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</si>
  <si>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</si>
  <si>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</si>
  <si>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</si>
  <si>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</si>
  <si>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</si>
  <si>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</si>
  <si>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</si>
  <si>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</si>
  <si>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</si>
  <si>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</si>
  <si>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</si>
  <si>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</si>
  <si>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</si>
  <si>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</si>
  <si>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</si>
  <si>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</si>
  <si>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</si>
  <si>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</si>
  <si>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</si>
  <si>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</si>
  <si>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</si>
  <si>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</si>
  <si>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</si>
  <si>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</si>
  <si>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</si>
  <si>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</si>
  <si>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</si>
  <si>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</si>
  <si>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</si>
  <si>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</si>
  <si>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</si>
  <si>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</si>
  <si>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</si>
  <si>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</si>
  <si>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</si>
  <si>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</si>
  <si>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</si>
  <si>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</si>
  <si>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</si>
  <si>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</si>
  <si>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</si>
  <si>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</si>
  <si>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</si>
  <si>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</si>
  <si>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</si>
  <si>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</si>
  <si>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</si>
  <si>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</si>
  <si>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</si>
  <si>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</si>
  <si>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</si>
  <si>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</si>
  <si>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</si>
  <si>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</si>
  <si>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</si>
  <si>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</si>
  <si>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</si>
  <si>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</si>
  <si>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</si>
  <si>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</si>
  <si>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</si>
  <si>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</si>
  <si>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</si>
  <si>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</si>
  <si>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</si>
  <si>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</si>
  <si>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</si>
  <si>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</si>
  <si>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</si>
  <si>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</si>
  <si>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</si>
  <si>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</si>
  <si>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</si>
  <si>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</si>
  <si>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</si>
  <si>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</si>
  <si>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</si>
  <si>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</si>
  <si>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</si>
  <si>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</si>
  <si>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</si>
  <si>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</si>
  <si>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</si>
  <si>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</si>
  <si>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</si>
  <si>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</si>
  <si>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</si>
  <si>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</si>
  <si>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</si>
  <si>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</si>
  <si>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</si>
  <si>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</si>
  <si>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</si>
  <si>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</si>
  <si>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</si>
  <si>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</si>
  <si>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</si>
  <si>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</si>
  <si>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</si>
  <si>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</si>
  <si>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</si>
  <si>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</si>
  <si>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</si>
  <si>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</si>
  <si>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</si>
  <si>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</si>
  <si>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</si>
  <si>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</si>
  <si>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</si>
  <si>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</si>
  <si>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</si>
  <si>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</si>
  <si>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</si>
  <si>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</si>
  <si>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</si>
  <si>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</si>
  <si>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</si>
  <si>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</si>
  <si>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</si>
  <si>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</si>
  <si>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</si>
  <si>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</si>
  <si>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</si>
  <si>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</si>
  <si>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</si>
  <si>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</si>
  <si>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</si>
  <si>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</si>
  <si>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</si>
  <si>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</si>
  <si>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</si>
  <si>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</si>
  <si>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</si>
  <si>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</si>
  <si>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</si>
  <si>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</si>
  <si>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</si>
  <si>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</si>
  <si>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</si>
  <si>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</si>
  <si>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</si>
  <si>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</si>
  <si>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</si>
  <si>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</si>
  <si>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</si>
  <si>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</si>
  <si>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</si>
  <si>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</si>
  <si>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</si>
  <si>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</si>
  <si>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</si>
  <si>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</si>
  <si>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</si>
  <si>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</si>
  <si>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</si>
  <si>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</si>
  <si>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</si>
  <si>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</si>
  <si>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</si>
  <si>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</si>
  <si>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</si>
  <si>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</si>
  <si>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</si>
  <si>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</si>
  <si>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</si>
  <si>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</si>
  <si>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</si>
  <si>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</si>
  <si>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</si>
  <si>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</si>
  <si>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</si>
  <si>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</si>
  <si>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</si>
  <si>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</si>
  <si>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</si>
  <si>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</si>
  <si>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</si>
  <si>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</si>
  <si>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</si>
  <si>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</si>
  <si>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</si>
  <si>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</si>
  <si>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</si>
  <si>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</si>
  <si>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</si>
  <si>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</si>
  <si>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</si>
  <si>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</si>
  <si>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</si>
  <si>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</si>
  <si>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</si>
  <si>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</si>
  <si>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</si>
  <si>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</si>
  <si>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</si>
  <si>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</si>
  <si>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</si>
  <si>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</si>
  <si>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</si>
  <si>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</si>
  <si>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</si>
  <si>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</si>
  <si>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</si>
  <si>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</si>
  <si>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</si>
  <si>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</si>
  <si>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</si>
  <si>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</si>
  <si>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</si>
  <si>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</si>
  <si>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</si>
  <si>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</si>
  <si>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</si>
  <si>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</si>
  <si>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</si>
  <si>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</si>
  <si>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</si>
  <si>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</si>
  <si>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</si>
  <si>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</si>
  <si>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</si>
  <si>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</si>
  <si>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</si>
  <si>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</si>
  <si>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</si>
  <si>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</si>
  <si>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</si>
  <si>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</si>
  <si>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</si>
  <si>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</si>
  <si>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</si>
  <si>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</si>
  <si>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</si>
  <si>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</si>
  <si>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</si>
  <si>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</si>
  <si>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</si>
  <si>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</si>
  <si>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</si>
  <si>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</si>
  <si>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</si>
  <si>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</si>
  <si>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</si>
  <si>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</si>
  <si>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</si>
  <si>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</si>
  <si>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</si>
  <si>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</si>
  <si>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</si>
  <si>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</si>
  <si>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</si>
  <si>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</si>
  <si>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</si>
  <si>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</si>
  <si>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</si>
  <si>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</si>
  <si>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</si>
  <si>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</si>
  <si>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</si>
  <si>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</si>
  <si>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</si>
  <si>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</si>
  <si>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</si>
  <si>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</si>
  <si>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</si>
  <si>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</si>
  <si>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</si>
  <si>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</si>
  <si>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</si>
  <si>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</si>
  <si>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</si>
  <si>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</si>
  <si>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</si>
  <si>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</si>
  <si>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</si>
  <si>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</si>
  <si>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</si>
  <si>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</si>
  <si>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</si>
  <si>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</si>
  <si>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</si>
  <si>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</si>
  <si>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</si>
  <si>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</si>
  <si>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</si>
  <si>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</si>
  <si>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</si>
  <si>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</si>
  <si>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</si>
  <si>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</si>
  <si>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</si>
  <si>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</si>
  <si>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</si>
  <si>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</si>
  <si>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</si>
  <si>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</si>
  <si>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</si>
  <si>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</si>
  <si>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</si>
  <si>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</si>
  <si>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</si>
  <si>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</si>
  <si>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</si>
  <si>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</si>
  <si>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</si>
  <si>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</si>
  <si>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</si>
  <si>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</si>
  <si>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</si>
  <si>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</si>
  <si>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</si>
  <si>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</si>
  <si>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</si>
  <si>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</si>
  <si>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</si>
  <si>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</si>
  <si>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</si>
  <si>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</si>
  <si>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</si>
  <si>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</si>
  <si>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</si>
  <si>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</si>
  <si>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</si>
  <si>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</si>
  <si>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</si>
  <si>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</si>
  <si>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</si>
  <si>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</si>
  <si>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</si>
  <si>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</si>
  <si>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</si>
  <si>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</si>
  <si>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</si>
  <si>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</si>
  <si>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</si>
  <si>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</si>
  <si>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</si>
  <si>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</si>
  <si>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</si>
  <si>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</si>
  <si>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</si>
  <si>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</si>
  <si>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</si>
  <si>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</si>
  <si>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</si>
  <si>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</si>
  <si>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</si>
  <si>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</si>
  <si>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</si>
  <si>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</si>
  <si>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</si>
  <si>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</si>
  <si>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</si>
  <si>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</si>
  <si>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</si>
  <si>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</si>
  <si>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</si>
  <si>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</si>
  <si>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</si>
  <si>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</si>
  <si>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</si>
  <si>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</si>
  <si>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</si>
  <si>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</si>
  <si>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</si>
  <si>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</si>
  <si>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</si>
  <si>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</si>
  <si>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</si>
  <si>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</si>
  <si>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</si>
  <si>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</si>
  <si>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</si>
  <si>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</si>
  <si>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</si>
  <si>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</si>
  <si>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</si>
  <si>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</si>
  <si>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</si>
  <si>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</si>
  <si>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</si>
  <si>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</si>
  <si>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</si>
  <si>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</si>
  <si>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</si>
  <si>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</si>
  <si>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</si>
  <si>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</si>
  <si>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</si>
  <si>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</si>
  <si>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</si>
  <si>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</si>
  <si>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</si>
  <si>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</si>
  <si>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</si>
  <si>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</si>
  <si>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</si>
  <si>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</si>
  <si>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</si>
  <si>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</si>
  <si>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</si>
  <si>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</si>
  <si>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</si>
  <si>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</si>
  <si>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</si>
  <si>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</si>
  <si>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</si>
  <si>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</si>
  <si>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</si>
  <si>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</si>
  <si>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</si>
  <si>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</si>
  <si>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</si>
  <si>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</si>
  <si>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</si>
  <si>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</si>
  <si>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</si>
  <si>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</si>
  <si>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</si>
  <si>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</si>
  <si>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</si>
  <si>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</si>
  <si>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</si>
  <si>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</si>
  <si>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</si>
  <si>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</si>
  <si>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</si>
  <si>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</si>
  <si>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</si>
  <si>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</si>
  <si>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</si>
  <si>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</si>
  <si>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</si>
  <si>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</si>
  <si>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</si>
  <si>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</si>
  <si>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</si>
  <si>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</si>
  <si>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</si>
  <si>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</si>
  <si>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</si>
  <si>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</si>
  <si>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</si>
  <si>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</si>
  <si>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</si>
  <si>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</si>
  <si>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</si>
  <si>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</si>
  <si>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</si>
  <si>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</si>
  <si>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</si>
  <si>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</si>
  <si>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</si>
  <si>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</si>
  <si>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</si>
  <si>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</si>
  <si>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</si>
  <si>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</si>
  <si>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</si>
  <si>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</si>
  <si>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</si>
  <si>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</si>
  <si>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</si>
  <si>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</si>
  <si>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</si>
  <si>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</si>
  <si>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</si>
  <si>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</si>
  <si>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</si>
  <si>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</si>
  <si>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</si>
  <si>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</si>
  <si>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</si>
  <si>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</si>
  <si>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</si>
  <si>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</si>
  <si>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</si>
  <si>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</si>
  <si>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</si>
  <si>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</si>
  <si>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</si>
  <si>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</si>
  <si>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</si>
  <si>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</si>
  <si>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</si>
  <si>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</si>
  <si>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</si>
  <si>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</si>
  <si>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</si>
  <si>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</si>
  <si>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</si>
  <si>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</si>
  <si>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</si>
  <si>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</si>
  <si>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</si>
  <si>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</si>
  <si>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</si>
  <si>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</si>
  <si>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</si>
  <si>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</si>
  <si>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</si>
  <si>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</si>
  <si>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</si>
  <si>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</si>
  <si>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</si>
  <si>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</si>
  <si>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</si>
  <si>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</si>
  <si>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</si>
  <si>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</si>
  <si>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</si>
  <si>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</si>
  <si>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</si>
  <si>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</si>
  <si>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</si>
  <si>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</si>
  <si>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</si>
  <si>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</si>
  <si>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</si>
  <si>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</si>
  <si>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</si>
  <si>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</si>
  <si>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</si>
  <si>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</si>
  <si>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</si>
  <si>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</si>
  <si>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</si>
  <si>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</si>
  <si>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</si>
  <si>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</si>
  <si>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</si>
  <si>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</si>
  <si>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</si>
  <si>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</si>
  <si>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</si>
  <si>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</si>
  <si>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</si>
  <si>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</si>
  <si>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</si>
  <si>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</si>
  <si>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</si>
  <si>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</si>
  <si>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</si>
  <si>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</si>
  <si>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</si>
  <si>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</si>
  <si>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</si>
  <si>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</si>
  <si>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</si>
  <si>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</si>
  <si>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</si>
  <si>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</si>
  <si>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</si>
  <si>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</si>
  <si>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</si>
  <si>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</si>
  <si>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</si>
  <si>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</si>
  <si>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</si>
  <si>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</si>
  <si>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</si>
  <si>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</si>
  <si>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</si>
  <si>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</si>
  <si>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</si>
  <si>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</si>
  <si>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</si>
  <si>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</si>
  <si>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</si>
  <si>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</si>
  <si>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</si>
  <si>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</si>
  <si>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</si>
  <si>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</si>
  <si>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</si>
  <si>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</si>
  <si>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</si>
  <si>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</si>
  <si>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</si>
  <si>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</si>
  <si>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</si>
  <si>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</si>
  <si>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</si>
  <si>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</si>
  <si>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</si>
  <si>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</si>
  <si>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</si>
  <si>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</si>
  <si>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</si>
  <si>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</si>
  <si>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</si>
  <si>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</si>
  <si>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</si>
  <si>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</si>
  <si>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</si>
  <si>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</si>
  <si>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</si>
  <si>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</si>
  <si>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</si>
  <si>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</si>
  <si>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</si>
  <si>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</si>
  <si>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</si>
  <si>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</si>
  <si>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</si>
  <si>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</si>
  <si>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</si>
  <si>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</si>
  <si>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</si>
  <si>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</si>
  <si>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</si>
  <si>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</si>
  <si>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</si>
  <si>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</si>
  <si>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</si>
  <si>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</si>
  <si>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</si>
  <si>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</si>
  <si>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</si>
  <si>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</si>
  <si>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</si>
  <si>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</si>
  <si>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</si>
  <si>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</si>
  <si>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</si>
  <si>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</si>
  <si>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</si>
  <si>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</si>
  <si>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</si>
  <si>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</si>
  <si>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</si>
  <si>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</si>
  <si>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</si>
  <si>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</si>
  <si>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</si>
  <si>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</si>
  <si>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</si>
  <si>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</si>
  <si>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</si>
  <si>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</si>
  <si>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</si>
  <si>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</si>
  <si>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</si>
  <si>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</si>
  <si>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</si>
  <si>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</si>
  <si>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</si>
  <si>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</si>
  <si>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</si>
  <si>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</si>
  <si>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</si>
  <si>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</si>
  <si>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</si>
  <si>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</si>
  <si>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</si>
  <si>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</si>
  <si>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</si>
  <si>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</si>
  <si>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</si>
  <si>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</si>
  <si>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</si>
  <si>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</si>
  <si>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</si>
  <si>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</si>
  <si>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</si>
  <si>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</si>
  <si>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</si>
  <si>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</si>
  <si>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</si>
  <si>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</si>
  <si>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</si>
  <si>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</si>
  <si>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</si>
  <si>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</si>
  <si>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</si>
  <si>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</si>
  <si>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</si>
  <si>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</si>
  <si>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</si>
  <si>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</si>
  <si>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</si>
  <si>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</si>
  <si>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</si>
  <si>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</si>
  <si>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</si>
  <si>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</si>
  <si>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</si>
  <si>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</si>
  <si>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</si>
  <si>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</si>
  <si>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</si>
  <si>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</si>
  <si>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</si>
  <si>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</si>
  <si>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</si>
  <si>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</si>
  <si>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</si>
  <si>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</si>
  <si>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</si>
  <si>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</si>
  <si>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</si>
  <si>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</si>
  <si>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</si>
  <si>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</si>
  <si>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</si>
  <si>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</si>
  <si>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</si>
  <si>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</si>
  <si>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</si>
  <si>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</si>
  <si>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</si>
  <si>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</si>
  <si>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</si>
  <si>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</si>
  <si>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</si>
  <si>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</si>
  <si>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</si>
  <si>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</si>
  <si>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</si>
  <si>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</si>
  <si>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</si>
  <si>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</si>
  <si>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</si>
  <si>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</si>
  <si>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</si>
  <si>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</si>
  <si>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</si>
  <si>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</si>
  <si>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</si>
  <si>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</si>
  <si>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</si>
  <si>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</si>
  <si>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</si>
  <si>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</si>
  <si>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</si>
  <si>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</si>
  <si>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</si>
  <si>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</si>
  <si>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</si>
  <si>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</si>
  <si>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</si>
  <si>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</si>
  <si>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</si>
  <si>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</si>
  <si>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</si>
  <si>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</si>
  <si>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</si>
  <si>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</si>
  <si>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</si>
  <si>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</si>
  <si>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</si>
  <si>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</si>
  <si>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</si>
  <si>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</si>
  <si>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</si>
  <si>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</si>
  <si>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</si>
  <si>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</si>
  <si>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</si>
  <si>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</si>
  <si>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</si>
  <si>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</si>
  <si>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</si>
  <si>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</si>
  <si>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</si>
  <si>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</si>
  <si>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</si>
  <si>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</si>
  <si>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</si>
  <si>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</si>
  <si>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</si>
  <si>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</si>
  <si>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</si>
  <si>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</si>
  <si>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</si>
  <si>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</si>
  <si>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</si>
  <si>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</si>
  <si>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</si>
  <si>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</si>
  <si>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</si>
  <si>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</si>
  <si>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</si>
  <si>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</si>
  <si>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</si>
  <si>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</si>
  <si>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</si>
  <si>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</si>
  <si>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</si>
  <si>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</si>
  <si>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</si>
  <si>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</si>
  <si>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</si>
  <si>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</si>
  <si>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</si>
  <si>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</si>
  <si>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</si>
  <si>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</si>
  <si>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</si>
  <si>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</si>
  <si>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</si>
  <si>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</si>
  <si>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</si>
  <si>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</si>
  <si>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</si>
  <si>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</si>
  <si>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</si>
  <si>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</si>
  <si>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</si>
  <si>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</si>
  <si>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</si>
  <si>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</si>
  <si>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</si>
  <si>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</si>
  <si>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</si>
  <si>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</si>
  <si>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</si>
  <si>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</si>
  <si>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</si>
  <si>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</si>
  <si>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</si>
  <si>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</si>
  <si>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</si>
  <si>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</si>
  <si>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</si>
  <si>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</si>
  <si>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</si>
  <si>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</si>
  <si>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</si>
  <si>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</si>
  <si>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</si>
  <si>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</si>
  <si>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</si>
  <si>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</si>
  <si>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</si>
  <si>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</si>
  <si>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</si>
  <si>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</si>
  <si>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</si>
  <si>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</si>
  <si>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</si>
  <si>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</si>
  <si>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</si>
  <si>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</si>
  <si>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</si>
  <si>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</si>
  <si>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</si>
  <si>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</si>
  <si>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</si>
  <si>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</si>
  <si>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</si>
  <si>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</si>
  <si>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</si>
  <si>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</si>
  <si>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</si>
  <si>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</si>
  <si>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</si>
  <si>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</si>
  <si>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</si>
  <si>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</si>
  <si>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</si>
  <si>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</si>
  <si>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</si>
  <si>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</si>
  <si>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</si>
  <si>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</si>
  <si>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</si>
  <si>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31005</t>
  </si>
  <si>
    <t>BRUGGE</t>
  </si>
  <si>
    <t>Paarden&amp;pony's 200 - 600 kg</t>
  </si>
  <si>
    <t>Paarden&amp;pony's &lt; 200 kg</t>
  </si>
  <si>
    <t>Fluvius</t>
  </si>
  <si>
    <t xml:space="preserve">Bron: </t>
  </si>
  <si>
    <t>referentietaak LNE (2017); Jaarverslag De Lijn</t>
  </si>
  <si>
    <t>stirlingmotor</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</si>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</sst>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A4844806-009F-405B-A8D6-C027D5697621}"/>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31005</v>
      </c>
      <c r="B6" s="384"/>
      <c r="C6" s="385"/>
    </row>
    <row r="7" spans="1:7" s="382" customFormat="1" ht="15.75" customHeight="1">
      <c r="A7" s="386" t="str">
        <f>txtMunicipality</f>
        <v>BRUGGE</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330359.08604013198</v>
      </c>
      <c r="D10" s="674">
        <f ca="1">tertiair!C16</f>
        <v>15</v>
      </c>
      <c r="E10" s="674">
        <f ca="1">tertiair!D16</f>
        <v>352104.72103913693</v>
      </c>
      <c r="F10" s="674">
        <f>tertiair!E16</f>
        <v>7160.4514422598513</v>
      </c>
      <c r="G10" s="674">
        <f ca="1">tertiair!F16</f>
        <v>63340.456170610654</v>
      </c>
      <c r="H10" s="674">
        <f>tertiair!G16</f>
        <v>0</v>
      </c>
      <c r="I10" s="674">
        <f>tertiair!H16</f>
        <v>0</v>
      </c>
      <c r="J10" s="674">
        <f>tertiair!I16</f>
        <v>0</v>
      </c>
      <c r="K10" s="674">
        <f>tertiair!J16</f>
        <v>0</v>
      </c>
      <c r="L10" s="674">
        <f>tertiair!K16</f>
        <v>0</v>
      </c>
      <c r="M10" s="674">
        <f ca="1">tertiair!L16</f>
        <v>0</v>
      </c>
      <c r="N10" s="674">
        <f>tertiair!M16</f>
        <v>0</v>
      </c>
      <c r="O10" s="674">
        <f ca="1">tertiair!N16</f>
        <v>8283.7554719354466</v>
      </c>
      <c r="P10" s="674">
        <f>tertiair!O16</f>
        <v>6.2533333333333339</v>
      </c>
      <c r="Q10" s="675">
        <f>tertiair!P16</f>
        <v>305.06666666666666</v>
      </c>
      <c r="R10" s="677">
        <f ca="1">SUM(C10:Q10)</f>
        <v>761574.79016407474</v>
      </c>
      <c r="S10" s="67"/>
    </row>
    <row r="11" spans="1:19" s="443" customFormat="1">
      <c r="A11" s="789" t="s">
        <v>214</v>
      </c>
      <c r="B11" s="794"/>
      <c r="C11" s="674">
        <f>huishoudens!B8</f>
        <v>201255.03055403929</v>
      </c>
      <c r="D11" s="674">
        <f>huishoudens!C8</f>
        <v>0</v>
      </c>
      <c r="E11" s="674">
        <f>huishoudens!D8</f>
        <v>588686.33255492221</v>
      </c>
      <c r="F11" s="674">
        <f>huishoudens!E8</f>
        <v>5819.4943065530633</v>
      </c>
      <c r="G11" s="674">
        <f>huishoudens!F8</f>
        <v>198644.92109324082</v>
      </c>
      <c r="H11" s="674">
        <f>huishoudens!G8</f>
        <v>0</v>
      </c>
      <c r="I11" s="674">
        <f>huishoudens!H8</f>
        <v>0</v>
      </c>
      <c r="J11" s="674">
        <f>huishoudens!I8</f>
        <v>0</v>
      </c>
      <c r="K11" s="674">
        <f>huishoudens!J8</f>
        <v>4472.9800010973713</v>
      </c>
      <c r="L11" s="674">
        <f>huishoudens!K8</f>
        <v>0</v>
      </c>
      <c r="M11" s="674">
        <f>huishoudens!L8</f>
        <v>0</v>
      </c>
      <c r="N11" s="674">
        <f>huishoudens!M8</f>
        <v>0</v>
      </c>
      <c r="O11" s="674">
        <f>huishoudens!N8</f>
        <v>59630.76367856632</v>
      </c>
      <c r="P11" s="674">
        <f>huishoudens!O8</f>
        <v>320.48333333333335</v>
      </c>
      <c r="Q11" s="675">
        <f>huishoudens!P8</f>
        <v>362.26666666666665</v>
      </c>
      <c r="R11" s="677">
        <f>SUM(C11:Q11)</f>
        <v>1059192.272188419</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103116.37513233896</v>
      </c>
      <c r="D13" s="674">
        <f>industrie!C18</f>
        <v>0</v>
      </c>
      <c r="E13" s="674">
        <f>industrie!D18</f>
        <v>140994.56851832851</v>
      </c>
      <c r="F13" s="674">
        <f>industrie!E18</f>
        <v>1155.6238958043705</v>
      </c>
      <c r="G13" s="674">
        <f>industrie!F18</f>
        <v>27874.402353193414</v>
      </c>
      <c r="H13" s="674">
        <f>industrie!G18</f>
        <v>0</v>
      </c>
      <c r="I13" s="674">
        <f>industrie!H18</f>
        <v>0</v>
      </c>
      <c r="J13" s="674">
        <f>industrie!I18</f>
        <v>0</v>
      </c>
      <c r="K13" s="674">
        <f>industrie!J18</f>
        <v>549.55633465397318</v>
      </c>
      <c r="L13" s="674">
        <f>industrie!K18</f>
        <v>0</v>
      </c>
      <c r="M13" s="674">
        <f>industrie!L18</f>
        <v>0</v>
      </c>
      <c r="N13" s="674">
        <f>industrie!M18</f>
        <v>0</v>
      </c>
      <c r="O13" s="674">
        <f>industrie!N18</f>
        <v>2459.5835245576664</v>
      </c>
      <c r="P13" s="674">
        <f>industrie!O18</f>
        <v>0</v>
      </c>
      <c r="Q13" s="675">
        <f>industrie!P18</f>
        <v>0</v>
      </c>
      <c r="R13" s="677">
        <f>SUM(C13:Q13)</f>
        <v>276150.1097588769</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634730.49172651023</v>
      </c>
      <c r="D16" s="707">
        <f t="shared" ref="D16:R16" ca="1" si="0">SUM(D9:D15)</f>
        <v>15</v>
      </c>
      <c r="E16" s="707">
        <f t="shared" ca="1" si="0"/>
        <v>1081785.6221123876</v>
      </c>
      <c r="F16" s="707">
        <f t="shared" si="0"/>
        <v>14135.569644617286</v>
      </c>
      <c r="G16" s="707">
        <f t="shared" ca="1" si="0"/>
        <v>289859.7796170449</v>
      </c>
      <c r="H16" s="707">
        <f t="shared" si="0"/>
        <v>0</v>
      </c>
      <c r="I16" s="707">
        <f t="shared" si="0"/>
        <v>0</v>
      </c>
      <c r="J16" s="707">
        <f t="shared" si="0"/>
        <v>0</v>
      </c>
      <c r="K16" s="707">
        <f t="shared" si="0"/>
        <v>5022.5363357513443</v>
      </c>
      <c r="L16" s="707">
        <f t="shared" si="0"/>
        <v>0</v>
      </c>
      <c r="M16" s="707">
        <f t="shared" ca="1" si="0"/>
        <v>0</v>
      </c>
      <c r="N16" s="707">
        <f t="shared" si="0"/>
        <v>0</v>
      </c>
      <c r="O16" s="707">
        <f t="shared" ca="1" si="0"/>
        <v>70374.102675059432</v>
      </c>
      <c r="P16" s="707">
        <f t="shared" si="0"/>
        <v>326.73666666666668</v>
      </c>
      <c r="Q16" s="707">
        <f t="shared" si="0"/>
        <v>667.33333333333326</v>
      </c>
      <c r="R16" s="707">
        <f t="shared" ca="1" si="0"/>
        <v>2096917.1721113708</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925.22146100889609</v>
      </c>
      <c r="D19" s="674">
        <f>transport!C54</f>
        <v>0</v>
      </c>
      <c r="E19" s="674">
        <f>transport!D54</f>
        <v>0</v>
      </c>
      <c r="F19" s="674">
        <f>transport!E54</f>
        <v>0</v>
      </c>
      <c r="G19" s="674">
        <f>transport!F54</f>
        <v>0</v>
      </c>
      <c r="H19" s="674">
        <f>transport!G54</f>
        <v>25440.657252983612</v>
      </c>
      <c r="I19" s="674">
        <f>transport!H54</f>
        <v>0</v>
      </c>
      <c r="J19" s="674">
        <f>transport!I54</f>
        <v>0</v>
      </c>
      <c r="K19" s="674">
        <f>transport!J54</f>
        <v>0</v>
      </c>
      <c r="L19" s="674">
        <f>transport!K54</f>
        <v>0</v>
      </c>
      <c r="M19" s="674">
        <f>transport!L54</f>
        <v>0</v>
      </c>
      <c r="N19" s="674">
        <f>transport!M54</f>
        <v>1089.2712196728203</v>
      </c>
      <c r="O19" s="674">
        <f>transport!N54</f>
        <v>0</v>
      </c>
      <c r="P19" s="674">
        <f>transport!O54</f>
        <v>0</v>
      </c>
      <c r="Q19" s="675">
        <f>transport!P54</f>
        <v>0</v>
      </c>
      <c r="R19" s="677">
        <f>SUM(C19:Q19)</f>
        <v>27455.149933665329</v>
      </c>
      <c r="S19" s="67"/>
    </row>
    <row r="20" spans="1:19" s="443" customFormat="1">
      <c r="A20" s="789" t="s">
        <v>296</v>
      </c>
      <c r="B20" s="794"/>
      <c r="C20" s="674">
        <f>transport!B14</f>
        <v>8.8800609829415738</v>
      </c>
      <c r="D20" s="674">
        <f>transport!C14</f>
        <v>0</v>
      </c>
      <c r="E20" s="674">
        <f>transport!D14</f>
        <v>30.170583578897105</v>
      </c>
      <c r="F20" s="674">
        <f>transport!E14</f>
        <v>3160.9287738206526</v>
      </c>
      <c r="G20" s="674">
        <f>transport!F14</f>
        <v>0</v>
      </c>
      <c r="H20" s="674">
        <f>transport!G14</f>
        <v>614387.25067586242</v>
      </c>
      <c r="I20" s="674">
        <f>transport!H14</f>
        <v>99534.771761550859</v>
      </c>
      <c r="J20" s="674">
        <f>transport!I14</f>
        <v>0</v>
      </c>
      <c r="K20" s="674">
        <f>transport!J14</f>
        <v>0</v>
      </c>
      <c r="L20" s="674">
        <f>transport!K14</f>
        <v>0</v>
      </c>
      <c r="M20" s="674">
        <f>transport!L14</f>
        <v>0</v>
      </c>
      <c r="N20" s="674">
        <f>transport!M14</f>
        <v>31048.390920812049</v>
      </c>
      <c r="O20" s="674">
        <f>transport!N14</f>
        <v>0</v>
      </c>
      <c r="P20" s="674">
        <f>transport!O14</f>
        <v>0</v>
      </c>
      <c r="Q20" s="675">
        <f>transport!P14</f>
        <v>0</v>
      </c>
      <c r="R20" s="677">
        <f>SUM(C20:Q20)</f>
        <v>748170.39277660777</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934.10152199183767</v>
      </c>
      <c r="D22" s="792">
        <f t="shared" ref="D22:R22" si="1">SUM(D18:D21)</f>
        <v>0</v>
      </c>
      <c r="E22" s="792">
        <f t="shared" si="1"/>
        <v>30.170583578897105</v>
      </c>
      <c r="F22" s="792">
        <f t="shared" si="1"/>
        <v>3160.9287738206526</v>
      </c>
      <c r="G22" s="792">
        <f t="shared" si="1"/>
        <v>0</v>
      </c>
      <c r="H22" s="792">
        <f t="shared" si="1"/>
        <v>639827.90792884608</v>
      </c>
      <c r="I22" s="792">
        <f t="shared" si="1"/>
        <v>99534.771761550859</v>
      </c>
      <c r="J22" s="792">
        <f t="shared" si="1"/>
        <v>0</v>
      </c>
      <c r="K22" s="792">
        <f t="shared" si="1"/>
        <v>0</v>
      </c>
      <c r="L22" s="792">
        <f t="shared" si="1"/>
        <v>0</v>
      </c>
      <c r="M22" s="792">
        <f t="shared" si="1"/>
        <v>0</v>
      </c>
      <c r="N22" s="792">
        <f t="shared" si="1"/>
        <v>32137.66214048487</v>
      </c>
      <c r="O22" s="792">
        <f t="shared" si="1"/>
        <v>0</v>
      </c>
      <c r="P22" s="792">
        <f t="shared" si="1"/>
        <v>0</v>
      </c>
      <c r="Q22" s="792">
        <f t="shared" si="1"/>
        <v>0</v>
      </c>
      <c r="R22" s="792">
        <f t="shared" si="1"/>
        <v>775625.54271027306</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8612.3261018391513</v>
      </c>
      <c r="D24" s="674">
        <f>+landbouw!C8</f>
        <v>0</v>
      </c>
      <c r="E24" s="674">
        <f>+landbouw!D8</f>
        <v>15051.349160745001</v>
      </c>
      <c r="F24" s="674">
        <f>+landbouw!E8</f>
        <v>90.190143431027067</v>
      </c>
      <c r="G24" s="674">
        <f>+landbouw!F8</f>
        <v>36867.299693903464</v>
      </c>
      <c r="H24" s="674">
        <f>+landbouw!G8</f>
        <v>0</v>
      </c>
      <c r="I24" s="674">
        <f>+landbouw!H8</f>
        <v>0</v>
      </c>
      <c r="J24" s="674">
        <f>+landbouw!I8</f>
        <v>0</v>
      </c>
      <c r="K24" s="674">
        <f>+landbouw!J8</f>
        <v>769.15791448998334</v>
      </c>
      <c r="L24" s="674">
        <f>+landbouw!K8</f>
        <v>0</v>
      </c>
      <c r="M24" s="674">
        <f>+landbouw!L8</f>
        <v>0</v>
      </c>
      <c r="N24" s="674">
        <f>+landbouw!M8</f>
        <v>0</v>
      </c>
      <c r="O24" s="674">
        <f>+landbouw!N8</f>
        <v>0</v>
      </c>
      <c r="P24" s="674">
        <f>+landbouw!O8</f>
        <v>0</v>
      </c>
      <c r="Q24" s="675">
        <f>+landbouw!P8</f>
        <v>0</v>
      </c>
      <c r="R24" s="677">
        <f>SUM(C24:Q24)</f>
        <v>61390.323014408626</v>
      </c>
      <c r="S24" s="67"/>
    </row>
    <row r="25" spans="1:19" s="443" customFormat="1" ht="15" thickBot="1">
      <c r="A25" s="811" t="s">
        <v>889</v>
      </c>
      <c r="B25" s="966"/>
      <c r="C25" s="967">
        <f>IF(Onbekend_ele_kWh="---",0,Onbekend_ele_kWh)/1000+IF(REST_rest_ele_kWh="---",0,REST_rest_ele_kWh)/1000</f>
        <v>16068.348218188499</v>
      </c>
      <c r="D25" s="967"/>
      <c r="E25" s="967">
        <f>IF(onbekend_gas_kWh="---",0,onbekend_gas_kWh)/1000+IF(REST_rest_gas_kWh="---",0,REST_rest_gas_kWh)/1000</f>
        <v>45644.748959591903</v>
      </c>
      <c r="F25" s="967"/>
      <c r="G25" s="967"/>
      <c r="H25" s="967"/>
      <c r="I25" s="967"/>
      <c r="J25" s="967"/>
      <c r="K25" s="967"/>
      <c r="L25" s="967"/>
      <c r="M25" s="967"/>
      <c r="N25" s="967"/>
      <c r="O25" s="967"/>
      <c r="P25" s="967"/>
      <c r="Q25" s="968"/>
      <c r="R25" s="677">
        <f>SUM(C25:Q25)</f>
        <v>61713.097177780401</v>
      </c>
      <c r="S25" s="67"/>
    </row>
    <row r="26" spans="1:19" s="443" customFormat="1" ht="15.75" thickBot="1">
      <c r="A26" s="680" t="s">
        <v>890</v>
      </c>
      <c r="B26" s="797"/>
      <c r="C26" s="792">
        <f>SUM(C24:C25)</f>
        <v>24680.674320027651</v>
      </c>
      <c r="D26" s="792">
        <f t="shared" ref="D26:R26" si="2">SUM(D24:D25)</f>
        <v>0</v>
      </c>
      <c r="E26" s="792">
        <f t="shared" si="2"/>
        <v>60696.098120336901</v>
      </c>
      <c r="F26" s="792">
        <f t="shared" si="2"/>
        <v>90.190143431027067</v>
      </c>
      <c r="G26" s="792">
        <f t="shared" si="2"/>
        <v>36867.299693903464</v>
      </c>
      <c r="H26" s="792">
        <f t="shared" si="2"/>
        <v>0</v>
      </c>
      <c r="I26" s="792">
        <f t="shared" si="2"/>
        <v>0</v>
      </c>
      <c r="J26" s="792">
        <f t="shared" si="2"/>
        <v>0</v>
      </c>
      <c r="K26" s="792">
        <f t="shared" si="2"/>
        <v>769.15791448998334</v>
      </c>
      <c r="L26" s="792">
        <f t="shared" si="2"/>
        <v>0</v>
      </c>
      <c r="M26" s="792">
        <f t="shared" si="2"/>
        <v>0</v>
      </c>
      <c r="N26" s="792">
        <f t="shared" si="2"/>
        <v>0</v>
      </c>
      <c r="O26" s="792">
        <f t="shared" si="2"/>
        <v>0</v>
      </c>
      <c r="P26" s="792">
        <f t="shared" si="2"/>
        <v>0</v>
      </c>
      <c r="Q26" s="792">
        <f t="shared" si="2"/>
        <v>0</v>
      </c>
      <c r="R26" s="792">
        <f t="shared" si="2"/>
        <v>123103.42019218902</v>
      </c>
      <c r="S26" s="67"/>
    </row>
    <row r="27" spans="1:19" s="443" customFormat="1" ht="17.25" thickTop="1" thickBot="1">
      <c r="A27" s="681" t="s">
        <v>109</v>
      </c>
      <c r="B27" s="784"/>
      <c r="C27" s="682">
        <f ca="1">C22+C16+C26</f>
        <v>660345.26756852982</v>
      </c>
      <c r="D27" s="682">
        <f t="shared" ref="D27:R27" ca="1" si="3">D22+D16+D26</f>
        <v>15</v>
      </c>
      <c r="E27" s="682">
        <f t="shared" ca="1" si="3"/>
        <v>1142511.8908163034</v>
      </c>
      <c r="F27" s="682">
        <f t="shared" si="3"/>
        <v>17386.688561868967</v>
      </c>
      <c r="G27" s="682">
        <f t="shared" ca="1" si="3"/>
        <v>326727.07931094838</v>
      </c>
      <c r="H27" s="682">
        <f t="shared" si="3"/>
        <v>639827.90792884608</v>
      </c>
      <c r="I27" s="682">
        <f t="shared" si="3"/>
        <v>99534.771761550859</v>
      </c>
      <c r="J27" s="682">
        <f t="shared" si="3"/>
        <v>0</v>
      </c>
      <c r="K27" s="682">
        <f t="shared" si="3"/>
        <v>5791.6942502413276</v>
      </c>
      <c r="L27" s="682">
        <f t="shared" si="3"/>
        <v>0</v>
      </c>
      <c r="M27" s="682">
        <f t="shared" ca="1" si="3"/>
        <v>0</v>
      </c>
      <c r="N27" s="682">
        <f t="shared" si="3"/>
        <v>32137.66214048487</v>
      </c>
      <c r="O27" s="682">
        <f t="shared" ca="1" si="3"/>
        <v>70374.102675059432</v>
      </c>
      <c r="P27" s="682">
        <f t="shared" si="3"/>
        <v>326.73666666666668</v>
      </c>
      <c r="Q27" s="682">
        <f t="shared" si="3"/>
        <v>667.33333333333326</v>
      </c>
      <c r="R27" s="682">
        <f t="shared" ca="1" si="3"/>
        <v>2995646.1350138332</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64526.634922781726</v>
      </c>
      <c r="D40" s="674">
        <f ca="1">tertiair!C20</f>
        <v>3.3666666666666671</v>
      </c>
      <c r="E40" s="674">
        <f ca="1">tertiair!D20</f>
        <v>71125.153649905667</v>
      </c>
      <c r="F40" s="674">
        <f>tertiair!E20</f>
        <v>1625.4224773929864</v>
      </c>
      <c r="G40" s="674">
        <f ca="1">tertiair!F20</f>
        <v>16911.901797553044</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154192.47951430007</v>
      </c>
    </row>
    <row r="41" spans="1:18">
      <c r="A41" s="802" t="s">
        <v>214</v>
      </c>
      <c r="B41" s="809"/>
      <c r="C41" s="674">
        <f ca="1">huishoudens!B12</f>
        <v>39309.679774801778</v>
      </c>
      <c r="D41" s="674">
        <f ca="1">huishoudens!C12</f>
        <v>0</v>
      </c>
      <c r="E41" s="674">
        <f>huishoudens!D12</f>
        <v>118914.63917609429</v>
      </c>
      <c r="F41" s="674">
        <f>huishoudens!E12</f>
        <v>1321.0252075875453</v>
      </c>
      <c r="G41" s="674">
        <f>huishoudens!F12</f>
        <v>53038.193931895301</v>
      </c>
      <c r="H41" s="674">
        <f>huishoudens!G12</f>
        <v>0</v>
      </c>
      <c r="I41" s="674">
        <f>huishoudens!H12</f>
        <v>0</v>
      </c>
      <c r="J41" s="674">
        <f>huishoudens!I12</f>
        <v>0</v>
      </c>
      <c r="K41" s="674">
        <f>huishoudens!J12</f>
        <v>1583.4349203884694</v>
      </c>
      <c r="L41" s="674">
        <f>huishoudens!K12</f>
        <v>0</v>
      </c>
      <c r="M41" s="674">
        <f>huishoudens!L12</f>
        <v>0</v>
      </c>
      <c r="N41" s="674">
        <f>huishoudens!M12</f>
        <v>0</v>
      </c>
      <c r="O41" s="674">
        <f>huishoudens!N12</f>
        <v>0</v>
      </c>
      <c r="P41" s="674">
        <f>huishoudens!O12</f>
        <v>0</v>
      </c>
      <c r="Q41" s="749">
        <f>huishoudens!P12</f>
        <v>0</v>
      </c>
      <c r="R41" s="830">
        <f t="shared" ca="1" si="4"/>
        <v>214166.9730107674</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20140.970761484514</v>
      </c>
      <c r="D43" s="674">
        <f ca="1">industrie!C22</f>
        <v>0</v>
      </c>
      <c r="E43" s="674">
        <f>industrie!D22</f>
        <v>28480.902840702362</v>
      </c>
      <c r="F43" s="674">
        <f>industrie!E22</f>
        <v>262.32662434759209</v>
      </c>
      <c r="G43" s="674">
        <f>industrie!F22</f>
        <v>7442.4654283026421</v>
      </c>
      <c r="H43" s="674">
        <f>industrie!G22</f>
        <v>0</v>
      </c>
      <c r="I43" s="674">
        <f>industrie!H22</f>
        <v>0</v>
      </c>
      <c r="J43" s="674">
        <f>industrie!I22</f>
        <v>0</v>
      </c>
      <c r="K43" s="674">
        <f>industrie!J22</f>
        <v>194.54294246750649</v>
      </c>
      <c r="L43" s="674">
        <f>industrie!K22</f>
        <v>0</v>
      </c>
      <c r="M43" s="674">
        <f>industrie!L22</f>
        <v>0</v>
      </c>
      <c r="N43" s="674">
        <f>industrie!M22</f>
        <v>0</v>
      </c>
      <c r="O43" s="674">
        <f>industrie!N22</f>
        <v>0</v>
      </c>
      <c r="P43" s="674">
        <f>industrie!O22</f>
        <v>0</v>
      </c>
      <c r="Q43" s="749">
        <f>industrie!P22</f>
        <v>0</v>
      </c>
      <c r="R43" s="829">
        <f t="shared" ca="1" si="4"/>
        <v>56521.20859730462</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123977.28545906801</v>
      </c>
      <c r="D46" s="707">
        <f t="shared" ref="D46:Q46" ca="1" si="5">SUM(D39:D45)</f>
        <v>3.3666666666666671</v>
      </c>
      <c r="E46" s="707">
        <f t="shared" ca="1" si="5"/>
        <v>218520.69566670232</v>
      </c>
      <c r="F46" s="707">
        <f t="shared" si="5"/>
        <v>3208.7743093281233</v>
      </c>
      <c r="G46" s="707">
        <f t="shared" ca="1" si="5"/>
        <v>77392.561157750984</v>
      </c>
      <c r="H46" s="707">
        <f t="shared" si="5"/>
        <v>0</v>
      </c>
      <c r="I46" s="707">
        <f t="shared" si="5"/>
        <v>0</v>
      </c>
      <c r="J46" s="707">
        <f t="shared" si="5"/>
        <v>0</v>
      </c>
      <c r="K46" s="707">
        <f t="shared" si="5"/>
        <v>1777.9778628559759</v>
      </c>
      <c r="L46" s="707">
        <f t="shared" si="5"/>
        <v>0</v>
      </c>
      <c r="M46" s="707">
        <f t="shared" ca="1" si="5"/>
        <v>0</v>
      </c>
      <c r="N46" s="707">
        <f t="shared" si="5"/>
        <v>0</v>
      </c>
      <c r="O46" s="707">
        <f t="shared" ca="1" si="5"/>
        <v>0</v>
      </c>
      <c r="P46" s="707">
        <f t="shared" si="5"/>
        <v>0</v>
      </c>
      <c r="Q46" s="707">
        <f t="shared" si="5"/>
        <v>0</v>
      </c>
      <c r="R46" s="707">
        <f ca="1">SUM(R39:R45)</f>
        <v>424880.66112237214</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180.7167714163952</v>
      </c>
      <c r="D49" s="674">
        <f ca="1">transport!C58</f>
        <v>0</v>
      </c>
      <c r="E49" s="674">
        <f>transport!D58</f>
        <v>0</v>
      </c>
      <c r="F49" s="674">
        <f>transport!E58</f>
        <v>0</v>
      </c>
      <c r="G49" s="674">
        <f>transport!F58</f>
        <v>0</v>
      </c>
      <c r="H49" s="674">
        <f>transport!G58</f>
        <v>6792.6554865466251</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6973.3722579630203</v>
      </c>
    </row>
    <row r="50" spans="1:18">
      <c r="A50" s="805" t="s">
        <v>296</v>
      </c>
      <c r="B50" s="815"/>
      <c r="C50" s="973">
        <f ca="1">transport!B18</f>
        <v>1.7344776558338739</v>
      </c>
      <c r="D50" s="973">
        <f>transport!C18</f>
        <v>0</v>
      </c>
      <c r="E50" s="973">
        <f>transport!D18</f>
        <v>6.094457882937216</v>
      </c>
      <c r="F50" s="973">
        <f>transport!E18</f>
        <v>717.53083165728822</v>
      </c>
      <c r="G50" s="973">
        <f>transport!F18</f>
        <v>0</v>
      </c>
      <c r="H50" s="973">
        <f>transport!G18</f>
        <v>164041.39593045527</v>
      </c>
      <c r="I50" s="973">
        <f>transport!H18</f>
        <v>24784.158168626163</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189550.91386627749</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182.45124907222907</v>
      </c>
      <c r="D52" s="707">
        <f t="shared" ref="D52:Q52" ca="1" si="6">SUM(D48:D51)</f>
        <v>0</v>
      </c>
      <c r="E52" s="707">
        <f t="shared" si="6"/>
        <v>6.094457882937216</v>
      </c>
      <c r="F52" s="707">
        <f t="shared" si="6"/>
        <v>717.53083165728822</v>
      </c>
      <c r="G52" s="707">
        <f t="shared" si="6"/>
        <v>0</v>
      </c>
      <c r="H52" s="707">
        <f t="shared" si="6"/>
        <v>170834.0514170019</v>
      </c>
      <c r="I52" s="707">
        <f t="shared" si="6"/>
        <v>24784.158168626163</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196524.28612424052</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1682.1829508930457</v>
      </c>
      <c r="D54" s="973">
        <f ca="1">+landbouw!C12</f>
        <v>0</v>
      </c>
      <c r="E54" s="973">
        <f>+landbouw!D12</f>
        <v>3040.3725304704903</v>
      </c>
      <c r="F54" s="973">
        <f>+landbouw!E12</f>
        <v>20.473162558843146</v>
      </c>
      <c r="G54" s="973">
        <f>+landbouw!F12</f>
        <v>9843.5690182722246</v>
      </c>
      <c r="H54" s="973">
        <f>+landbouw!G12</f>
        <v>0</v>
      </c>
      <c r="I54" s="973">
        <f>+landbouw!H12</f>
        <v>0</v>
      </c>
      <c r="J54" s="973">
        <f>+landbouw!I12</f>
        <v>0</v>
      </c>
      <c r="K54" s="973">
        <f>+landbouw!J12</f>
        <v>272.28190172945409</v>
      </c>
      <c r="L54" s="973">
        <f>+landbouw!K12</f>
        <v>0</v>
      </c>
      <c r="M54" s="973">
        <f>+landbouw!L12</f>
        <v>0</v>
      </c>
      <c r="N54" s="973">
        <f>+landbouw!M12</f>
        <v>0</v>
      </c>
      <c r="O54" s="973">
        <f>+landbouw!N12</f>
        <v>0</v>
      </c>
      <c r="P54" s="973">
        <f>+landbouw!O12</f>
        <v>0</v>
      </c>
      <c r="Q54" s="974">
        <f>+landbouw!P12</f>
        <v>0</v>
      </c>
      <c r="R54" s="706">
        <f ca="1">SUM(C54:Q54)</f>
        <v>14858.879563924056</v>
      </c>
    </row>
    <row r="55" spans="1:18" ht="15" thickBot="1">
      <c r="A55" s="805" t="s">
        <v>889</v>
      </c>
      <c r="B55" s="815"/>
      <c r="C55" s="973">
        <f ca="1">C25*'EF ele_warmte'!B12</f>
        <v>3138.5134633809494</v>
      </c>
      <c r="D55" s="973"/>
      <c r="E55" s="973">
        <f>E25*EF_CO2_aardgas</f>
        <v>9220.2392898375656</v>
      </c>
      <c r="F55" s="973"/>
      <c r="G55" s="973"/>
      <c r="H55" s="973"/>
      <c r="I55" s="973"/>
      <c r="J55" s="973"/>
      <c r="K55" s="973"/>
      <c r="L55" s="973"/>
      <c r="M55" s="973"/>
      <c r="N55" s="973"/>
      <c r="O55" s="973"/>
      <c r="P55" s="973"/>
      <c r="Q55" s="974"/>
      <c r="R55" s="706">
        <f ca="1">SUM(C55:Q55)</f>
        <v>12358.752753218516</v>
      </c>
    </row>
    <row r="56" spans="1:18" ht="15.75" thickBot="1">
      <c r="A56" s="803" t="s">
        <v>890</v>
      </c>
      <c r="B56" s="816"/>
      <c r="C56" s="707">
        <f ca="1">SUM(C54:C55)</f>
        <v>4820.6964142739953</v>
      </c>
      <c r="D56" s="707">
        <f t="shared" ref="D56:Q56" ca="1" si="7">SUM(D54:D55)</f>
        <v>0</v>
      </c>
      <c r="E56" s="707">
        <f t="shared" si="7"/>
        <v>12260.611820308055</v>
      </c>
      <c r="F56" s="707">
        <f t="shared" si="7"/>
        <v>20.473162558843146</v>
      </c>
      <c r="G56" s="707">
        <f t="shared" si="7"/>
        <v>9843.5690182722246</v>
      </c>
      <c r="H56" s="707">
        <f t="shared" si="7"/>
        <v>0</v>
      </c>
      <c r="I56" s="707">
        <f t="shared" si="7"/>
        <v>0</v>
      </c>
      <c r="J56" s="707">
        <f t="shared" si="7"/>
        <v>0</v>
      </c>
      <c r="K56" s="707">
        <f t="shared" si="7"/>
        <v>272.28190172945409</v>
      </c>
      <c r="L56" s="707">
        <f t="shared" si="7"/>
        <v>0</v>
      </c>
      <c r="M56" s="707">
        <f t="shared" si="7"/>
        <v>0</v>
      </c>
      <c r="N56" s="707">
        <f t="shared" si="7"/>
        <v>0</v>
      </c>
      <c r="O56" s="707">
        <f t="shared" si="7"/>
        <v>0</v>
      </c>
      <c r="P56" s="707">
        <f t="shared" si="7"/>
        <v>0</v>
      </c>
      <c r="Q56" s="708">
        <f t="shared" si="7"/>
        <v>0</v>
      </c>
      <c r="R56" s="709">
        <f ca="1">SUM(R54:R55)</f>
        <v>27217.632317142572</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128980.43312241422</v>
      </c>
      <c r="D61" s="715">
        <f t="shared" ref="D61:Q61" ca="1" si="8">D46+D52+D56</f>
        <v>3.3666666666666671</v>
      </c>
      <c r="E61" s="715">
        <f t="shared" ca="1" si="8"/>
        <v>230787.40194489332</v>
      </c>
      <c r="F61" s="715">
        <f t="shared" si="8"/>
        <v>3946.7783035442549</v>
      </c>
      <c r="G61" s="715">
        <f t="shared" ca="1" si="8"/>
        <v>87236.130176023202</v>
      </c>
      <c r="H61" s="715">
        <f t="shared" si="8"/>
        <v>170834.0514170019</v>
      </c>
      <c r="I61" s="715">
        <f t="shared" si="8"/>
        <v>24784.158168626163</v>
      </c>
      <c r="J61" s="715">
        <f t="shared" si="8"/>
        <v>0</v>
      </c>
      <c r="K61" s="715">
        <f t="shared" si="8"/>
        <v>2050.2597645854298</v>
      </c>
      <c r="L61" s="715">
        <f t="shared" si="8"/>
        <v>0</v>
      </c>
      <c r="M61" s="715">
        <f t="shared" ca="1" si="8"/>
        <v>0</v>
      </c>
      <c r="N61" s="715">
        <f t="shared" si="8"/>
        <v>0</v>
      </c>
      <c r="O61" s="715">
        <f t="shared" ca="1" si="8"/>
        <v>0</v>
      </c>
      <c r="P61" s="715">
        <f t="shared" si="8"/>
        <v>0</v>
      </c>
      <c r="Q61" s="715">
        <f t="shared" si="8"/>
        <v>0</v>
      </c>
      <c r="R61" s="715">
        <f ca="1">R46+R52+R56</f>
        <v>648622.57956375519</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0.19532271897296333</v>
      </c>
      <c r="D63" s="759">
        <f t="shared" ca="1" si="9"/>
        <v>0.22444444444444447</v>
      </c>
      <c r="E63" s="975">
        <f t="shared" ca="1" si="9"/>
        <v>0.20200000000000004</v>
      </c>
      <c r="F63" s="759">
        <f t="shared" si="9"/>
        <v>0.22699999999999998</v>
      </c>
      <c r="G63" s="759">
        <f t="shared" ca="1" si="9"/>
        <v>0.26699999999999996</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61119.14038789492</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15604.304605608166</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3</v>
      </c>
      <c r="D76" s="985">
        <f>'lokale energieproductie'!C8</f>
        <v>3.333333333333333</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0.67333333333333334</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76723.444993503086</v>
      </c>
      <c r="C78" s="730">
        <f>SUM(C72:C77)</f>
        <v>3</v>
      </c>
      <c r="D78" s="731">
        <f t="shared" ref="D78:H78" si="10">SUM(D76:D77)</f>
        <v>3.333333333333333</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0.67333333333333334</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15</v>
      </c>
      <c r="D87" s="752">
        <f>'lokale energieproductie'!C17</f>
        <v>16.666666666666668</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3.3666666666666671</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15</v>
      </c>
      <c r="D90" s="730">
        <f t="shared" ref="D90:H90" si="12">SUM(D87:D89)</f>
        <v>16.666666666666668</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3.3666666666666671</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201255.03055403929</v>
      </c>
      <c r="C4" s="447">
        <f>huishoudens!C8</f>
        <v>0</v>
      </c>
      <c r="D4" s="447">
        <f>huishoudens!D8</f>
        <v>588686.33255492221</v>
      </c>
      <c r="E4" s="447">
        <f>huishoudens!E8</f>
        <v>5819.4943065530633</v>
      </c>
      <c r="F4" s="447">
        <f>huishoudens!F8</f>
        <v>198644.92109324082</v>
      </c>
      <c r="G4" s="447">
        <f>huishoudens!G8</f>
        <v>0</v>
      </c>
      <c r="H4" s="447">
        <f>huishoudens!H8</f>
        <v>0</v>
      </c>
      <c r="I4" s="447">
        <f>huishoudens!I8</f>
        <v>0</v>
      </c>
      <c r="J4" s="447">
        <f>huishoudens!J8</f>
        <v>4472.9800010973713</v>
      </c>
      <c r="K4" s="447">
        <f>huishoudens!K8</f>
        <v>0</v>
      </c>
      <c r="L4" s="447">
        <f>huishoudens!L8</f>
        <v>0</v>
      </c>
      <c r="M4" s="447">
        <f>huishoudens!M8</f>
        <v>0</v>
      </c>
      <c r="N4" s="447">
        <f>huishoudens!N8</f>
        <v>59630.76367856632</v>
      </c>
      <c r="O4" s="447">
        <f>huishoudens!O8</f>
        <v>320.48333333333335</v>
      </c>
      <c r="P4" s="448">
        <f>huishoudens!P8</f>
        <v>362.26666666666665</v>
      </c>
      <c r="Q4" s="449">
        <f>SUM(B4:P4)</f>
        <v>1059192.272188419</v>
      </c>
    </row>
    <row r="5" spans="1:17">
      <c r="A5" s="446" t="s">
        <v>149</v>
      </c>
      <c r="B5" s="447">
        <f ca="1">tertiair!B16</f>
        <v>322058.77504013199</v>
      </c>
      <c r="C5" s="447">
        <f ca="1">tertiair!C16</f>
        <v>15</v>
      </c>
      <c r="D5" s="447">
        <f ca="1">tertiair!D16</f>
        <v>352104.72103913693</v>
      </c>
      <c r="E5" s="447">
        <f>tertiair!E16</f>
        <v>7160.4514422598513</v>
      </c>
      <c r="F5" s="447">
        <f ca="1">tertiair!F16</f>
        <v>63340.456170610654</v>
      </c>
      <c r="G5" s="447">
        <f>tertiair!G16</f>
        <v>0</v>
      </c>
      <c r="H5" s="447">
        <f>tertiair!H16</f>
        <v>0</v>
      </c>
      <c r="I5" s="447">
        <f>tertiair!I16</f>
        <v>0</v>
      </c>
      <c r="J5" s="447">
        <f>tertiair!J16</f>
        <v>0</v>
      </c>
      <c r="K5" s="447">
        <f>tertiair!K16</f>
        <v>0</v>
      </c>
      <c r="L5" s="447">
        <f ca="1">tertiair!L16</f>
        <v>0</v>
      </c>
      <c r="M5" s="447">
        <f>tertiair!M16</f>
        <v>0</v>
      </c>
      <c r="N5" s="447">
        <f ca="1">tertiair!N16</f>
        <v>8283.7554719354466</v>
      </c>
      <c r="O5" s="447">
        <f>tertiair!O16</f>
        <v>6.2533333333333339</v>
      </c>
      <c r="P5" s="448">
        <f>tertiair!P16</f>
        <v>305.06666666666666</v>
      </c>
      <c r="Q5" s="446">
        <f t="shared" ref="Q5:Q14" ca="1" si="0">SUM(B5:P5)</f>
        <v>753274.47916407476</v>
      </c>
    </row>
    <row r="6" spans="1:17">
      <c r="A6" s="446" t="s">
        <v>187</v>
      </c>
      <c r="B6" s="447">
        <f>'openbare verlichting'!B8</f>
        <v>8300.3109999999997</v>
      </c>
      <c r="C6" s="447"/>
      <c r="D6" s="447"/>
      <c r="E6" s="447"/>
      <c r="F6" s="447"/>
      <c r="G6" s="447"/>
      <c r="H6" s="447"/>
      <c r="I6" s="447"/>
      <c r="J6" s="447"/>
      <c r="K6" s="447"/>
      <c r="L6" s="447"/>
      <c r="M6" s="447"/>
      <c r="N6" s="447"/>
      <c r="O6" s="447"/>
      <c r="P6" s="448"/>
      <c r="Q6" s="446">
        <f t="shared" si="0"/>
        <v>8300.3109999999997</v>
      </c>
    </row>
    <row r="7" spans="1:17">
      <c r="A7" s="446" t="s">
        <v>105</v>
      </c>
      <c r="B7" s="447">
        <f>landbouw!B8</f>
        <v>8612.3261018391513</v>
      </c>
      <c r="C7" s="447">
        <f>landbouw!C8</f>
        <v>0</v>
      </c>
      <c r="D7" s="447">
        <f>landbouw!D8</f>
        <v>15051.349160745001</v>
      </c>
      <c r="E7" s="447">
        <f>landbouw!E8</f>
        <v>90.190143431027067</v>
      </c>
      <c r="F7" s="447">
        <f>landbouw!F8</f>
        <v>36867.299693903464</v>
      </c>
      <c r="G7" s="447">
        <f>landbouw!G8</f>
        <v>0</v>
      </c>
      <c r="H7" s="447">
        <f>landbouw!H8</f>
        <v>0</v>
      </c>
      <c r="I7" s="447">
        <f>landbouw!I8</f>
        <v>0</v>
      </c>
      <c r="J7" s="447">
        <f>landbouw!J8</f>
        <v>769.15791448998334</v>
      </c>
      <c r="K7" s="447">
        <f>landbouw!K8</f>
        <v>0</v>
      </c>
      <c r="L7" s="447">
        <f>landbouw!L8</f>
        <v>0</v>
      </c>
      <c r="M7" s="447">
        <f>landbouw!M8</f>
        <v>0</v>
      </c>
      <c r="N7" s="447">
        <f>landbouw!N8</f>
        <v>0</v>
      </c>
      <c r="O7" s="447">
        <f>landbouw!O8</f>
        <v>0</v>
      </c>
      <c r="P7" s="448">
        <f>landbouw!P8</f>
        <v>0</v>
      </c>
      <c r="Q7" s="446">
        <f t="shared" si="0"/>
        <v>61390.323014408626</v>
      </c>
    </row>
    <row r="8" spans="1:17">
      <c r="A8" s="446" t="s">
        <v>637</v>
      </c>
      <c r="B8" s="447">
        <f>industrie!B18</f>
        <v>103116.37513233896</v>
      </c>
      <c r="C8" s="447">
        <f>industrie!C18</f>
        <v>0</v>
      </c>
      <c r="D8" s="447">
        <f>industrie!D18</f>
        <v>140994.56851832851</v>
      </c>
      <c r="E8" s="447">
        <f>industrie!E18</f>
        <v>1155.6238958043705</v>
      </c>
      <c r="F8" s="447">
        <f>industrie!F18</f>
        <v>27874.402353193414</v>
      </c>
      <c r="G8" s="447">
        <f>industrie!G18</f>
        <v>0</v>
      </c>
      <c r="H8" s="447">
        <f>industrie!H18</f>
        <v>0</v>
      </c>
      <c r="I8" s="447">
        <f>industrie!I18</f>
        <v>0</v>
      </c>
      <c r="J8" s="447">
        <f>industrie!J18</f>
        <v>549.55633465397318</v>
      </c>
      <c r="K8" s="447">
        <f>industrie!K18</f>
        <v>0</v>
      </c>
      <c r="L8" s="447">
        <f>industrie!L18</f>
        <v>0</v>
      </c>
      <c r="M8" s="447">
        <f>industrie!M18</f>
        <v>0</v>
      </c>
      <c r="N8" s="447">
        <f>industrie!N18</f>
        <v>2459.5835245576664</v>
      </c>
      <c r="O8" s="447">
        <f>industrie!O18</f>
        <v>0</v>
      </c>
      <c r="P8" s="448">
        <f>industrie!P18</f>
        <v>0</v>
      </c>
      <c r="Q8" s="446">
        <f t="shared" si="0"/>
        <v>276150.1097588769</v>
      </c>
    </row>
    <row r="9" spans="1:17" s="452" customFormat="1">
      <c r="A9" s="450" t="s">
        <v>556</v>
      </c>
      <c r="B9" s="451">
        <f>transport!B14</f>
        <v>8.8800609829415738</v>
      </c>
      <c r="C9" s="451">
        <f>transport!C14</f>
        <v>0</v>
      </c>
      <c r="D9" s="451">
        <f>transport!D14</f>
        <v>30.170583578897105</v>
      </c>
      <c r="E9" s="451">
        <f>transport!E14</f>
        <v>3160.9287738206526</v>
      </c>
      <c r="F9" s="451">
        <f>transport!F14</f>
        <v>0</v>
      </c>
      <c r="G9" s="451">
        <f>transport!G14</f>
        <v>614387.25067586242</v>
      </c>
      <c r="H9" s="451">
        <f>transport!H14</f>
        <v>99534.771761550859</v>
      </c>
      <c r="I9" s="451">
        <f>transport!I14</f>
        <v>0</v>
      </c>
      <c r="J9" s="451">
        <f>transport!J14</f>
        <v>0</v>
      </c>
      <c r="K9" s="451">
        <f>transport!K14</f>
        <v>0</v>
      </c>
      <c r="L9" s="451">
        <f>transport!L14</f>
        <v>0</v>
      </c>
      <c r="M9" s="451">
        <f>transport!M14</f>
        <v>31048.390920812049</v>
      </c>
      <c r="N9" s="451">
        <f>transport!N14</f>
        <v>0</v>
      </c>
      <c r="O9" s="451">
        <f>transport!O14</f>
        <v>0</v>
      </c>
      <c r="P9" s="451">
        <f>transport!P14</f>
        <v>0</v>
      </c>
      <c r="Q9" s="450">
        <f>SUM(B9:P9)</f>
        <v>748170.39277660777</v>
      </c>
    </row>
    <row r="10" spans="1:17">
      <c r="A10" s="446" t="s">
        <v>546</v>
      </c>
      <c r="B10" s="447">
        <f>transport!B54</f>
        <v>925.22146100889609</v>
      </c>
      <c r="C10" s="447">
        <f>transport!C54</f>
        <v>0</v>
      </c>
      <c r="D10" s="447">
        <f>transport!D54</f>
        <v>0</v>
      </c>
      <c r="E10" s="447">
        <f>transport!E54</f>
        <v>0</v>
      </c>
      <c r="F10" s="447">
        <f>transport!F54</f>
        <v>0</v>
      </c>
      <c r="G10" s="447">
        <f>transport!G54</f>
        <v>25440.657252983612</v>
      </c>
      <c r="H10" s="447">
        <f>transport!H54</f>
        <v>0</v>
      </c>
      <c r="I10" s="447">
        <f>transport!I54</f>
        <v>0</v>
      </c>
      <c r="J10" s="447">
        <f>transport!J54</f>
        <v>0</v>
      </c>
      <c r="K10" s="447">
        <f>transport!K54</f>
        <v>0</v>
      </c>
      <c r="L10" s="447">
        <f>transport!L54</f>
        <v>0</v>
      </c>
      <c r="M10" s="447">
        <f>transport!M54</f>
        <v>1089.2712196728203</v>
      </c>
      <c r="N10" s="447">
        <f>transport!N54</f>
        <v>0</v>
      </c>
      <c r="O10" s="447">
        <f>transport!O54</f>
        <v>0</v>
      </c>
      <c r="P10" s="448">
        <f>transport!P54</f>
        <v>0</v>
      </c>
      <c r="Q10" s="446">
        <f t="shared" si="0"/>
        <v>27455.149933665329</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16068.348218188499</v>
      </c>
      <c r="C14" s="454"/>
      <c r="D14" s="454">
        <f>'SEAP template'!E25</f>
        <v>45644.748959591903</v>
      </c>
      <c r="E14" s="454"/>
      <c r="F14" s="454"/>
      <c r="G14" s="454"/>
      <c r="H14" s="454"/>
      <c r="I14" s="454"/>
      <c r="J14" s="454"/>
      <c r="K14" s="454"/>
      <c r="L14" s="454"/>
      <c r="M14" s="454"/>
      <c r="N14" s="454"/>
      <c r="O14" s="454"/>
      <c r="P14" s="455"/>
      <c r="Q14" s="446">
        <f t="shared" si="0"/>
        <v>61713.097177780401</v>
      </c>
    </row>
    <row r="15" spans="1:17" s="459" customFormat="1">
      <c r="A15" s="456" t="s">
        <v>550</v>
      </c>
      <c r="B15" s="457">
        <f ca="1">SUM(B4:B14)</f>
        <v>660345.2675685297</v>
      </c>
      <c r="C15" s="457">
        <f t="shared" ref="C15:Q15" ca="1" si="1">SUM(C4:C14)</f>
        <v>15</v>
      </c>
      <c r="D15" s="457">
        <f t="shared" ca="1" si="1"/>
        <v>1142511.8908163034</v>
      </c>
      <c r="E15" s="457">
        <f t="shared" si="1"/>
        <v>17386.688561868967</v>
      </c>
      <c r="F15" s="457">
        <f t="shared" ca="1" si="1"/>
        <v>326727.07931094838</v>
      </c>
      <c r="G15" s="457">
        <f t="shared" si="1"/>
        <v>639827.90792884608</v>
      </c>
      <c r="H15" s="457">
        <f t="shared" si="1"/>
        <v>99534.771761550859</v>
      </c>
      <c r="I15" s="457">
        <f t="shared" si="1"/>
        <v>0</v>
      </c>
      <c r="J15" s="457">
        <f t="shared" si="1"/>
        <v>5791.6942502413276</v>
      </c>
      <c r="K15" s="457">
        <f t="shared" si="1"/>
        <v>0</v>
      </c>
      <c r="L15" s="457">
        <f t="shared" ca="1" si="1"/>
        <v>0</v>
      </c>
      <c r="M15" s="457">
        <f t="shared" si="1"/>
        <v>32137.66214048487</v>
      </c>
      <c r="N15" s="457">
        <f t="shared" ca="1" si="1"/>
        <v>70374.102675059432</v>
      </c>
      <c r="O15" s="457">
        <f t="shared" si="1"/>
        <v>326.73666666666668</v>
      </c>
      <c r="P15" s="457">
        <f t="shared" si="1"/>
        <v>667.33333333333326</v>
      </c>
      <c r="Q15" s="457">
        <f t="shared" ca="1" si="1"/>
        <v>2995646.1350138322</v>
      </c>
    </row>
    <row r="17" spans="1:17">
      <c r="A17" s="460" t="s">
        <v>551</v>
      </c>
      <c r="B17" s="764">
        <f ca="1">huishoudens!B10</f>
        <v>0.19532271897296338</v>
      </c>
      <c r="C17" s="764">
        <f ca="1">huishoudens!C10</f>
        <v>0.22444444444444447</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39309.679774801778</v>
      </c>
      <c r="C22" s="447">
        <f t="shared" ref="C22:C32" ca="1" si="3">C4*$C$17</f>
        <v>0</v>
      </c>
      <c r="D22" s="447">
        <f t="shared" ref="D22:D32" si="4">D4*$D$17</f>
        <v>118914.63917609429</v>
      </c>
      <c r="E22" s="447">
        <f t="shared" ref="E22:E32" si="5">E4*$E$17</f>
        <v>1321.0252075875453</v>
      </c>
      <c r="F22" s="447">
        <f t="shared" ref="F22:F32" si="6">F4*$F$17</f>
        <v>53038.193931895301</v>
      </c>
      <c r="G22" s="447">
        <f t="shared" ref="G22:G32" si="7">G4*$G$17</f>
        <v>0</v>
      </c>
      <c r="H22" s="447">
        <f t="shared" ref="H22:H32" si="8">H4*$H$17</f>
        <v>0</v>
      </c>
      <c r="I22" s="447">
        <f t="shared" ref="I22:I32" si="9">I4*$I$17</f>
        <v>0</v>
      </c>
      <c r="J22" s="447">
        <f t="shared" ref="J22:J32" si="10">J4*$J$17</f>
        <v>1583.4349203884694</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214166.9730107674</v>
      </c>
    </row>
    <row r="23" spans="1:17">
      <c r="A23" s="446" t="s">
        <v>149</v>
      </c>
      <c r="B23" s="447">
        <f t="shared" ca="1" si="2"/>
        <v>62905.395609940533</v>
      </c>
      <c r="C23" s="447">
        <f t="shared" ca="1" si="3"/>
        <v>3.3666666666666671</v>
      </c>
      <c r="D23" s="447">
        <f t="shared" ca="1" si="4"/>
        <v>71125.153649905667</v>
      </c>
      <c r="E23" s="447">
        <f t="shared" si="5"/>
        <v>1625.4224773929864</v>
      </c>
      <c r="F23" s="447">
        <f t="shared" ca="1" si="6"/>
        <v>16911.901797553044</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152571.24020145886</v>
      </c>
    </row>
    <row r="24" spans="1:17">
      <c r="A24" s="446" t="s">
        <v>187</v>
      </c>
      <c r="B24" s="447">
        <f t="shared" ca="1" si="2"/>
        <v>1621.2393128411966</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1621.2393128411966</v>
      </c>
    </row>
    <row r="25" spans="1:17">
      <c r="A25" s="446" t="s">
        <v>105</v>
      </c>
      <c r="B25" s="447">
        <f t="shared" ca="1" si="2"/>
        <v>1682.1829508930457</v>
      </c>
      <c r="C25" s="447">
        <f t="shared" ca="1" si="3"/>
        <v>0</v>
      </c>
      <c r="D25" s="447">
        <f t="shared" si="4"/>
        <v>3040.3725304704903</v>
      </c>
      <c r="E25" s="447">
        <f t="shared" si="5"/>
        <v>20.473162558843146</v>
      </c>
      <c r="F25" s="447">
        <f t="shared" si="6"/>
        <v>9843.5690182722246</v>
      </c>
      <c r="G25" s="447">
        <f t="shared" si="7"/>
        <v>0</v>
      </c>
      <c r="H25" s="447">
        <f t="shared" si="8"/>
        <v>0</v>
      </c>
      <c r="I25" s="447">
        <f t="shared" si="9"/>
        <v>0</v>
      </c>
      <c r="J25" s="447">
        <f t="shared" si="10"/>
        <v>272.28190172945409</v>
      </c>
      <c r="K25" s="447">
        <f t="shared" si="11"/>
        <v>0</v>
      </c>
      <c r="L25" s="447">
        <f t="shared" si="12"/>
        <v>0</v>
      </c>
      <c r="M25" s="447">
        <f t="shared" si="13"/>
        <v>0</v>
      </c>
      <c r="N25" s="447">
        <f t="shared" si="14"/>
        <v>0</v>
      </c>
      <c r="O25" s="447">
        <f t="shared" si="15"/>
        <v>0</v>
      </c>
      <c r="P25" s="448">
        <f t="shared" si="16"/>
        <v>0</v>
      </c>
      <c r="Q25" s="446">
        <f t="shared" ca="1" si="17"/>
        <v>14858.879563924056</v>
      </c>
    </row>
    <row r="26" spans="1:17">
      <c r="A26" s="446" t="s">
        <v>637</v>
      </c>
      <c r="B26" s="447">
        <f t="shared" ca="1" si="2"/>
        <v>20140.970761484514</v>
      </c>
      <c r="C26" s="447">
        <f t="shared" ca="1" si="3"/>
        <v>0</v>
      </c>
      <c r="D26" s="447">
        <f t="shared" si="4"/>
        <v>28480.902840702362</v>
      </c>
      <c r="E26" s="447">
        <f t="shared" si="5"/>
        <v>262.32662434759209</v>
      </c>
      <c r="F26" s="447">
        <f t="shared" si="6"/>
        <v>7442.4654283026421</v>
      </c>
      <c r="G26" s="447">
        <f t="shared" si="7"/>
        <v>0</v>
      </c>
      <c r="H26" s="447">
        <f t="shared" si="8"/>
        <v>0</v>
      </c>
      <c r="I26" s="447">
        <f t="shared" si="9"/>
        <v>0</v>
      </c>
      <c r="J26" s="447">
        <f t="shared" si="10"/>
        <v>194.54294246750649</v>
      </c>
      <c r="K26" s="447">
        <f t="shared" si="11"/>
        <v>0</v>
      </c>
      <c r="L26" s="447">
        <f t="shared" si="12"/>
        <v>0</v>
      </c>
      <c r="M26" s="447">
        <f t="shared" si="13"/>
        <v>0</v>
      </c>
      <c r="N26" s="447">
        <f t="shared" si="14"/>
        <v>0</v>
      </c>
      <c r="O26" s="447">
        <f t="shared" si="15"/>
        <v>0</v>
      </c>
      <c r="P26" s="448">
        <f t="shared" si="16"/>
        <v>0</v>
      </c>
      <c r="Q26" s="446">
        <f t="shared" ca="1" si="17"/>
        <v>56521.20859730462</v>
      </c>
    </row>
    <row r="27" spans="1:17" s="452" customFormat="1">
      <c r="A27" s="450" t="s">
        <v>556</v>
      </c>
      <c r="B27" s="758">
        <f t="shared" ca="1" si="2"/>
        <v>1.7344776558338739</v>
      </c>
      <c r="C27" s="451">
        <f t="shared" ca="1" si="3"/>
        <v>0</v>
      </c>
      <c r="D27" s="451">
        <f t="shared" si="4"/>
        <v>6.094457882937216</v>
      </c>
      <c r="E27" s="451">
        <f t="shared" si="5"/>
        <v>717.53083165728822</v>
      </c>
      <c r="F27" s="451">
        <f t="shared" si="6"/>
        <v>0</v>
      </c>
      <c r="G27" s="451">
        <f t="shared" si="7"/>
        <v>164041.39593045527</v>
      </c>
      <c r="H27" s="451">
        <f t="shared" si="8"/>
        <v>24784.158168626163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189550.91386627749</v>
      </c>
    </row>
    <row r="28" spans="1:17">
      <c r="A28" s="446" t="s">
        <v>546</v>
      </c>
      <c r="B28" s="447">
        <f t="shared" ca="1" si="2"/>
        <v>180.7167714163952</v>
      </c>
      <c r="C28" s="447">
        <f t="shared" ca="1" si="3"/>
        <v>0</v>
      </c>
      <c r="D28" s="447">
        <f t="shared" si="4"/>
        <v>0</v>
      </c>
      <c r="E28" s="447">
        <f t="shared" si="5"/>
        <v>0</v>
      </c>
      <c r="F28" s="447">
        <f t="shared" si="6"/>
        <v>0</v>
      </c>
      <c r="G28" s="447">
        <f t="shared" si="7"/>
        <v>6792.6554865466251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6973.3722579630203</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3138.5134633809494</v>
      </c>
      <c r="C32" s="447">
        <f t="shared" ca="1" si="3"/>
        <v>0</v>
      </c>
      <c r="D32" s="447">
        <f t="shared" si="4"/>
        <v>9220.2392898375656</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12358.752753218516</v>
      </c>
    </row>
    <row r="33" spans="1:17" s="459" customFormat="1">
      <c r="A33" s="456" t="s">
        <v>550</v>
      </c>
      <c r="B33" s="457">
        <f ca="1">SUM(B22:B32)</f>
        <v>128980.43312241424</v>
      </c>
      <c r="C33" s="457">
        <f t="shared" ref="C33:Q33" ca="1" si="19">SUM(C22:C32)</f>
        <v>3.3666666666666671</v>
      </c>
      <c r="D33" s="457">
        <f t="shared" ca="1" si="19"/>
        <v>230787.40194489332</v>
      </c>
      <c r="E33" s="457">
        <f t="shared" si="19"/>
        <v>3946.7783035442553</v>
      </c>
      <c r="F33" s="457">
        <f t="shared" ca="1" si="19"/>
        <v>87236.130176023202</v>
      </c>
      <c r="G33" s="457">
        <f t="shared" si="19"/>
        <v>170834.0514170019</v>
      </c>
      <c r="H33" s="457">
        <f t="shared" si="19"/>
        <v>24784.158168626163</v>
      </c>
      <c r="I33" s="457">
        <f t="shared" si="19"/>
        <v>0</v>
      </c>
      <c r="J33" s="457">
        <f t="shared" si="19"/>
        <v>2050.2597645854303</v>
      </c>
      <c r="K33" s="457">
        <f t="shared" si="19"/>
        <v>0</v>
      </c>
      <c r="L33" s="457">
        <f t="shared" ca="1" si="19"/>
        <v>0</v>
      </c>
      <c r="M33" s="457">
        <f t="shared" si="19"/>
        <v>0</v>
      </c>
      <c r="N33" s="457">
        <f t="shared" ca="1" si="19"/>
        <v>0</v>
      </c>
      <c r="O33" s="457">
        <f t="shared" si="19"/>
        <v>0</v>
      </c>
      <c r="P33" s="457">
        <f t="shared" si="19"/>
        <v>0</v>
      </c>
      <c r="Q33" s="457">
        <f t="shared" ca="1" si="19"/>
        <v>648622.57956375519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61119.14038789492</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15604.304605608166</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3</v>
      </c>
      <c r="D8" s="1006">
        <f>'SEAP template'!D76</f>
        <v>3.333333333333333</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0.67333333333333334</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76723.444993503086</v>
      </c>
      <c r="C10" s="1010">
        <f>SUM(C4:C9)</f>
        <v>3</v>
      </c>
      <c r="D10" s="1010">
        <f t="shared" ref="D10:H10" si="0">SUM(D8:D9)</f>
        <v>3.333333333333333</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0.67333333333333334</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0.19532271897296338</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15</v>
      </c>
      <c r="D17" s="1007">
        <f>'SEAP template'!D87</f>
        <v>16.666666666666668</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3.3666666666666671</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15</v>
      </c>
      <c r="D20" s="1010">
        <f t="shared" ref="D20:H20" si="2">SUM(D17:D19)</f>
        <v>16.666666666666668</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3.3666666666666671</v>
      </c>
    </row>
    <row r="22" spans="1:16">
      <c r="A22" s="460" t="s">
        <v>910</v>
      </c>
      <c r="B22" s="764" t="s">
        <v>904</v>
      </c>
      <c r="C22" s="764">
        <f ca="1">'EF ele_warmte'!B22</f>
        <v>0.22444444444444447</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0.19532271897296338</v>
      </c>
      <c r="C17" s="496">
        <f ca="1">'EF ele_warmte'!B22</f>
        <v>0.22444444444444447</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3</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4.6900000000000004</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1</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19.066666666666666</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0.19532271897296338</v>
      </c>
      <c r="C17" s="496">
        <f ca="1">'EF ele_warmte'!B22</f>
        <v>0.22444444444444447</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0.19532271897296338</v>
      </c>
      <c r="C29" s="497">
        <f ca="1">'EF ele_warmte'!B22</f>
        <v>0.22444444444444447</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52271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4621</v>
      </c>
      <c r="C14" s="326"/>
      <c r="D14" s="326"/>
      <c r="E14" s="326"/>
      <c r="F14" s="326"/>
    </row>
    <row r="15" spans="1:6">
      <c r="A15" s="1280" t="s">
        <v>177</v>
      </c>
      <c r="B15" s="1281">
        <v>844</v>
      </c>
      <c r="C15" s="326"/>
      <c r="D15" s="326"/>
      <c r="E15" s="326"/>
      <c r="F15" s="326"/>
    </row>
    <row r="16" spans="1:6">
      <c r="A16" s="1280" t="s">
        <v>6</v>
      </c>
      <c r="B16" s="1281">
        <v>1310</v>
      </c>
      <c r="C16" s="326"/>
      <c r="D16" s="326"/>
      <c r="E16" s="326"/>
      <c r="F16" s="326"/>
    </row>
    <row r="17" spans="1:6">
      <c r="A17" s="1280" t="s">
        <v>7</v>
      </c>
      <c r="B17" s="1281">
        <v>1415</v>
      </c>
      <c r="C17" s="326"/>
      <c r="D17" s="326"/>
      <c r="E17" s="326"/>
      <c r="F17" s="326"/>
    </row>
    <row r="18" spans="1:6">
      <c r="A18" s="1280" t="s">
        <v>8</v>
      </c>
      <c r="B18" s="1281">
        <v>2090</v>
      </c>
      <c r="C18" s="326"/>
      <c r="D18" s="326"/>
      <c r="E18" s="326"/>
      <c r="F18" s="326"/>
    </row>
    <row r="19" spans="1:6">
      <c r="A19" s="1280" t="s">
        <v>9</v>
      </c>
      <c r="B19" s="1281">
        <v>1943</v>
      </c>
      <c r="C19" s="326"/>
      <c r="D19" s="326"/>
      <c r="E19" s="326"/>
      <c r="F19" s="326"/>
    </row>
    <row r="20" spans="1:6">
      <c r="A20" s="1280" t="s">
        <v>10</v>
      </c>
      <c r="B20" s="1281">
        <v>1922</v>
      </c>
      <c r="C20" s="326"/>
      <c r="D20" s="326"/>
      <c r="E20" s="326"/>
      <c r="F20" s="326"/>
    </row>
    <row r="21" spans="1:6">
      <c r="A21" s="1280" t="s">
        <v>11</v>
      </c>
      <c r="B21" s="1281">
        <v>6618</v>
      </c>
      <c r="C21" s="326"/>
      <c r="D21" s="326"/>
      <c r="E21" s="326"/>
      <c r="F21" s="326"/>
    </row>
    <row r="22" spans="1:6">
      <c r="A22" s="1280" t="s">
        <v>12</v>
      </c>
      <c r="B22" s="1281">
        <v>17564</v>
      </c>
      <c r="C22" s="326"/>
      <c r="D22" s="326"/>
      <c r="E22" s="326"/>
      <c r="F22" s="326"/>
    </row>
    <row r="23" spans="1:6">
      <c r="A23" s="1280" t="s">
        <v>13</v>
      </c>
      <c r="B23" s="1281">
        <v>307</v>
      </c>
      <c r="C23" s="326"/>
      <c r="D23" s="326"/>
      <c r="E23" s="326"/>
      <c r="F23" s="326"/>
    </row>
    <row r="24" spans="1:6">
      <c r="A24" s="1280" t="s">
        <v>14</v>
      </c>
      <c r="B24" s="1281">
        <v>13</v>
      </c>
      <c r="C24" s="326"/>
      <c r="D24" s="326"/>
      <c r="E24" s="326"/>
      <c r="F24" s="326"/>
    </row>
    <row r="25" spans="1:6">
      <c r="A25" s="1280" t="s">
        <v>15</v>
      </c>
      <c r="B25" s="1281">
        <v>1669</v>
      </c>
      <c r="C25" s="326"/>
      <c r="D25" s="326"/>
      <c r="E25" s="326"/>
      <c r="F25" s="326"/>
    </row>
    <row r="26" spans="1:6">
      <c r="A26" s="1280" t="s">
        <v>16</v>
      </c>
      <c r="B26" s="1281">
        <v>823</v>
      </c>
      <c r="C26" s="326"/>
      <c r="D26" s="326"/>
      <c r="E26" s="326"/>
      <c r="F26" s="326"/>
    </row>
    <row r="27" spans="1:6">
      <c r="A27" s="1280" t="s">
        <v>17</v>
      </c>
      <c r="B27" s="1281">
        <v>23</v>
      </c>
      <c r="C27" s="326"/>
      <c r="D27" s="326"/>
      <c r="E27" s="326"/>
      <c r="F27" s="326"/>
    </row>
    <row r="28" spans="1:6">
      <c r="A28" s="1280" t="s">
        <v>18</v>
      </c>
      <c r="B28" s="1282">
        <v>114395</v>
      </c>
      <c r="C28" s="326"/>
      <c r="D28" s="326"/>
      <c r="E28" s="326"/>
      <c r="F28" s="326"/>
    </row>
    <row r="29" spans="1:6">
      <c r="A29" s="1280" t="s">
        <v>972</v>
      </c>
      <c r="B29" s="1282">
        <v>383</v>
      </c>
      <c r="C29" s="326"/>
      <c r="D29" s="326"/>
      <c r="E29" s="326"/>
      <c r="F29" s="326"/>
    </row>
    <row r="30" spans="1:6">
      <c r="A30" s="1275" t="s">
        <v>973</v>
      </c>
      <c r="B30" s="1283">
        <v>79</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8</v>
      </c>
      <c r="F35" s="1281">
        <v>662713.55800715601</v>
      </c>
    </row>
    <row r="36" spans="1:6">
      <c r="A36" s="1280" t="s">
        <v>24</v>
      </c>
      <c r="B36" s="1280" t="s">
        <v>26</v>
      </c>
      <c r="C36" s="1281">
        <v>9</v>
      </c>
      <c r="D36" s="1281">
        <v>1383720.10119733</v>
      </c>
      <c r="E36" s="1281">
        <v>11</v>
      </c>
      <c r="F36" s="1281">
        <v>797518.49759884703</v>
      </c>
    </row>
    <row r="37" spans="1:6">
      <c r="A37" s="1280" t="s">
        <v>24</v>
      </c>
      <c r="B37" s="1280" t="s">
        <v>27</v>
      </c>
      <c r="C37" s="1281">
        <v>0</v>
      </c>
      <c r="D37" s="1281">
        <v>0</v>
      </c>
      <c r="E37" s="1281">
        <v>0</v>
      </c>
      <c r="F37" s="1281">
        <v>0</v>
      </c>
    </row>
    <row r="38" spans="1:6">
      <c r="A38" s="1280" t="s">
        <v>24</v>
      </c>
      <c r="B38" s="1280" t="s">
        <v>28</v>
      </c>
      <c r="C38" s="1281">
        <v>7</v>
      </c>
      <c r="D38" s="1281">
        <v>1093595.9933516199</v>
      </c>
      <c r="E38" s="1281">
        <v>12</v>
      </c>
      <c r="F38" s="1281">
        <v>210245.218801212</v>
      </c>
    </row>
    <row r="39" spans="1:6">
      <c r="A39" s="1280" t="s">
        <v>29</v>
      </c>
      <c r="B39" s="1280" t="s">
        <v>30</v>
      </c>
      <c r="C39" s="1281">
        <v>42311</v>
      </c>
      <c r="D39" s="1281">
        <v>652645601.50213099</v>
      </c>
      <c r="E39" s="1281">
        <v>51864</v>
      </c>
      <c r="F39" s="1281">
        <v>195325976.32814699</v>
      </c>
    </row>
    <row r="40" spans="1:6">
      <c r="A40" s="1280" t="s">
        <v>29</v>
      </c>
      <c r="B40" s="1280" t="s">
        <v>28</v>
      </c>
      <c r="C40" s="1281">
        <v>0</v>
      </c>
      <c r="D40" s="1281">
        <v>0</v>
      </c>
      <c r="E40" s="1281">
        <v>1</v>
      </c>
      <c r="F40" s="1281">
        <v>8426.4741407867004</v>
      </c>
    </row>
    <row r="41" spans="1:6">
      <c r="A41" s="1280" t="s">
        <v>31</v>
      </c>
      <c r="B41" s="1280" t="s">
        <v>32</v>
      </c>
      <c r="C41" s="1281">
        <v>398</v>
      </c>
      <c r="D41" s="1281">
        <v>11861223.243581099</v>
      </c>
      <c r="E41" s="1281">
        <v>777</v>
      </c>
      <c r="F41" s="1281">
        <v>15750344.4075293</v>
      </c>
    </row>
    <row r="42" spans="1:6">
      <c r="A42" s="1280" t="s">
        <v>31</v>
      </c>
      <c r="B42" s="1280" t="s">
        <v>33</v>
      </c>
      <c r="C42" s="1281">
        <v>3</v>
      </c>
      <c r="D42" s="1281">
        <v>131986.622973744</v>
      </c>
      <c r="E42" s="1281">
        <v>4</v>
      </c>
      <c r="F42" s="1281">
        <v>3282167.1546521699</v>
      </c>
    </row>
    <row r="43" spans="1:6">
      <c r="A43" s="1280" t="s">
        <v>31</v>
      </c>
      <c r="B43" s="1280" t="s">
        <v>34</v>
      </c>
      <c r="C43" s="1281">
        <v>0</v>
      </c>
      <c r="D43" s="1281">
        <v>0</v>
      </c>
      <c r="E43" s="1281">
        <v>0</v>
      </c>
      <c r="F43" s="1281">
        <v>0</v>
      </c>
    </row>
    <row r="44" spans="1:6">
      <c r="A44" s="1280" t="s">
        <v>31</v>
      </c>
      <c r="B44" s="1280" t="s">
        <v>35</v>
      </c>
      <c r="C44" s="1281">
        <v>26</v>
      </c>
      <c r="D44" s="1281">
        <v>14858684.681745101</v>
      </c>
      <c r="E44" s="1281">
        <v>47</v>
      </c>
      <c r="F44" s="1281">
        <v>4001847.7174766702</v>
      </c>
    </row>
    <row r="45" spans="1:6">
      <c r="A45" s="1280" t="s">
        <v>31</v>
      </c>
      <c r="B45" s="1280" t="s">
        <v>36</v>
      </c>
      <c r="C45" s="1281">
        <v>3</v>
      </c>
      <c r="D45" s="1281">
        <v>58078.343577709398</v>
      </c>
      <c r="E45" s="1281">
        <v>16</v>
      </c>
      <c r="F45" s="1281">
        <v>2830132.7159750899</v>
      </c>
    </row>
    <row r="46" spans="1:6">
      <c r="A46" s="1280" t="s">
        <v>31</v>
      </c>
      <c r="B46" s="1280" t="s">
        <v>37</v>
      </c>
      <c r="C46" s="1281">
        <v>0</v>
      </c>
      <c r="D46" s="1281">
        <v>0</v>
      </c>
      <c r="E46" s="1281">
        <v>0</v>
      </c>
      <c r="F46" s="1281">
        <v>0</v>
      </c>
    </row>
    <row r="47" spans="1:6">
      <c r="A47" s="1280" t="s">
        <v>31</v>
      </c>
      <c r="B47" s="1280" t="s">
        <v>38</v>
      </c>
      <c r="C47" s="1281">
        <v>55</v>
      </c>
      <c r="D47" s="1281">
        <v>1779168.30583953</v>
      </c>
      <c r="E47" s="1281">
        <v>69</v>
      </c>
      <c r="F47" s="1281">
        <v>3919546.9002179201</v>
      </c>
    </row>
    <row r="48" spans="1:6">
      <c r="A48" s="1280" t="s">
        <v>31</v>
      </c>
      <c r="B48" s="1280" t="s">
        <v>28</v>
      </c>
      <c r="C48" s="1281">
        <v>142</v>
      </c>
      <c r="D48" s="1281">
        <v>117172817.531652</v>
      </c>
      <c r="E48" s="1281">
        <v>169</v>
      </c>
      <c r="F48" s="1281">
        <v>56946986.612019598</v>
      </c>
    </row>
    <row r="49" spans="1:6">
      <c r="A49" s="1280" t="s">
        <v>31</v>
      </c>
      <c r="B49" s="1280" t="s">
        <v>39</v>
      </c>
      <c r="C49" s="1281">
        <v>20</v>
      </c>
      <c r="D49" s="1281">
        <v>516519.79405525001</v>
      </c>
      <c r="E49" s="1281">
        <v>24</v>
      </c>
      <c r="F49" s="1281">
        <v>349020.96913600602</v>
      </c>
    </row>
    <row r="50" spans="1:6">
      <c r="A50" s="1280" t="s">
        <v>31</v>
      </c>
      <c r="B50" s="1280" t="s">
        <v>40</v>
      </c>
      <c r="C50" s="1281">
        <v>94</v>
      </c>
      <c r="D50" s="1281">
        <v>9934790.3439020608</v>
      </c>
      <c r="E50" s="1281">
        <v>128</v>
      </c>
      <c r="F50" s="1281">
        <v>16036328.6553322</v>
      </c>
    </row>
    <row r="51" spans="1:6">
      <c r="A51" s="1280" t="s">
        <v>41</v>
      </c>
      <c r="B51" s="1280" t="s">
        <v>42</v>
      </c>
      <c r="C51" s="1281">
        <v>123</v>
      </c>
      <c r="D51" s="1281">
        <v>15316554.9497732</v>
      </c>
      <c r="E51" s="1281">
        <v>329</v>
      </c>
      <c r="F51" s="1281">
        <v>7822441.9654641096</v>
      </c>
    </row>
    <row r="52" spans="1:6">
      <c r="A52" s="1280" t="s">
        <v>41</v>
      </c>
      <c r="B52" s="1280" t="s">
        <v>28</v>
      </c>
      <c r="C52" s="1281">
        <v>13</v>
      </c>
      <c r="D52" s="1281">
        <v>1370084.91801505</v>
      </c>
      <c r="E52" s="1281">
        <v>27</v>
      </c>
      <c r="F52" s="1281">
        <v>789884.13637504098</v>
      </c>
    </row>
    <row r="53" spans="1:6">
      <c r="A53" s="1280" t="s">
        <v>43</v>
      </c>
      <c r="B53" s="1280" t="s">
        <v>44</v>
      </c>
      <c r="C53" s="1281">
        <v>1849</v>
      </c>
      <c r="D53" s="1281">
        <v>45644748.959591903</v>
      </c>
      <c r="E53" s="1281">
        <v>2647</v>
      </c>
      <c r="F53" s="1281">
        <v>16068348.2181885</v>
      </c>
    </row>
    <row r="54" spans="1:6">
      <c r="A54" s="1280" t="s">
        <v>45</v>
      </c>
      <c r="B54" s="1280" t="s">
        <v>46</v>
      </c>
      <c r="C54" s="1281">
        <v>0</v>
      </c>
      <c r="D54" s="1281">
        <v>0</v>
      </c>
      <c r="E54" s="1281">
        <v>2</v>
      </c>
      <c r="F54" s="1281">
        <v>8300311</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452</v>
      </c>
      <c r="D57" s="1281">
        <v>60432959.0138859</v>
      </c>
      <c r="E57" s="1281">
        <v>645</v>
      </c>
      <c r="F57" s="1281">
        <v>28933736.919962</v>
      </c>
    </row>
    <row r="58" spans="1:6">
      <c r="A58" s="1280" t="s">
        <v>48</v>
      </c>
      <c r="B58" s="1280" t="s">
        <v>50</v>
      </c>
      <c r="C58" s="1281">
        <v>264</v>
      </c>
      <c r="D58" s="1281">
        <v>43973276.0830044</v>
      </c>
      <c r="E58" s="1281">
        <v>348</v>
      </c>
      <c r="F58" s="1281">
        <v>30296673.261419501</v>
      </c>
    </row>
    <row r="59" spans="1:6">
      <c r="A59" s="1280" t="s">
        <v>48</v>
      </c>
      <c r="B59" s="1280" t="s">
        <v>51</v>
      </c>
      <c r="C59" s="1281">
        <v>1292</v>
      </c>
      <c r="D59" s="1281">
        <v>55533276.170066901</v>
      </c>
      <c r="E59" s="1281">
        <v>2068</v>
      </c>
      <c r="F59" s="1281">
        <v>85375941.796043098</v>
      </c>
    </row>
    <row r="60" spans="1:6">
      <c r="A60" s="1280" t="s">
        <v>48</v>
      </c>
      <c r="B60" s="1280" t="s">
        <v>52</v>
      </c>
      <c r="C60" s="1281">
        <v>840</v>
      </c>
      <c r="D60" s="1281">
        <v>60420657.498923399</v>
      </c>
      <c r="E60" s="1281">
        <v>999</v>
      </c>
      <c r="F60" s="1281">
        <v>43120763.658833504</v>
      </c>
    </row>
    <row r="61" spans="1:6">
      <c r="A61" s="1280" t="s">
        <v>48</v>
      </c>
      <c r="B61" s="1280" t="s">
        <v>53</v>
      </c>
      <c r="C61" s="1281">
        <v>1603</v>
      </c>
      <c r="D61" s="1281">
        <v>107388424.799202</v>
      </c>
      <c r="E61" s="1281">
        <v>3364</v>
      </c>
      <c r="F61" s="1281">
        <v>107136063.02998599</v>
      </c>
    </row>
    <row r="62" spans="1:6">
      <c r="A62" s="1280" t="s">
        <v>48</v>
      </c>
      <c r="B62" s="1280" t="s">
        <v>54</v>
      </c>
      <c r="C62" s="1281">
        <v>150</v>
      </c>
      <c r="D62" s="1281">
        <v>32351997.802616999</v>
      </c>
      <c r="E62" s="1281">
        <v>169</v>
      </c>
      <c r="F62" s="1281">
        <v>11252968.0134557</v>
      </c>
    </row>
    <row r="63" spans="1:6">
      <c r="A63" s="1280" t="s">
        <v>48</v>
      </c>
      <c r="B63" s="1280" t="s">
        <v>28</v>
      </c>
      <c r="C63" s="1281">
        <v>387</v>
      </c>
      <c r="D63" s="1281">
        <v>30281582.733339101</v>
      </c>
      <c r="E63" s="1281">
        <v>353</v>
      </c>
      <c r="F63" s="1281">
        <v>15939628.3604322</v>
      </c>
    </row>
    <row r="64" spans="1:6">
      <c r="A64" s="1280" t="s">
        <v>55</v>
      </c>
      <c r="B64" s="1280" t="s">
        <v>56</v>
      </c>
      <c r="C64" s="1281">
        <v>0</v>
      </c>
      <c r="D64" s="1281">
        <v>0</v>
      </c>
      <c r="E64" s="1281">
        <v>0</v>
      </c>
      <c r="F64" s="1281">
        <v>0</v>
      </c>
    </row>
    <row r="65" spans="1:6">
      <c r="A65" s="1280" t="s">
        <v>55</v>
      </c>
      <c r="B65" s="1280" t="s">
        <v>28</v>
      </c>
      <c r="C65" s="1281">
        <v>13</v>
      </c>
      <c r="D65" s="1281">
        <v>1567901.62876063</v>
      </c>
      <c r="E65" s="1281">
        <v>14</v>
      </c>
      <c r="F65" s="1281">
        <v>1267286.7640182399</v>
      </c>
    </row>
    <row r="66" spans="1:6">
      <c r="A66" s="1280" t="s">
        <v>55</v>
      </c>
      <c r="B66" s="1280" t="s">
        <v>57</v>
      </c>
      <c r="C66" s="1281">
        <v>5</v>
      </c>
      <c r="D66" s="1281">
        <v>74795.065870630002</v>
      </c>
      <c r="E66" s="1281">
        <v>8</v>
      </c>
      <c r="F66" s="1281">
        <v>61816.3984106348</v>
      </c>
    </row>
    <row r="67" spans="1:6">
      <c r="A67" s="1280" t="s">
        <v>55</v>
      </c>
      <c r="B67" s="1280" t="s">
        <v>58</v>
      </c>
      <c r="C67" s="1281">
        <v>0</v>
      </c>
      <c r="D67" s="1281">
        <v>0</v>
      </c>
      <c r="E67" s="1281">
        <v>0</v>
      </c>
      <c r="F67" s="1281">
        <v>0</v>
      </c>
    </row>
    <row r="68" spans="1:6">
      <c r="A68" s="1275" t="s">
        <v>55</v>
      </c>
      <c r="B68" s="1275" t="s">
        <v>59</v>
      </c>
      <c r="C68" s="1283">
        <v>30</v>
      </c>
      <c r="D68" s="1283">
        <v>1134024.64897045</v>
      </c>
      <c r="E68" s="1283">
        <v>90</v>
      </c>
      <c r="F68" s="1283">
        <v>2763771.9313799101</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565993470</v>
      </c>
      <c r="E73" s="445"/>
      <c r="F73" s="326"/>
    </row>
    <row r="74" spans="1:6">
      <c r="A74" s="1280" t="s">
        <v>63</v>
      </c>
      <c r="B74" s="1280" t="s">
        <v>754</v>
      </c>
      <c r="C74" s="1293" t="s">
        <v>755</v>
      </c>
      <c r="D74" s="1281">
        <v>56592171.400648169</v>
      </c>
      <c r="E74" s="445"/>
      <c r="F74" s="326"/>
    </row>
    <row r="75" spans="1:6">
      <c r="A75" s="1280" t="s">
        <v>64</v>
      </c>
      <c r="B75" s="1280" t="s">
        <v>752</v>
      </c>
      <c r="C75" s="1293" t="s">
        <v>756</v>
      </c>
      <c r="D75" s="1281">
        <v>148955438</v>
      </c>
      <c r="E75" s="445"/>
      <c r="F75" s="326"/>
    </row>
    <row r="76" spans="1:6">
      <c r="A76" s="1280" t="s">
        <v>64</v>
      </c>
      <c r="B76" s="1280" t="s">
        <v>754</v>
      </c>
      <c r="C76" s="1293" t="s">
        <v>757</v>
      </c>
      <c r="D76" s="1281">
        <v>5817428.4006481711</v>
      </c>
      <c r="E76" s="445"/>
      <c r="F76" s="326"/>
    </row>
    <row r="77" spans="1:6">
      <c r="A77" s="1280" t="s">
        <v>65</v>
      </c>
      <c r="B77" s="1280" t="s">
        <v>752</v>
      </c>
      <c r="C77" s="1293" t="s">
        <v>758</v>
      </c>
      <c r="D77" s="1281">
        <v>84772691</v>
      </c>
      <c r="E77" s="445"/>
      <c r="F77" s="326"/>
    </row>
    <row r="78" spans="1:6">
      <c r="A78" s="1275" t="s">
        <v>65</v>
      </c>
      <c r="B78" s="1275" t="s">
        <v>754</v>
      </c>
      <c r="C78" s="1275" t="s">
        <v>759</v>
      </c>
      <c r="D78" s="1283">
        <v>13452727</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6977647.1987036569</v>
      </c>
      <c r="C83" s="445"/>
      <c r="D83" s="326"/>
      <c r="E83" s="326"/>
      <c r="F83" s="326"/>
    </row>
    <row r="84" spans="1:6">
      <c r="A84" s="1275" t="s">
        <v>324</v>
      </c>
      <c r="B84" s="1283">
        <v>229205.94683378446</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61119.14038789492</v>
      </c>
      <c r="C90" s="326"/>
      <c r="D90" s="326"/>
      <c r="E90" s="326"/>
      <c r="F90" s="326"/>
    </row>
    <row r="91" spans="1:6">
      <c r="A91" s="1280" t="s">
        <v>67</v>
      </c>
      <c r="B91" s="1281">
        <v>5920.6277517515045</v>
      </c>
      <c r="C91" s="326"/>
      <c r="D91" s="326"/>
      <c r="E91" s="326"/>
      <c r="F91" s="326"/>
    </row>
    <row r="92" spans="1:6">
      <c r="A92" s="1275" t="s">
        <v>68</v>
      </c>
      <c r="B92" s="1276">
        <v>9683.6768538566612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33975</v>
      </c>
      <c r="C97" s="326"/>
      <c r="D97" s="326"/>
      <c r="E97" s="326"/>
      <c r="F97" s="326"/>
    </row>
    <row r="98" spans="1:6">
      <c r="A98" s="1280" t="s">
        <v>71</v>
      </c>
      <c r="B98" s="1281">
        <v>8</v>
      </c>
      <c r="C98" s="326"/>
      <c r="D98" s="326"/>
      <c r="E98" s="326"/>
      <c r="F98" s="326"/>
    </row>
    <row r="99" spans="1:6">
      <c r="A99" s="1280" t="s">
        <v>72</v>
      </c>
      <c r="B99" s="1281">
        <v>191</v>
      </c>
      <c r="C99" s="326"/>
      <c r="D99" s="326"/>
      <c r="E99" s="326"/>
      <c r="F99" s="326"/>
    </row>
    <row r="100" spans="1:6">
      <c r="A100" s="1280" t="s">
        <v>73</v>
      </c>
      <c r="B100" s="1281">
        <v>3941</v>
      </c>
      <c r="C100" s="326"/>
      <c r="D100" s="326"/>
      <c r="E100" s="326"/>
      <c r="F100" s="326"/>
    </row>
    <row r="101" spans="1:6">
      <c r="A101" s="1280" t="s">
        <v>74</v>
      </c>
      <c r="B101" s="1281">
        <v>356</v>
      </c>
      <c r="C101" s="326"/>
      <c r="D101" s="326"/>
      <c r="E101" s="326"/>
      <c r="F101" s="326"/>
    </row>
    <row r="102" spans="1:6">
      <c r="A102" s="1280" t="s">
        <v>75</v>
      </c>
      <c r="B102" s="1281">
        <v>1147</v>
      </c>
      <c r="C102" s="326"/>
      <c r="D102" s="326"/>
      <c r="E102" s="326"/>
      <c r="F102" s="326"/>
    </row>
    <row r="103" spans="1:6">
      <c r="A103" s="1280" t="s">
        <v>76</v>
      </c>
      <c r="B103" s="1281">
        <v>613</v>
      </c>
      <c r="C103" s="326"/>
      <c r="D103" s="326"/>
      <c r="E103" s="326"/>
      <c r="F103" s="326"/>
    </row>
    <row r="104" spans="1:6">
      <c r="A104" s="1280" t="s">
        <v>77</v>
      </c>
      <c r="B104" s="1281">
        <v>8219</v>
      </c>
      <c r="C104" s="326"/>
      <c r="D104" s="326"/>
      <c r="E104" s="326"/>
      <c r="F104" s="326"/>
    </row>
    <row r="105" spans="1:6">
      <c r="A105" s="1275" t="s">
        <v>78</v>
      </c>
      <c r="B105" s="1283">
        <v>33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3</v>
      </c>
      <c r="C110" s="326"/>
      <c r="D110" s="326"/>
      <c r="E110" s="326"/>
      <c r="F110" s="326"/>
    </row>
    <row r="111" spans="1:6">
      <c r="A111" s="1298" t="s">
        <v>652</v>
      </c>
      <c r="B111" s="1299">
        <v>1</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12</v>
      </c>
      <c r="C123" s="1281">
        <v>31</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174</v>
      </c>
      <c r="C129" s="326"/>
      <c r="D129" s="326"/>
      <c r="E129" s="326"/>
      <c r="F129" s="326"/>
    </row>
    <row r="130" spans="1:6">
      <c r="A130" s="1280" t="s">
        <v>284</v>
      </c>
      <c r="B130" s="1281">
        <v>4</v>
      </c>
      <c r="C130" s="326"/>
      <c r="D130" s="326"/>
      <c r="E130" s="326"/>
      <c r="F130" s="326"/>
    </row>
    <row r="131" spans="1:6">
      <c r="A131" s="1280" t="s">
        <v>285</v>
      </c>
      <c r="B131" s="1281">
        <v>16</v>
      </c>
      <c r="C131" s="326"/>
      <c r="D131" s="326"/>
      <c r="E131" s="326"/>
      <c r="F131" s="326"/>
    </row>
    <row r="132" spans="1:6">
      <c r="A132" s="1275" t="s">
        <v>286</v>
      </c>
      <c r="B132" s="1276">
        <v>7</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660345.26756852982</v>
      </c>
      <c r="C3" s="43" t="s">
        <v>163</v>
      </c>
      <c r="D3" s="43"/>
      <c r="E3" s="156"/>
      <c r="F3" s="43"/>
      <c r="G3" s="43"/>
      <c r="H3" s="43"/>
      <c r="I3" s="43"/>
      <c r="J3" s="43"/>
      <c r="K3" s="96"/>
    </row>
    <row r="4" spans="1:11">
      <c r="A4" s="352" t="s">
        <v>164</v>
      </c>
      <c r="B4" s="49">
        <f>IF(ISERROR('SEAP template'!B78+'SEAP template'!C78),0,'SEAP template'!B78+'SEAP template'!C78)</f>
        <v>76726.444993503086</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0.67333333333333334</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0.19532271897296338</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3.3666666666666671</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15</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0.22444444444444447</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8300.3109999999997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8300.3109999999997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0.19532271897296338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1621.2393128411966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195334.40280228778</v>
      </c>
      <c r="C5" s="17">
        <f>IF(ISERROR('Eigen informatie GS &amp; warmtenet'!B57),0,'Eigen informatie GS &amp; warmtenet'!B57)</f>
        <v>0</v>
      </c>
      <c r="D5" s="30">
        <f>(SUM(HH_hh_gas_kWh,HH_rest_gas_kWh)/1000)*0.902</f>
        <v>588686.33255492221</v>
      </c>
      <c r="E5" s="17">
        <f>B32*B41</f>
        <v>5819.4943065530633</v>
      </c>
      <c r="F5" s="17">
        <f>B36*B45</f>
        <v>198644.92109324082</v>
      </c>
      <c r="G5" s="18"/>
      <c r="H5" s="17"/>
      <c r="I5" s="17"/>
      <c r="J5" s="17">
        <f>B35*B44+C35*C44</f>
        <v>4472.9800010973713</v>
      </c>
      <c r="K5" s="17"/>
      <c r="L5" s="17"/>
      <c r="M5" s="17"/>
      <c r="N5" s="17">
        <f>B34*B43+C34*C43</f>
        <v>59630.76367856632</v>
      </c>
      <c r="O5" s="17">
        <f>B52*B53*B54</f>
        <v>320.48333333333335</v>
      </c>
      <c r="P5" s="17">
        <f>B60*B61*B62/1000-B60*B61*B62/1000/B63</f>
        <v>362.26666666666665</v>
      </c>
    </row>
    <row r="6" spans="1:16">
      <c r="A6" s="16" t="s">
        <v>615</v>
      </c>
      <c r="B6" s="766">
        <f>kWh_PV_kleiner_dan_10kW</f>
        <v>5920.6277517515045</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201255.03055403929</v>
      </c>
      <c r="C8" s="21">
        <f>C5</f>
        <v>0</v>
      </c>
      <c r="D8" s="21">
        <f>D5</f>
        <v>588686.33255492221</v>
      </c>
      <c r="E8" s="21">
        <f>E5</f>
        <v>5819.4943065530633</v>
      </c>
      <c r="F8" s="21">
        <f>F5</f>
        <v>198644.92109324082</v>
      </c>
      <c r="G8" s="21"/>
      <c r="H8" s="21"/>
      <c r="I8" s="21"/>
      <c r="J8" s="21">
        <f>J5</f>
        <v>4472.9800010973713</v>
      </c>
      <c r="K8" s="21"/>
      <c r="L8" s="21">
        <f>L5</f>
        <v>0</v>
      </c>
      <c r="M8" s="21">
        <f>M5</f>
        <v>0</v>
      </c>
      <c r="N8" s="21">
        <f>N5</f>
        <v>59630.76367856632</v>
      </c>
      <c r="O8" s="21">
        <f>O5</f>
        <v>320.48333333333335</v>
      </c>
      <c r="P8" s="21">
        <f>P5</f>
        <v>362.26666666666665</v>
      </c>
    </row>
    <row r="9" spans="1:16">
      <c r="B9" s="19"/>
      <c r="C9" s="19"/>
      <c r="D9" s="256"/>
      <c r="E9" s="19"/>
      <c r="F9" s="19"/>
      <c r="G9" s="19"/>
      <c r="H9" s="19"/>
      <c r="I9" s="19"/>
      <c r="J9" s="19"/>
      <c r="K9" s="19"/>
      <c r="L9" s="19"/>
      <c r="M9" s="19"/>
      <c r="N9" s="19"/>
      <c r="O9" s="19"/>
      <c r="P9" s="19"/>
    </row>
    <row r="10" spans="1:16">
      <c r="A10" s="24" t="s">
        <v>207</v>
      </c>
      <c r="B10" s="25">
        <f ca="1">'EF ele_warmte'!B12</f>
        <v>0.19532271897296338</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39309.679774801778</v>
      </c>
      <c r="C12" s="23">
        <f ca="1">C10*C8</f>
        <v>0</v>
      </c>
      <c r="D12" s="23">
        <f>D8*D10</f>
        <v>118914.63917609429</v>
      </c>
      <c r="E12" s="23">
        <f>E10*E8</f>
        <v>1321.0252075875453</v>
      </c>
      <c r="F12" s="23">
        <f>F10*F8</f>
        <v>53038.193931895301</v>
      </c>
      <c r="G12" s="23"/>
      <c r="H12" s="23"/>
      <c r="I12" s="23"/>
      <c r="J12" s="23">
        <f>J10*J8</f>
        <v>1583.4349203884694</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52271</v>
      </c>
      <c r="C26" s="36"/>
      <c r="D26" s="226"/>
    </row>
    <row r="27" spans="1:5" s="15" customFormat="1">
      <c r="A27" s="228" t="s">
        <v>695</v>
      </c>
      <c r="B27" s="37">
        <f>SUM(HH_hh_gas_aantal,HH_rest_gas_aantal)</f>
        <v>42311</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40195.449999999997</v>
      </c>
      <c r="C31" s="34" t="s">
        <v>104</v>
      </c>
      <c r="D31" s="172"/>
    </row>
    <row r="32" spans="1:5">
      <c r="A32" s="169" t="s">
        <v>72</v>
      </c>
      <c r="B32" s="33">
        <f>IF((B21*($B$26-($B$27-0.05*$B$27)-$B$60))&lt;0,0,B21*($B$26-($B$27-0.05*$B$27)-$B$60))</f>
        <v>85.475738923046421</v>
      </c>
      <c r="C32" s="34" t="s">
        <v>104</v>
      </c>
      <c r="D32" s="172"/>
    </row>
    <row r="33" spans="1:6">
      <c r="A33" s="169" t="s">
        <v>73</v>
      </c>
      <c r="B33" s="33">
        <f>IF((B22*($B$26-($B$27-0.05*$B$27)-$B$60))&lt;0,0,B22*($B$26-($B$27-0.05*$B$27)-$B$60))</f>
        <v>2449.7230481822762</v>
      </c>
      <c r="C33" s="34" t="s">
        <v>104</v>
      </c>
      <c r="D33" s="172"/>
    </row>
    <row r="34" spans="1:6">
      <c r="A34" s="169" t="s">
        <v>74</v>
      </c>
      <c r="B34" s="33">
        <f>IF((B24*($B$26-($B$27-0.05*$B$27)-$B$60))&lt;0,0,B24*($B$26-($B$27-0.05*$B$27)-$B$60))</f>
        <v>488.50066526243569</v>
      </c>
      <c r="C34" s="33">
        <f>B26*C24</f>
        <v>10688.249399551789</v>
      </c>
      <c r="D34" s="231"/>
    </row>
    <row r="35" spans="1:6">
      <c r="A35" s="169" t="s">
        <v>76</v>
      </c>
      <c r="B35" s="33">
        <f>IF((B19*($B$26-($B$27-0.05*$B$27)-$B$60))&lt;0,0,B19*($B$26-($B$27-0.05*$B$27)-$B$60))</f>
        <v>254.39208012811437</v>
      </c>
      <c r="C35" s="33">
        <f>B35/2</f>
        <v>127.19604006405719</v>
      </c>
      <c r="D35" s="231"/>
    </row>
    <row r="36" spans="1:6">
      <c r="A36" s="169" t="s">
        <v>77</v>
      </c>
      <c r="B36" s="33">
        <f>IF((B18*($B$26-($B$27-0.05*$B$27)-$B$60))&lt;0,0,B18*($B$26-($B$27-0.05*$B$27)-$B$60))</f>
        <v>8778.4584675041297</v>
      </c>
      <c r="C36" s="34" t="s">
        <v>104</v>
      </c>
      <c r="D36" s="172"/>
    </row>
    <row r="37" spans="1:6">
      <c r="A37" s="169" t="s">
        <v>78</v>
      </c>
      <c r="B37" s="33">
        <f>B60</f>
        <v>19</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205</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19</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322055.77504013199</v>
      </c>
      <c r="C5" s="17">
        <f>IF(ISERROR('Eigen informatie GS &amp; warmtenet'!B58),0,'Eigen informatie GS &amp; warmtenet'!B58)</f>
        <v>0</v>
      </c>
      <c r="D5" s="30">
        <f>SUM(D6:D12)</f>
        <v>352124.72103913693</v>
      </c>
      <c r="E5" s="17">
        <f>SUM(E6:E12)</f>
        <v>7160.4514422598513</v>
      </c>
      <c r="F5" s="17">
        <f>SUM(F6:F12)</f>
        <v>63340.456170610654</v>
      </c>
      <c r="G5" s="18"/>
      <c r="H5" s="17"/>
      <c r="I5" s="17"/>
      <c r="J5" s="17">
        <f>SUM(J6:J12)</f>
        <v>0</v>
      </c>
      <c r="K5" s="17"/>
      <c r="L5" s="17"/>
      <c r="M5" s="17"/>
      <c r="N5" s="17">
        <f>SUM(N6:N12)</f>
        <v>8283.7554719354466</v>
      </c>
      <c r="O5" s="17">
        <f>B38*B39*B40</f>
        <v>6.2533333333333339</v>
      </c>
      <c r="P5" s="17">
        <f>B46*B47*B48/1000-B46*B47*B48/1000/B49</f>
        <v>305.06666666666666</v>
      </c>
      <c r="R5" s="32"/>
    </row>
    <row r="6" spans="1:18">
      <c r="A6" s="32" t="s">
        <v>53</v>
      </c>
      <c r="B6" s="37">
        <f>B26</f>
        <v>107136.06302998599</v>
      </c>
      <c r="C6" s="33"/>
      <c r="D6" s="37">
        <f>IF(ISERROR(TER_kantoor_gas_kWh/1000),0,TER_kantoor_gas_kWh/1000)*0.902</f>
        <v>96864.359168880197</v>
      </c>
      <c r="E6" s="33">
        <f>$C$26*'E Balans VL '!I12/100/3.6*1000000</f>
        <v>3750.1836521769669</v>
      </c>
      <c r="F6" s="33">
        <f>$C$26*('E Balans VL '!L12+'E Balans VL '!N12)/100/3.6*1000000</f>
        <v>16244.127344079348</v>
      </c>
      <c r="G6" s="34"/>
      <c r="H6" s="33"/>
      <c r="I6" s="33"/>
      <c r="J6" s="33">
        <f>$C$26*('E Balans VL '!D12+'E Balans VL '!E12)/100/3.6*1000000</f>
        <v>0</v>
      </c>
      <c r="K6" s="33"/>
      <c r="L6" s="33"/>
      <c r="M6" s="33"/>
      <c r="N6" s="33">
        <f>$C$26*'E Balans VL '!Y12/100/3.6*1000000</f>
        <v>828.12823455692376</v>
      </c>
      <c r="O6" s="33"/>
      <c r="P6" s="33"/>
      <c r="R6" s="32"/>
    </row>
    <row r="7" spans="1:18">
      <c r="A7" s="32" t="s">
        <v>52</v>
      </c>
      <c r="B7" s="37">
        <f t="shared" ref="B7:B12" si="0">B27</f>
        <v>43120.763658833501</v>
      </c>
      <c r="C7" s="33"/>
      <c r="D7" s="37">
        <f>IF(ISERROR(TER_horeca_gas_kWh/1000),0,TER_horeca_gas_kWh/1000)*0.902</f>
        <v>54499.433064028904</v>
      </c>
      <c r="E7" s="33">
        <f>$C$27*'E Balans VL '!I9/100/3.6*1000000</f>
        <v>2432.5844368764642</v>
      </c>
      <c r="F7" s="33">
        <f>$C$27*('E Balans VL '!L9+'E Balans VL '!N9)/100/3.6*1000000</f>
        <v>7511.875662738792</v>
      </c>
      <c r="G7" s="34"/>
      <c r="H7" s="33"/>
      <c r="I7" s="33"/>
      <c r="J7" s="33">
        <f>$C$27*('E Balans VL '!D9+'E Balans VL '!E9)/100/3.6*1000000</f>
        <v>0</v>
      </c>
      <c r="K7" s="33"/>
      <c r="L7" s="33"/>
      <c r="M7" s="33"/>
      <c r="N7" s="33">
        <f>$C$27*'E Balans VL '!Y9/100/3.6*1000000</f>
        <v>0</v>
      </c>
      <c r="O7" s="33"/>
      <c r="P7" s="33"/>
      <c r="R7" s="32"/>
    </row>
    <row r="8" spans="1:18">
      <c r="A8" s="6" t="s">
        <v>51</v>
      </c>
      <c r="B8" s="37">
        <f t="shared" si="0"/>
        <v>85375.941796043102</v>
      </c>
      <c r="C8" s="33"/>
      <c r="D8" s="37">
        <f>IF(ISERROR(TER_handel_gas_kWh/1000),0,TER_handel_gas_kWh/1000)*0.902</f>
        <v>50091.015105400344</v>
      </c>
      <c r="E8" s="33">
        <f>$C$28*'E Balans VL '!I13/100/3.6*1000000</f>
        <v>438.3114111110022</v>
      </c>
      <c r="F8" s="33">
        <f>$C$28*('E Balans VL '!L13+'E Balans VL '!N13)/100/3.6*1000000</f>
        <v>13163.651031227953</v>
      </c>
      <c r="G8" s="34"/>
      <c r="H8" s="33"/>
      <c r="I8" s="33"/>
      <c r="J8" s="33">
        <f>$C$28*('E Balans VL '!D13+'E Balans VL '!E13)/100/3.6*1000000</f>
        <v>0</v>
      </c>
      <c r="K8" s="33"/>
      <c r="L8" s="33"/>
      <c r="M8" s="33"/>
      <c r="N8" s="33">
        <f>$C$28*'E Balans VL '!Y13/100/3.6*1000000</f>
        <v>39.931370131656784</v>
      </c>
      <c r="O8" s="33"/>
      <c r="P8" s="33"/>
      <c r="R8" s="32"/>
    </row>
    <row r="9" spans="1:18">
      <c r="A9" s="32" t="s">
        <v>50</v>
      </c>
      <c r="B9" s="37">
        <f t="shared" si="0"/>
        <v>30296.673261419503</v>
      </c>
      <c r="C9" s="33"/>
      <c r="D9" s="37">
        <f>IF(ISERROR(TER_gezond_gas_kWh/1000),0,TER_gezond_gas_kWh/1000)*0.902</f>
        <v>39663.89502686997</v>
      </c>
      <c r="E9" s="33">
        <f>$C$29*'E Balans VL '!I10/100/3.6*1000000</f>
        <v>12.557755301684395</v>
      </c>
      <c r="F9" s="33">
        <f>$C$29*('E Balans VL '!L10+'E Balans VL '!N10)/100/3.6*1000000</f>
        <v>7461.6361120323681</v>
      </c>
      <c r="G9" s="34"/>
      <c r="H9" s="33"/>
      <c r="I9" s="33"/>
      <c r="J9" s="33">
        <f>$C$29*('E Balans VL '!D10+'E Balans VL '!E10)/100/3.6*1000000</f>
        <v>0</v>
      </c>
      <c r="K9" s="33"/>
      <c r="L9" s="33"/>
      <c r="M9" s="33"/>
      <c r="N9" s="33">
        <f>$C$29*'E Balans VL '!Y10/100/3.6*1000000</f>
        <v>261.83824503564108</v>
      </c>
      <c r="O9" s="33"/>
      <c r="P9" s="33"/>
      <c r="R9" s="32"/>
    </row>
    <row r="10" spans="1:18">
      <c r="A10" s="32" t="s">
        <v>49</v>
      </c>
      <c r="B10" s="37">
        <f t="shared" si="0"/>
        <v>28933.736919962001</v>
      </c>
      <c r="C10" s="33"/>
      <c r="D10" s="37">
        <f>IF(ISERROR(TER_ander_gas_kWh/1000),0,TER_ander_gas_kWh/1000)*0.902</f>
        <v>54510.529030525082</v>
      </c>
      <c r="E10" s="33">
        <f>$C$30*'E Balans VL '!I14/100/3.6*1000000</f>
        <v>176.38077413742553</v>
      </c>
      <c r="F10" s="33">
        <f>$C$30*('E Balans VL '!L14+'E Balans VL '!N14)/100/3.6*1000000</f>
        <v>7670.7300047181106</v>
      </c>
      <c r="G10" s="34"/>
      <c r="H10" s="33"/>
      <c r="I10" s="33"/>
      <c r="J10" s="33">
        <f>$C$30*('E Balans VL '!D14+'E Balans VL '!E14)/100/3.6*1000000</f>
        <v>0</v>
      </c>
      <c r="K10" s="33"/>
      <c r="L10" s="33"/>
      <c r="M10" s="33"/>
      <c r="N10" s="33">
        <f>$C$30*'E Balans VL '!Y14/100/3.6*1000000</f>
        <v>6668.6011480146444</v>
      </c>
      <c r="O10" s="33"/>
      <c r="P10" s="33"/>
      <c r="R10" s="32"/>
    </row>
    <row r="11" spans="1:18">
      <c r="A11" s="32" t="s">
        <v>54</v>
      </c>
      <c r="B11" s="37">
        <f t="shared" si="0"/>
        <v>11252.9680134557</v>
      </c>
      <c r="C11" s="33"/>
      <c r="D11" s="37">
        <f>IF(ISERROR(TER_onderwijs_gas_kWh/1000),0,TER_onderwijs_gas_kWh/1000)*0.902</f>
        <v>29181.502017960534</v>
      </c>
      <c r="E11" s="33">
        <f>$C$31*'E Balans VL '!I11/100/3.6*1000000</f>
        <v>8.5753475744878553</v>
      </c>
      <c r="F11" s="33">
        <f>$C$31*('E Balans VL '!L11+'E Balans VL '!N11)/100/3.6*1000000</f>
        <v>8143.2643428427409</v>
      </c>
      <c r="G11" s="34"/>
      <c r="H11" s="33"/>
      <c r="I11" s="33"/>
      <c r="J11" s="33">
        <f>$C$31*('E Balans VL '!D11+'E Balans VL '!E11)/100/3.6*1000000</f>
        <v>0</v>
      </c>
      <c r="K11" s="33"/>
      <c r="L11" s="33"/>
      <c r="M11" s="33"/>
      <c r="N11" s="33">
        <f>$C$31*'E Balans VL '!Y11/100/3.6*1000000</f>
        <v>33.16518614600281</v>
      </c>
      <c r="O11" s="33"/>
      <c r="P11" s="33"/>
      <c r="R11" s="32"/>
    </row>
    <row r="12" spans="1:18">
      <c r="A12" s="32" t="s">
        <v>249</v>
      </c>
      <c r="B12" s="37">
        <f t="shared" si="0"/>
        <v>15939.6283604322</v>
      </c>
      <c r="C12" s="33"/>
      <c r="D12" s="37">
        <f>IF(ISERROR(TER_rest_gas_kWh/1000),0,TER_rest_gas_kWh/1000)*0.902</f>
        <v>27313.987625471873</v>
      </c>
      <c r="E12" s="33">
        <f>$C$32*'E Balans VL '!I8/100/3.6*1000000</f>
        <v>341.85806508181963</v>
      </c>
      <c r="F12" s="33">
        <f>$C$32*('E Balans VL '!L8+'E Balans VL '!N8)/100/3.6*1000000</f>
        <v>3145.171672971338</v>
      </c>
      <c r="G12" s="34"/>
      <c r="H12" s="33"/>
      <c r="I12" s="33"/>
      <c r="J12" s="33">
        <f>$C$32*('E Balans VL '!D8+'E Balans VL '!E8)/100/3.6*1000000</f>
        <v>0</v>
      </c>
      <c r="K12" s="33"/>
      <c r="L12" s="33"/>
      <c r="M12" s="33"/>
      <c r="N12" s="33">
        <f>$C$32*'E Balans VL '!Y8/100/3.6*1000000</f>
        <v>452.09128805057674</v>
      </c>
      <c r="O12" s="33"/>
      <c r="P12" s="33"/>
      <c r="R12" s="32"/>
    </row>
    <row r="13" spans="1:18">
      <c r="A13" s="16" t="s">
        <v>483</v>
      </c>
      <c r="B13" s="244">
        <f ca="1">'lokale energieproductie'!N38+'lokale energieproductie'!N31</f>
        <v>3</v>
      </c>
      <c r="C13" s="244">
        <f ca="1">'lokale energieproductie'!O38+'lokale energieproductie'!O31</f>
        <v>15</v>
      </c>
      <c r="D13" s="304">
        <f ca="1">('lokale energieproductie'!P31+'lokale energieproductie'!P38)*(-1)</f>
        <v>-20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322058.77504013199</v>
      </c>
      <c r="C16" s="21">
        <f ca="1">C5+C13+C14</f>
        <v>15</v>
      </c>
      <c r="D16" s="21">
        <f t="shared" ref="D16:N16" ca="1" si="1">MAX((D5+D13+D14),0)</f>
        <v>352104.72103913693</v>
      </c>
      <c r="E16" s="21">
        <f t="shared" si="1"/>
        <v>7160.4514422598513</v>
      </c>
      <c r="F16" s="21">
        <f t="shared" ca="1" si="1"/>
        <v>63340.456170610654</v>
      </c>
      <c r="G16" s="21">
        <f t="shared" si="1"/>
        <v>0</v>
      </c>
      <c r="H16" s="21">
        <f t="shared" si="1"/>
        <v>0</v>
      </c>
      <c r="I16" s="21">
        <f t="shared" si="1"/>
        <v>0</v>
      </c>
      <c r="J16" s="21">
        <f t="shared" si="1"/>
        <v>0</v>
      </c>
      <c r="K16" s="21">
        <f t="shared" si="1"/>
        <v>0</v>
      </c>
      <c r="L16" s="21">
        <f t="shared" ca="1" si="1"/>
        <v>0</v>
      </c>
      <c r="M16" s="21">
        <f t="shared" si="1"/>
        <v>0</v>
      </c>
      <c r="N16" s="21">
        <f t="shared" ca="1" si="1"/>
        <v>8283.7554719354466</v>
      </c>
      <c r="O16" s="21">
        <f>O5</f>
        <v>6.2533333333333339</v>
      </c>
      <c r="P16" s="21">
        <f>P5</f>
        <v>305.06666666666666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0.19532271897296338</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62905.395609940533</v>
      </c>
      <c r="C20" s="23">
        <f t="shared" ref="C20:P20" ca="1" si="2">C16*C18</f>
        <v>3.3666666666666671</v>
      </c>
      <c r="D20" s="23">
        <f t="shared" ca="1" si="2"/>
        <v>71125.153649905667</v>
      </c>
      <c r="E20" s="23">
        <f t="shared" si="2"/>
        <v>1625.4224773929864</v>
      </c>
      <c r="F20" s="23">
        <f t="shared" ca="1" si="2"/>
        <v>16911.901797553044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107136.06302998599</v>
      </c>
      <c r="C26" s="39">
        <f>IF(ISERROR(B26*3.6/1000000/'E Balans VL '!Z12*100),0,B26*3.6/1000000/'E Balans VL '!Z12*100)</f>
        <v>2.2545007746793044</v>
      </c>
      <c r="D26" s="234" t="s">
        <v>700</v>
      </c>
      <c r="F26" s="6"/>
    </row>
    <row r="27" spans="1:18">
      <c r="A27" s="229" t="s">
        <v>52</v>
      </c>
      <c r="B27" s="33">
        <f>IF(ISERROR(TER_horeca_ele_kWh/1000),0,TER_horeca_ele_kWh/1000)</f>
        <v>43120.763658833501</v>
      </c>
      <c r="C27" s="39">
        <f>IF(ISERROR(B27*3.6/1000000/'E Balans VL '!Z9*100),0,B27*3.6/1000000/'E Balans VL '!Z9*100)</f>
        <v>3.6509138907696448</v>
      </c>
      <c r="D27" s="234" t="s">
        <v>700</v>
      </c>
      <c r="F27" s="6"/>
    </row>
    <row r="28" spans="1:18">
      <c r="A28" s="169" t="s">
        <v>51</v>
      </c>
      <c r="B28" s="33">
        <f>IF(ISERROR(TER_handel_ele_kWh/1000),0,TER_handel_ele_kWh/1000)</f>
        <v>85375.941796043102</v>
      </c>
      <c r="C28" s="39">
        <f>IF(ISERROR(B28*3.6/1000000/'E Balans VL '!Z13*100),0,B28*3.6/1000000/'E Balans VL '!Z13*100)</f>
        <v>2.3636211429196958</v>
      </c>
      <c r="D28" s="234" t="s">
        <v>700</v>
      </c>
      <c r="F28" s="6"/>
    </row>
    <row r="29" spans="1:18">
      <c r="A29" s="229" t="s">
        <v>50</v>
      </c>
      <c r="B29" s="33">
        <f>IF(ISERROR(TER_gezond_ele_kWh/1000),0,TER_gezond_ele_kWh/1000)</f>
        <v>30296.673261419503</v>
      </c>
      <c r="C29" s="39">
        <f>IF(ISERROR(B29*3.6/1000000/'E Balans VL '!Z10*100),0,B29*3.6/1000000/'E Balans VL '!Z10*100)</f>
        <v>3.9382316462015363</v>
      </c>
      <c r="D29" s="234" t="s">
        <v>700</v>
      </c>
      <c r="F29" s="6"/>
    </row>
    <row r="30" spans="1:18">
      <c r="A30" s="229" t="s">
        <v>49</v>
      </c>
      <c r="B30" s="33">
        <f>IF(ISERROR(TER_ander_ele_kWh/1000),0,TER_ander_ele_kWh/1000)</f>
        <v>28933.736919962001</v>
      </c>
      <c r="C30" s="39">
        <f>IF(ISERROR(B30*3.6/1000000/'E Balans VL '!Z14*100),0,B30*3.6/1000000/'E Balans VL '!Z14*100)</f>
        <v>2.2426299539344057</v>
      </c>
      <c r="D30" s="234" t="s">
        <v>700</v>
      </c>
      <c r="F30" s="6"/>
    </row>
    <row r="31" spans="1:18">
      <c r="A31" s="229" t="s">
        <v>54</v>
      </c>
      <c r="B31" s="33">
        <f>IF(ISERROR(TER_onderwijs_ele_kWh/1000),0,TER_onderwijs_ele_kWh/1000)</f>
        <v>11252.9680134557</v>
      </c>
      <c r="C31" s="39">
        <f>IF(ISERROR(B31*3.6/1000000/'E Balans VL '!Z11*100),0,B31*3.6/1000000/'E Balans VL '!Z11*100)</f>
        <v>2.1528845274912571</v>
      </c>
      <c r="D31" s="234" t="s">
        <v>700</v>
      </c>
    </row>
    <row r="32" spans="1:18">
      <c r="A32" s="229" t="s">
        <v>249</v>
      </c>
      <c r="B32" s="33">
        <f>IF(ISERROR(TER_rest_ele_kWh/1000),0,TER_rest_ele_kWh/1000)</f>
        <v>15939.6283604322</v>
      </c>
      <c r="C32" s="39">
        <f>IF(ISERROR(B32*3.6/1000000/'E Balans VL '!Z8*100),0,B32*3.6/1000000/'E Balans VL '!Z8*100)</f>
        <v>0.13143447612045378</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4</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16</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103116.37513233896</v>
      </c>
      <c r="C5" s="17">
        <f>IF(ISERROR('Eigen informatie GS &amp; warmtenet'!B59),0,'Eigen informatie GS &amp; warmtenet'!B59)</f>
        <v>0</v>
      </c>
      <c r="D5" s="30">
        <f>SUM(D6:D15)</f>
        <v>140994.56851832851</v>
      </c>
      <c r="E5" s="17">
        <f>SUM(E6:E15)</f>
        <v>1155.6238958043705</v>
      </c>
      <c r="F5" s="17">
        <f>SUM(F6:F15)</f>
        <v>27874.402353193414</v>
      </c>
      <c r="G5" s="18"/>
      <c r="H5" s="17"/>
      <c r="I5" s="17"/>
      <c r="J5" s="17">
        <f>SUM(J6:J15)</f>
        <v>549.55633465397318</v>
      </c>
      <c r="K5" s="17"/>
      <c r="L5" s="17"/>
      <c r="M5" s="17"/>
      <c r="N5" s="17">
        <f>SUM(N6:N15)</f>
        <v>2459.5835245576664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4001.8477174766704</v>
      </c>
      <c r="C8" s="33"/>
      <c r="D8" s="37">
        <f>IF( ISERROR(IND_metaal_Gas_kWH/1000),0,IND_metaal_Gas_kWH/1000)*0.902</f>
        <v>13402.53358293408</v>
      </c>
      <c r="E8" s="33">
        <f>C30*'E Balans VL '!I18/100/3.6*1000000</f>
        <v>28.120100943061342</v>
      </c>
      <c r="F8" s="33">
        <f>C30*'E Balans VL '!L18/100/3.6*1000000+C30*'E Balans VL '!N18/100/3.6*1000000</f>
        <v>439.37946626527264</v>
      </c>
      <c r="G8" s="34"/>
      <c r="H8" s="33"/>
      <c r="I8" s="33"/>
      <c r="J8" s="40">
        <f>C30*'E Balans VL '!D18/100/3.6*1000000+C30*'E Balans VL '!E18/100/3.6*1000000</f>
        <v>82.566743961188379</v>
      </c>
      <c r="K8" s="33"/>
      <c r="L8" s="33"/>
      <c r="M8" s="33"/>
      <c r="N8" s="33">
        <f>C30*'E Balans VL '!Y18/100/3.6*1000000</f>
        <v>14.999213457866031</v>
      </c>
      <c r="O8" s="33"/>
      <c r="P8" s="33"/>
      <c r="R8" s="32"/>
    </row>
    <row r="9" spans="1:18">
      <c r="A9" s="6" t="s">
        <v>32</v>
      </c>
      <c r="B9" s="37">
        <f t="shared" si="0"/>
        <v>15750.344407529301</v>
      </c>
      <c r="C9" s="33"/>
      <c r="D9" s="37">
        <f>IF( ISERROR(IND_andere_gas_kWh/1000),0,IND_andere_gas_kWh/1000)*0.902</f>
        <v>10698.823365710152</v>
      </c>
      <c r="E9" s="33">
        <f>C31*'E Balans VL '!I19/100/3.6*1000000</f>
        <v>264.54632911240208</v>
      </c>
      <c r="F9" s="33">
        <f>C31*'E Balans VL '!L19/100/3.6*1000000+C31*'E Balans VL '!N19/100/3.6*1000000</f>
        <v>12312.722185171193</v>
      </c>
      <c r="G9" s="34"/>
      <c r="H9" s="33"/>
      <c r="I9" s="33"/>
      <c r="J9" s="40">
        <f>C31*'E Balans VL '!D19/100/3.6*1000000+C31*'E Balans VL '!E19/100/3.6*1000000</f>
        <v>1.420542031206534</v>
      </c>
      <c r="K9" s="33"/>
      <c r="L9" s="33"/>
      <c r="M9" s="33"/>
      <c r="N9" s="33">
        <f>C31*'E Balans VL '!Y19/100/3.6*1000000</f>
        <v>1167.3532126276243</v>
      </c>
      <c r="O9" s="33"/>
      <c r="P9" s="33"/>
      <c r="R9" s="32"/>
    </row>
    <row r="10" spans="1:18">
      <c r="A10" s="6" t="s">
        <v>40</v>
      </c>
      <c r="B10" s="37">
        <f t="shared" si="0"/>
        <v>16036.3286553322</v>
      </c>
      <c r="C10" s="33"/>
      <c r="D10" s="37">
        <f>IF( ISERROR(IND_voed_gas_kWh/1000),0,IND_voed_gas_kWh/1000)*0.902</f>
        <v>8961.1808901996592</v>
      </c>
      <c r="E10" s="33">
        <f>C32*'E Balans VL '!I20/100/3.6*1000000</f>
        <v>146.30879875519867</v>
      </c>
      <c r="F10" s="33">
        <f>C32*'E Balans VL '!L20/100/3.6*1000000+C32*'E Balans VL '!N20/100/3.6*1000000</f>
        <v>2587.1613991115291</v>
      </c>
      <c r="G10" s="34"/>
      <c r="H10" s="33"/>
      <c r="I10" s="33"/>
      <c r="J10" s="40">
        <f>C32*'E Balans VL '!D20/100/3.6*1000000+C32*'E Balans VL '!E20/100/3.6*1000000</f>
        <v>66.048115328651861</v>
      </c>
      <c r="K10" s="33"/>
      <c r="L10" s="33"/>
      <c r="M10" s="33"/>
      <c r="N10" s="33">
        <f>C32*'E Balans VL '!Y20/100/3.6*1000000</f>
        <v>234.59884322746993</v>
      </c>
      <c r="O10" s="33"/>
      <c r="P10" s="33"/>
      <c r="R10" s="32"/>
    </row>
    <row r="11" spans="1:18">
      <c r="A11" s="6" t="s">
        <v>39</v>
      </c>
      <c r="B11" s="37">
        <f t="shared" si="0"/>
        <v>349.02096913600604</v>
      </c>
      <c r="C11" s="33"/>
      <c r="D11" s="37">
        <f>IF( ISERROR(IND_textiel_gas_kWh/1000),0,IND_textiel_gas_kWh/1000)*0.902</f>
        <v>465.90085423783552</v>
      </c>
      <c r="E11" s="33">
        <f>C33*'E Balans VL '!I21/100/3.6*1000000</f>
        <v>0.79605208997745558</v>
      </c>
      <c r="F11" s="33">
        <f>C33*'E Balans VL '!L21/100/3.6*1000000+C33*'E Balans VL '!N21/100/3.6*1000000</f>
        <v>7.4606469307726195</v>
      </c>
      <c r="G11" s="34"/>
      <c r="H11" s="33"/>
      <c r="I11" s="33"/>
      <c r="J11" s="40">
        <f>C33*'E Balans VL '!D21/100/3.6*1000000+C33*'E Balans VL '!E21/100/3.6*1000000</f>
        <v>0</v>
      </c>
      <c r="K11" s="33"/>
      <c r="L11" s="33"/>
      <c r="M11" s="33"/>
      <c r="N11" s="33">
        <f>C33*'E Balans VL '!Y21/100/3.6*1000000</f>
        <v>2.4759076687903954</v>
      </c>
      <c r="O11" s="33"/>
      <c r="P11" s="33"/>
      <c r="R11" s="32"/>
    </row>
    <row r="12" spans="1:18">
      <c r="A12" s="6" t="s">
        <v>36</v>
      </c>
      <c r="B12" s="37">
        <f t="shared" si="0"/>
        <v>2830.1327159750899</v>
      </c>
      <c r="C12" s="33"/>
      <c r="D12" s="37">
        <f>IF( ISERROR(IND_min_gas_kWh/1000),0,IND_min_gas_kWh/1000)*0.902</f>
        <v>52.386665907093878</v>
      </c>
      <c r="E12" s="33">
        <f>C34*'E Balans VL '!I22/100/3.6*1000000</f>
        <v>70.196492254382477</v>
      </c>
      <c r="F12" s="33">
        <f>C34*'E Balans VL '!L22/100/3.6*1000000+C34*'E Balans VL '!N22/100/3.6*1000000</f>
        <v>300.72869958252505</v>
      </c>
      <c r="G12" s="34"/>
      <c r="H12" s="33"/>
      <c r="I12" s="33"/>
      <c r="J12" s="40">
        <f>C34*'E Balans VL '!D22/100/3.6*1000000+C34*'E Balans VL '!E22/100/3.6*1000000</f>
        <v>16.076814441643307</v>
      </c>
      <c r="K12" s="33"/>
      <c r="L12" s="33"/>
      <c r="M12" s="33"/>
      <c r="N12" s="33">
        <f>C34*'E Balans VL '!Y22/100/3.6*1000000</f>
        <v>0</v>
      </c>
      <c r="O12" s="33"/>
      <c r="P12" s="33"/>
      <c r="R12" s="32"/>
    </row>
    <row r="13" spans="1:18">
      <c r="A13" s="6" t="s">
        <v>38</v>
      </c>
      <c r="B13" s="37">
        <f t="shared" si="0"/>
        <v>3919.5469002179202</v>
      </c>
      <c r="C13" s="33"/>
      <c r="D13" s="37">
        <f>IF( ISERROR(IND_papier_gas_kWh/1000),0,IND_papier_gas_kWh/1000)*0.902</f>
        <v>1604.809811867256</v>
      </c>
      <c r="E13" s="33">
        <f>C35*'E Balans VL '!I23/100/3.6*1000000</f>
        <v>120.59422901332567</v>
      </c>
      <c r="F13" s="33">
        <f>C35*'E Balans VL '!L23/100/3.6*1000000+C35*'E Balans VL '!N23/100/3.6*1000000</f>
        <v>832.25678698731758</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3282.1671546521698</v>
      </c>
      <c r="C14" s="33"/>
      <c r="D14" s="37">
        <f>IF( ISERROR(IND_chemie_gas_kWh/1000),0,IND_chemie_gas_kWh/1000)*0.902</f>
        <v>119.05193392231709</v>
      </c>
      <c r="E14" s="33">
        <f>C36*'E Balans VL '!I24/100/3.6*1000000</f>
        <v>11.128807301693898</v>
      </c>
      <c r="F14" s="33">
        <f>C36*'E Balans VL '!L24/100/3.6*1000000+C36*'E Balans VL '!N24/100/3.6*1000000</f>
        <v>10.533269622722596</v>
      </c>
      <c r="G14" s="34"/>
      <c r="H14" s="33"/>
      <c r="I14" s="33"/>
      <c r="J14" s="40">
        <f>C36*'E Balans VL '!D24/100/3.6*1000000+C36*'E Balans VL '!E24/100/3.6*1000000</f>
        <v>0</v>
      </c>
      <c r="K14" s="33"/>
      <c r="L14" s="33"/>
      <c r="M14" s="33"/>
      <c r="N14" s="33">
        <f>C36*'E Balans VL '!Y24/100/3.6*1000000</f>
        <v>15.346524132028325</v>
      </c>
      <c r="O14" s="33"/>
      <c r="P14" s="33"/>
      <c r="R14" s="32"/>
    </row>
    <row r="15" spans="1:18">
      <c r="A15" s="6" t="s">
        <v>259</v>
      </c>
      <c r="B15" s="37">
        <f t="shared" si="0"/>
        <v>56946.986612019602</v>
      </c>
      <c r="C15" s="33"/>
      <c r="D15" s="37">
        <f>IF( ISERROR(IND_rest_gas_kWh/1000),0,IND_rest_gas_kWh/1000)*0.902</f>
        <v>105689.88141355012</v>
      </c>
      <c r="E15" s="33">
        <f>C37*'E Balans VL '!I15/100/3.6*1000000</f>
        <v>513.93308633432889</v>
      </c>
      <c r="F15" s="33">
        <f>C37*'E Balans VL '!L15/100/3.6*1000000+C37*'E Balans VL '!N15/100/3.6*1000000</f>
        <v>11384.159899522081</v>
      </c>
      <c r="G15" s="34"/>
      <c r="H15" s="33"/>
      <c r="I15" s="33"/>
      <c r="J15" s="40">
        <f>C37*'E Balans VL '!D15/100/3.6*1000000+C37*'E Balans VL '!E15/100/3.6*1000000</f>
        <v>383.4441188912831</v>
      </c>
      <c r="K15" s="33"/>
      <c r="L15" s="33"/>
      <c r="M15" s="33"/>
      <c r="N15" s="33">
        <f>C37*'E Balans VL '!Y15/100/3.6*1000000</f>
        <v>1024.8098234438871</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103116.37513233896</v>
      </c>
      <c r="C18" s="21">
        <f>C5+C16</f>
        <v>0</v>
      </c>
      <c r="D18" s="21">
        <f>MAX((D5+D16),0)</f>
        <v>140994.56851832851</v>
      </c>
      <c r="E18" s="21">
        <f>MAX((E5+E16),0)</f>
        <v>1155.6238958043705</v>
      </c>
      <c r="F18" s="21">
        <f>MAX((F5+F16),0)</f>
        <v>27874.402353193414</v>
      </c>
      <c r="G18" s="21"/>
      <c r="H18" s="21"/>
      <c r="I18" s="21"/>
      <c r="J18" s="21">
        <f>MAX((J5+J16),0)</f>
        <v>549.55633465397318</v>
      </c>
      <c r="K18" s="21"/>
      <c r="L18" s="21">
        <f>MAX((L5+L16),0)</f>
        <v>0</v>
      </c>
      <c r="M18" s="21"/>
      <c r="N18" s="21">
        <f>MAX((N5+N16),0)</f>
        <v>2459.5835245576664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0.19532271897296338</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20140.970761484514</v>
      </c>
      <c r="C22" s="23">
        <f ca="1">C18*C20</f>
        <v>0</v>
      </c>
      <c r="D22" s="23">
        <f>D18*D20</f>
        <v>28480.902840702362</v>
      </c>
      <c r="E22" s="23">
        <f>E18*E20</f>
        <v>262.32662434759209</v>
      </c>
      <c r="F22" s="23">
        <f>F18*F20</f>
        <v>7442.4654283026421</v>
      </c>
      <c r="G22" s="23"/>
      <c r="H22" s="23"/>
      <c r="I22" s="23"/>
      <c r="J22" s="23">
        <f>J18*J20</f>
        <v>194.54294246750649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4001.8477174766704</v>
      </c>
      <c r="C30" s="39">
        <f>IF(ISERROR(B30*3.6/1000000/'E Balans VL '!Z18*100),0,B30*3.6/1000000/'E Balans VL '!Z18*100)</f>
        <v>0.26640544628541873</v>
      </c>
      <c r="D30" s="234" t="s">
        <v>700</v>
      </c>
    </row>
    <row r="31" spans="1:18">
      <c r="A31" s="6" t="s">
        <v>32</v>
      </c>
      <c r="B31" s="37">
        <f>IF( ISERROR(IND_ander_ele_kWh/1000),0,IND_ander_ele_kWh/1000)</f>
        <v>15750.344407529301</v>
      </c>
      <c r="C31" s="39">
        <f>IF(ISERROR(B31*3.6/1000000/'E Balans VL '!Z19*100),0,B31*3.6/1000000/'E Balans VL '!Z19*100)</f>
        <v>0.69815034980798951</v>
      </c>
      <c r="D31" s="234" t="s">
        <v>700</v>
      </c>
    </row>
    <row r="32" spans="1:18">
      <c r="A32" s="169" t="s">
        <v>40</v>
      </c>
      <c r="B32" s="37">
        <f>IF( ISERROR(IND_voed_ele_kWh/1000),0,IND_voed_ele_kWh/1000)</f>
        <v>16036.3286553322</v>
      </c>
      <c r="C32" s="39">
        <f>IF(ISERROR(B32*3.6/1000000/'E Balans VL '!Z20*100),0,B32*3.6/1000000/'E Balans VL '!Z20*100)</f>
        <v>0.53565937936114993</v>
      </c>
      <c r="D32" s="234" t="s">
        <v>700</v>
      </c>
    </row>
    <row r="33" spans="1:5">
      <c r="A33" s="169" t="s">
        <v>39</v>
      </c>
      <c r="B33" s="37">
        <f>IF( ISERROR(IND_textiel_ele_kWh/1000),0,IND_textiel_ele_kWh/1000)</f>
        <v>349.02096913600604</v>
      </c>
      <c r="C33" s="39">
        <f>IF(ISERROR(B33*3.6/1000000/'E Balans VL '!Z21*100),0,B33*3.6/1000000/'E Balans VL '!Z21*100)</f>
        <v>4.5949415443063329E-2</v>
      </c>
      <c r="D33" s="234" t="s">
        <v>700</v>
      </c>
    </row>
    <row r="34" spans="1:5">
      <c r="A34" s="169" t="s">
        <v>36</v>
      </c>
      <c r="B34" s="37">
        <f>IF( ISERROR(IND_min_ele_kWh/1000),0,IND_min_ele_kWh/1000)</f>
        <v>2830.1327159750899</v>
      </c>
      <c r="C34" s="39">
        <f>IF(ISERROR(B34*3.6/1000000/'E Balans VL '!Z22*100),0,B34*3.6/1000000/'E Balans VL '!Z22*100)</f>
        <v>0.55042972601637574</v>
      </c>
      <c r="D34" s="234" t="s">
        <v>700</v>
      </c>
    </row>
    <row r="35" spans="1:5">
      <c r="A35" s="169" t="s">
        <v>38</v>
      </c>
      <c r="B35" s="37">
        <f>IF( ISERROR(IND_papier_ele_kWh/1000),0,IND_papier_ele_kWh/1000)</f>
        <v>3919.5469002179202</v>
      </c>
      <c r="C35" s="39">
        <f>IF(ISERROR(B35*3.6/1000000/'E Balans VL '!Z22*100),0,B35*3.6/1000000/'E Balans VL '!Z22*100)</f>
        <v>0.76230881831701125</v>
      </c>
      <c r="D35" s="234" t="s">
        <v>700</v>
      </c>
    </row>
    <row r="36" spans="1:5">
      <c r="A36" s="169" t="s">
        <v>33</v>
      </c>
      <c r="B36" s="37">
        <f>IF( ISERROR(IND_chemie_ele_kWh/1000),0,IND_chemie_ele_kWh/1000)</f>
        <v>3282.1671546521698</v>
      </c>
      <c r="C36" s="39">
        <f>IF(ISERROR(B36*3.6/1000000/'E Balans VL '!Z24*100),0,B36*3.6/1000000/'E Balans VL '!Z24*100)</f>
        <v>7.7074124974976593E-2</v>
      </c>
      <c r="D36" s="234" t="s">
        <v>700</v>
      </c>
    </row>
    <row r="37" spans="1:5">
      <c r="A37" s="169" t="s">
        <v>259</v>
      </c>
      <c r="B37" s="37">
        <f>IF( ISERROR(IND_rest_ele_kWh/1000),0,IND_rest_ele_kWh/1000)</f>
        <v>56946.986612019602</v>
      </c>
      <c r="C37" s="39">
        <f>IF(ISERROR(B37*3.6/1000000/'E Balans VL '!Z15*100),0,B37*3.6/1000000/'E Balans VL '!Z15*100)</f>
        <v>0.4235928058163676</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8612.3261018391513</v>
      </c>
      <c r="C5" s="17">
        <f>'Eigen informatie GS &amp; warmtenet'!B60</f>
        <v>0</v>
      </c>
      <c r="D5" s="30">
        <f>IF(ISERROR(SUM(LB_lb_gas_kWh,LB_rest_gas_kWh)/1000),0,SUM(LB_lb_gas_kWh,LB_rest_gas_kWh)/1000)*0.902</f>
        <v>15051.349160745001</v>
      </c>
      <c r="E5" s="17">
        <f>B17*'E Balans VL '!I25/3.6*1000000/100</f>
        <v>90.190143431027067</v>
      </c>
      <c r="F5" s="17">
        <f>B17*('E Balans VL '!L25/3.6*1000000+'E Balans VL '!N25/3.6*1000000)/100</f>
        <v>36867.299693903464</v>
      </c>
      <c r="G5" s="18"/>
      <c r="H5" s="17"/>
      <c r="I5" s="17"/>
      <c r="J5" s="17">
        <f>('E Balans VL '!D25+'E Balans VL '!E25)/3.6*1000000*landbouw!B17/100</f>
        <v>769.15791448998334</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8612.3261018391513</v>
      </c>
      <c r="C8" s="21">
        <f>C5+C6</f>
        <v>0</v>
      </c>
      <c r="D8" s="21">
        <f>MAX((D5+D6),0)</f>
        <v>15051.349160745001</v>
      </c>
      <c r="E8" s="21">
        <f>MAX((E5+E6),0)</f>
        <v>90.190143431027067</v>
      </c>
      <c r="F8" s="21">
        <f>MAX((F5+F6),0)</f>
        <v>36867.299693903464</v>
      </c>
      <c r="G8" s="21"/>
      <c r="H8" s="21"/>
      <c r="I8" s="21"/>
      <c r="J8" s="21">
        <f>MAX((J5+J6),0)</f>
        <v>769.15791448998334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0.19532271897296338</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1682.1829508930457</v>
      </c>
      <c r="C12" s="23">
        <f ca="1">C8*C10</f>
        <v>0</v>
      </c>
      <c r="D12" s="23">
        <f>D8*D10</f>
        <v>3040.3725304704903</v>
      </c>
      <c r="E12" s="23">
        <f>E8*E10</f>
        <v>20.473162558843146</v>
      </c>
      <c r="F12" s="23">
        <f>F8*F10</f>
        <v>9843.5690182722246</v>
      </c>
      <c r="G12" s="23"/>
      <c r="H12" s="23"/>
      <c r="I12" s="23"/>
      <c r="J12" s="23">
        <f>J8*J10</f>
        <v>272.28190172945409</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1.3256032356892953</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555.13797519842626</v>
      </c>
      <c r="C26" s="244">
        <f>B26*'GWP N2O_CH4'!B5</f>
        <v>11657.897479166952</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186.03209507663388</v>
      </c>
      <c r="C27" s="244">
        <f>B27*'GWP N2O_CH4'!B5</f>
        <v>3906.6739966093114</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9.730635209764829</v>
      </c>
      <c r="C28" s="244">
        <f>B28*'GWP N2O_CH4'!B4</f>
        <v>3016.4969150270972</v>
      </c>
      <c r="D28" s="50"/>
    </row>
    <row r="29" spans="1:4">
      <c r="A29" s="41" t="s">
        <v>266</v>
      </c>
      <c r="B29" s="244">
        <f>B34*'ha_N2O bodem landbouw'!B4</f>
        <v>41.575425192402619</v>
      </c>
      <c r="C29" s="244">
        <f>B29*'GWP N2O_CH4'!B4</f>
        <v>12888.381809644812</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6.8708850520706327E-3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3.1968219538589662E-5</v>
      </c>
      <c r="C5" s="433" t="s">
        <v>204</v>
      </c>
      <c r="D5" s="418">
        <f>SUM(D6:D11)</f>
        <v>1.0861410088402958E-4</v>
      </c>
      <c r="E5" s="418">
        <f>SUM(E6:E11)</f>
        <v>1.137934358575435E-2</v>
      </c>
      <c r="F5" s="431" t="s">
        <v>204</v>
      </c>
      <c r="G5" s="418">
        <f>SUM(G6:G11)</f>
        <v>2.2117941024331045</v>
      </c>
      <c r="H5" s="418">
        <f>SUM(H6:H11)</f>
        <v>0.35832517834158306</v>
      </c>
      <c r="I5" s="433" t="s">
        <v>204</v>
      </c>
      <c r="J5" s="433" t="s">
        <v>204</v>
      </c>
      <c r="K5" s="433" t="s">
        <v>204</v>
      </c>
      <c r="L5" s="433" t="s">
        <v>204</v>
      </c>
      <c r="M5" s="418">
        <f>SUM(M6:M11)</f>
        <v>0.11177420731492338</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2.1508600491929135E-5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6.8100981985925722E-5</v>
      </c>
      <c r="E6" s="421">
        <f>vkm_GW_PW*SUMIFS(TableVerdeelsleutelVkm[LPG],TableVerdeelsleutelVkm[Voertuigtype],"Lichte voertuigen")*SUMIFS(TableECFTransport[EnergieConsumptieFactor (PJ per km)],TableECFTransport[Index],CONCATENATE($A6,"_LPG_LPG"))</f>
        <v>7.0967145038039817E-3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0.94528414106411085</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0.22677162432946094</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5.1159243666753729E-2</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1.1768659941251267E-6</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0.53050431435323697</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1.4363394401692233E-5</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2.2854346466099438E-2</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5.660529982867681E-6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3.045904323453815E-5</v>
      </c>
      <c r="E8" s="421">
        <f>vkm_NGW_PW*SUMIFS(TableVerdeelsleutelVkm[LPG],TableVerdeelsleutelVkm[Voertuigtype],"Lichte voertuigen")*SUMIFS(TableECFTransport[EnergieConsumptieFactor (PJ per km)],TableECFTransport[Index],CONCATENATE($A8,"_LPG_LPG"))</f>
        <v>2.9954529575386768E-3</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0.37777434707760305</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9.5907132795733221E-2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2.0688341028506002E-2</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1.2097669144927247E-7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7.5537503162311614E-2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1.7821662753271068E-6</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3.254174942511145E-3</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3.2214893633750874E-6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1.0054075663565698E-5</v>
      </c>
      <c r="E10" s="421">
        <f>vkm_SW_PW*SUMIFS(TableVerdeelsleutelVkm[LPG],TableVerdeelsleutelVkm[Voertuigtype],"Lichte voertuigen")*SUMIFS(TableECFTransport[EnergieConsumptieFactor (PJ per km)],TableECFTransport[Index],CONCATENATE($A10,"_LPG_LPG"))</f>
        <v>1.2871761244116914E-3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0.16101001945198939</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3.5626761334155613E-2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8.5759033698717558E-3</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2.7975701484335702E-7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0.12168377732385219</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3.5143215562442769E-6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5.2421978411813048E-3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8.8800609829415738</v>
      </c>
      <c r="C14" s="21"/>
      <c r="D14" s="21">
        <f t="shared" ref="D14:M14" si="0">((D5)*10^9/3600)+D12</f>
        <v>30.170583578897105</v>
      </c>
      <c r="E14" s="21">
        <f t="shared" si="0"/>
        <v>3160.9287738206526</v>
      </c>
      <c r="F14" s="21"/>
      <c r="G14" s="21">
        <f t="shared" si="0"/>
        <v>614387.25067586242</v>
      </c>
      <c r="H14" s="21">
        <f t="shared" si="0"/>
        <v>99534.771761550859</v>
      </c>
      <c r="I14" s="21"/>
      <c r="J14" s="21"/>
      <c r="K14" s="21"/>
      <c r="L14" s="21"/>
      <c r="M14" s="21">
        <f t="shared" si="0"/>
        <v>31048.390920812049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0.19532271897296338</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1.7344776558338739</v>
      </c>
      <c r="C18" s="23"/>
      <c r="D18" s="23">
        <f t="shared" ref="D18:M18" si="1">D14*D16</f>
        <v>6.094457882937216</v>
      </c>
      <c r="E18" s="23">
        <f t="shared" si="1"/>
        <v>717.53083165728822</v>
      </c>
      <c r="F18" s="23"/>
      <c r="G18" s="23">
        <f t="shared" si="1"/>
        <v>164041.39593045527</v>
      </c>
      <c r="H18" s="23">
        <f t="shared" si="1"/>
        <v>24784.158168626163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3.3307972596320259E-3</v>
      </c>
      <c r="C50" s="315">
        <f t="shared" ref="C50:P50" si="2">SUM(C51:C52)</f>
        <v>0</v>
      </c>
      <c r="D50" s="315">
        <f t="shared" si="2"/>
        <v>0</v>
      </c>
      <c r="E50" s="315">
        <f t="shared" si="2"/>
        <v>0</v>
      </c>
      <c r="F50" s="315">
        <f t="shared" si="2"/>
        <v>0</v>
      </c>
      <c r="G50" s="315">
        <f t="shared" si="2"/>
        <v>9.1586366110741002E-2</v>
      </c>
      <c r="H50" s="315">
        <f t="shared" si="2"/>
        <v>0</v>
      </c>
      <c r="I50" s="315">
        <f t="shared" si="2"/>
        <v>0</v>
      </c>
      <c r="J50" s="315">
        <f t="shared" si="2"/>
        <v>0</v>
      </c>
      <c r="K50" s="315">
        <f t="shared" si="2"/>
        <v>0</v>
      </c>
      <c r="L50" s="315">
        <f t="shared" si="2"/>
        <v>0</v>
      </c>
      <c r="M50" s="315">
        <f t="shared" si="2"/>
        <v>3.9213763908221531E-3</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4.2217379431130106E-4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9.1586366110741002E-2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3.9213763908221531E-3</v>
      </c>
      <c r="N51" s="317"/>
      <c r="O51" s="317"/>
      <c r="P51" s="320"/>
    </row>
    <row r="52" spans="1:18">
      <c r="A52" s="4" t="s">
        <v>318</v>
      </c>
      <c r="B52" s="321">
        <f>vkm_tram*SUMIFS(TableECFTransport[EnergieConsumptieFactor (PJ per km)],TableECFTransport[Index],"Tram_gemiddeld_Electric_Electric")</f>
        <v>2.9086234653207246E-3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925.22146100889609</v>
      </c>
      <c r="C54" s="21">
        <f t="shared" ref="C54:P54" si="3">(C50)*10^9/3600</f>
        <v>0</v>
      </c>
      <c r="D54" s="21">
        <f t="shared" si="3"/>
        <v>0</v>
      </c>
      <c r="E54" s="21">
        <f t="shared" si="3"/>
        <v>0</v>
      </c>
      <c r="F54" s="21">
        <f t="shared" si="3"/>
        <v>0</v>
      </c>
      <c r="G54" s="21">
        <f t="shared" si="3"/>
        <v>25440.657252983612</v>
      </c>
      <c r="H54" s="21">
        <f t="shared" si="3"/>
        <v>0</v>
      </c>
      <c r="I54" s="21">
        <f t="shared" si="3"/>
        <v>0</v>
      </c>
      <c r="J54" s="21">
        <f t="shared" si="3"/>
        <v>0</v>
      </c>
      <c r="K54" s="21">
        <f t="shared" si="3"/>
        <v>0</v>
      </c>
      <c r="L54" s="21">
        <f t="shared" si="3"/>
        <v>0</v>
      </c>
      <c r="M54" s="21">
        <f t="shared" si="3"/>
        <v>1089.2712196728203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0.19532271897296338</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180.7167714163952</v>
      </c>
      <c r="C58" s="23">
        <f t="shared" ref="C58:P58" ca="1" si="4">C54*C56</f>
        <v>0</v>
      </c>
      <c r="D58" s="23">
        <f t="shared" si="4"/>
        <v>0</v>
      </c>
      <c r="E58" s="23">
        <f t="shared" si="4"/>
        <v>0</v>
      </c>
      <c r="F58" s="23">
        <f t="shared" si="4"/>
        <v>0</v>
      </c>
      <c r="G58" s="23">
        <f t="shared" si="4"/>
        <v>6792.6554865466251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61119.14038789492</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15604.304605608166</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3</v>
      </c>
      <c r="C8" s="544">
        <f>B48</f>
        <v>3.333333333333333</v>
      </c>
      <c r="D8" s="963"/>
      <c r="E8" s="963">
        <f>E48</f>
        <v>0</v>
      </c>
      <c r="F8" s="964"/>
      <c r="G8" s="545"/>
      <c r="H8" s="963">
        <f>I48</f>
        <v>0</v>
      </c>
      <c r="I8" s="963">
        <f>G48+F48</f>
        <v>0</v>
      </c>
      <c r="J8" s="963">
        <f>H48+D48+C48</f>
        <v>0</v>
      </c>
      <c r="K8" s="963"/>
      <c r="L8" s="963"/>
      <c r="M8" s="963"/>
      <c r="N8" s="546"/>
      <c r="O8" s="547">
        <f>C8*$C$12+D8*$D$12+E8*$E$12+F8*$F$12+G8*$G$12+H8*$H$12+I8*$I$12+J8*$J$12</f>
        <v>0.67333333333333334</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76726.444993503086</v>
      </c>
      <c r="C10" s="556">
        <f t="shared" ref="C10:L10" si="0">SUM(C8:C9)</f>
        <v>3.333333333333333</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0.67333333333333334</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15</v>
      </c>
      <c r="C17" s="568">
        <f>B49</f>
        <v>16.666666666666668</v>
      </c>
      <c r="D17" s="569"/>
      <c r="E17" s="569">
        <f>E49</f>
        <v>0</v>
      </c>
      <c r="F17" s="570"/>
      <c r="G17" s="571"/>
      <c r="H17" s="568">
        <f>I49</f>
        <v>0</v>
      </c>
      <c r="I17" s="569">
        <f>G49+F49</f>
        <v>0</v>
      </c>
      <c r="J17" s="569">
        <f>H49+D49+C49</f>
        <v>0</v>
      </c>
      <c r="K17" s="569"/>
      <c r="L17" s="569"/>
      <c r="M17" s="569"/>
      <c r="N17" s="959"/>
      <c r="O17" s="572">
        <f>C17*$C$22+E17*$E$22+H17*$H$22+I17*$I$22+J17*$J$22+D17*$D$22+F17*$F$22+G17*$G$22+K17*$K$22+L17*$L$22</f>
        <v>3.3666666666666671</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15</v>
      </c>
      <c r="C20" s="555">
        <f>SUM(C17:C19)</f>
        <v>16.666666666666668</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3.3666666666666671</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63.75" hidden="1">
      <c r="A28" s="580"/>
      <c r="B28" s="775">
        <v>31005</v>
      </c>
      <c r="C28" s="775">
        <v>8200</v>
      </c>
      <c r="D28" s="628"/>
      <c r="E28" s="627"/>
      <c r="F28" s="627"/>
      <c r="G28" s="627" t="s">
        <v>977</v>
      </c>
      <c r="H28" s="627" t="s">
        <v>977</v>
      </c>
      <c r="I28" s="627"/>
      <c r="J28" s="774"/>
      <c r="K28" s="774"/>
      <c r="L28" s="627" t="s">
        <v>978</v>
      </c>
      <c r="M28" s="627">
        <v>1</v>
      </c>
      <c r="N28" s="627">
        <v>3</v>
      </c>
      <c r="O28" s="627">
        <v>15</v>
      </c>
      <c r="P28" s="627">
        <v>20</v>
      </c>
      <c r="Q28" s="627">
        <v>0</v>
      </c>
      <c r="R28" s="627">
        <v>0</v>
      </c>
      <c r="S28" s="627">
        <v>0</v>
      </c>
      <c r="T28" s="627">
        <v>0</v>
      </c>
      <c r="U28" s="627">
        <v>0</v>
      </c>
      <c r="V28" s="627">
        <v>0</v>
      </c>
      <c r="W28" s="627">
        <v>0</v>
      </c>
      <c r="X28" s="627">
        <v>1600</v>
      </c>
      <c r="Y28" s="627" t="s">
        <v>49</v>
      </c>
      <c r="Z28" s="629" t="s">
        <v>149</v>
      </c>
    </row>
    <row r="29" spans="1:26" s="563" customFormat="1" hidden="1">
      <c r="A29" s="583" t="s">
        <v>269</v>
      </c>
      <c r="B29" s="584"/>
      <c r="C29" s="584"/>
      <c r="D29" s="584"/>
      <c r="E29" s="584"/>
      <c r="F29" s="584"/>
      <c r="G29" s="584"/>
      <c r="H29" s="584"/>
      <c r="I29" s="584"/>
      <c r="J29" s="584"/>
      <c r="K29" s="584"/>
      <c r="L29" s="585"/>
      <c r="M29" s="585">
        <f>SUM(M28:M28)</f>
        <v>1</v>
      </c>
      <c r="N29" s="585">
        <f>SUM(N28:N28)</f>
        <v>3</v>
      </c>
      <c r="O29" s="585">
        <f>SUM(O28:O28)</f>
        <v>15</v>
      </c>
      <c r="P29" s="585">
        <f>SUM(P28:P28)</f>
        <v>20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1</v>
      </c>
      <c r="N31" s="585">
        <f ca="1">SUMIF($Z$28:AD28,"tertiair",N28:N28)</f>
        <v>3</v>
      </c>
      <c r="O31" s="585">
        <f ca="1">SUMIF($Z$28:AE28,"tertiair",O28:O28)</f>
        <v>15</v>
      </c>
      <c r="P31" s="585">
        <f ca="1">SUMIF($Z$28:AF28,"tertiair",P28:P28)</f>
        <v>20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0.83333333333333337</v>
      </c>
      <c r="C45" s="610">
        <f>IF(ISERROR(N29/(O29+N29)),0,N29/(N29+O29))</f>
        <v>0.16666666666666666</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3.333333333333333</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16.666666666666668</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2021-11-11T13:44:53Z</dcterms:modified>
</cp:coreProperties>
</file>