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3B62A20-58C2-47DA-9BAA-01F2CCF152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P9" i="55"/>
  <c r="I76" i="14"/>
  <c r="I8" i="55" s="1"/>
  <c r="I10" i="55" s="1"/>
  <c r="I20" i="18"/>
  <c r="I87" i="14"/>
  <c r="I17" i="55" s="1"/>
  <c r="I20" i="55" s="1"/>
  <c r="O8" i="18"/>
  <c r="O10" i="18" s="1"/>
  <c r="J10" i="18"/>
  <c r="Q87" i="14"/>
  <c r="D90" i="14"/>
  <c r="J87" i="14" l="1"/>
  <c r="J90" i="14" s="1"/>
  <c r="O17" i="18"/>
  <c r="O20" i="18" s="1"/>
  <c r="F17" i="55"/>
  <c r="F20" i="55" s="1"/>
  <c r="F90" i="14"/>
  <c r="M8" i="55"/>
  <c r="M10" i="55" s="1"/>
  <c r="M78" i="14"/>
  <c r="F8" i="55"/>
  <c r="F10" i="55" s="1"/>
  <c r="Q76" i="14"/>
  <c r="F78" i="14"/>
  <c r="J78" i="14"/>
  <c r="J8" i="55"/>
  <c r="J10" i="55" s="1"/>
  <c r="Q90" i="14"/>
  <c r="B17" i="6" s="1"/>
  <c r="P17" i="55"/>
  <c r="P20" i="55" s="1"/>
  <c r="I78" i="14"/>
  <c r="C76" i="14"/>
  <c r="B76" i="14"/>
  <c r="I90" i="14"/>
  <c r="C87" i="14"/>
  <c r="H14" i="15"/>
  <c r="H16" i="15" s="1"/>
  <c r="G14" i="15"/>
  <c r="G16" i="15" s="1"/>
  <c r="B87" i="14" l="1"/>
  <c r="J17" i="55"/>
  <c r="J20" i="55" s="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8" i="22" l="1"/>
  <c r="D6"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<sst xmlns="http://schemas.openxmlformats.org/spreadsheetml/2006/main" count="2574" uniqueCount="980">
  <si>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</si>
  <si>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</si>
  <si>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</si>
  <si>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</si>
  <si>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</si>
  <si>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</si>
  <si>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</si>
  <si>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</si>
  <si>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</si>
  <si>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</si>
  <si>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</si>
  <si>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</si>
  <si>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</si>
  <si>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</si>
  <si>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</si>
  <si>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</si>
  <si>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</si>
  <si>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</si>
  <si>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</si>
  <si>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</si>
  <si>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</si>
  <si>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</si>
  <si>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</si>
  <si>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</si>
  <si>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</si>
  <si>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</si>
  <si>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</si>
  <si>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</si>
  <si>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</si>
  <si>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</si>
  <si>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</si>
  <si>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</si>
  <si>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</si>
  <si>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</si>
  <si>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</si>
  <si>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</si>
  <si>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</si>
  <si>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</si>
  <si>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</si>
  <si>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</si>
  <si>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</si>
  <si>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</si>
  <si>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</si>
  <si>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</si>
  <si>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</si>
  <si>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</si>
  <si>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</si>
  <si>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</si>
  <si>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</si>
  <si>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</si>
  <si>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</si>
  <si>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</si>
  <si>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</si>
  <si>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</si>
  <si>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</si>
  <si>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</si>
  <si>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</si>
  <si>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</si>
  <si>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</si>
  <si>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</si>
  <si>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</si>
  <si>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</si>
  <si>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</si>
  <si>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</si>
  <si>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</si>
  <si>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</si>
  <si>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</si>
  <si>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</si>
  <si>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</si>
  <si>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</si>
  <si>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</si>
  <si>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</si>
  <si>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</si>
  <si>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</si>
  <si>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</si>
  <si>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</si>
  <si>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</si>
  <si>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</si>
  <si>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</si>
  <si>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</si>
  <si>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</si>
  <si>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</si>
  <si>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</si>
  <si>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</si>
  <si>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</si>
  <si>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</si>
  <si>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</si>
  <si>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</si>
  <si>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</si>
  <si>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</si>
  <si>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</si>
  <si>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</si>
  <si>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</si>
  <si>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</si>
  <si>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</si>
  <si>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</si>
  <si>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</si>
  <si>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</si>
  <si>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</si>
  <si>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</si>
  <si>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</si>
  <si>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</si>
  <si>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</si>
  <si>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</si>
  <si>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</si>
  <si>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</si>
  <si>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</si>
  <si>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</si>
  <si>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</si>
  <si>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</si>
  <si>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</si>
  <si>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</si>
  <si>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</si>
  <si>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</si>
  <si>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</si>
  <si>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</si>
  <si>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</si>
  <si>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</si>
  <si>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</si>
  <si>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</si>
  <si>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</si>
  <si>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</si>
  <si>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</si>
  <si>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</si>
  <si>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</si>
  <si>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</si>
  <si>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</si>
  <si>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</si>
  <si>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</si>
  <si>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</si>
  <si>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</si>
  <si>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</si>
  <si>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</si>
  <si>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</si>
  <si>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</si>
  <si>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</si>
  <si>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</si>
  <si>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</si>
  <si>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</si>
  <si>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</si>
  <si>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</si>
  <si>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</si>
  <si>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</si>
  <si>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</si>
  <si>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</si>
  <si>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</si>
  <si>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</si>
  <si>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</si>
  <si>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</si>
  <si>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</si>
  <si>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</si>
  <si>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</si>
  <si>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</si>
  <si>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</si>
  <si>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</si>
  <si>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</si>
  <si>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</si>
  <si>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</si>
  <si>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</si>
  <si>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</si>
  <si>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</si>
  <si>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</si>
  <si>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</si>
  <si>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</si>
  <si>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</si>
  <si>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</si>
  <si>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</si>
  <si>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</si>
  <si>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</si>
  <si>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</si>
  <si>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</si>
  <si>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</si>
  <si>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</si>
  <si>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</si>
  <si>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</si>
  <si>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</si>
  <si>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</si>
  <si>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</si>
  <si>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</si>
  <si>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</si>
  <si>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</si>
  <si>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</si>
  <si>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</si>
  <si>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</si>
  <si>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</si>
  <si>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</si>
  <si>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</si>
  <si>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</si>
  <si>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</si>
  <si>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</si>
  <si>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</si>
  <si>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</si>
  <si>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</si>
  <si>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</si>
  <si>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</si>
  <si>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</si>
  <si>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</si>
  <si>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</si>
  <si>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</si>
  <si>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</si>
  <si>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</si>
  <si>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</si>
  <si>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</si>
  <si>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</si>
  <si>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</si>
  <si>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</si>
  <si>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</si>
  <si>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</si>
  <si>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</si>
  <si>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</si>
  <si>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</si>
  <si>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</si>
  <si>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</si>
  <si>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</si>
  <si>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</si>
  <si>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</si>
  <si>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</si>
  <si>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</si>
  <si>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</si>
  <si>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</si>
  <si>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</si>
  <si>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</si>
  <si>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</si>
  <si>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</si>
  <si>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</si>
  <si>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</si>
  <si>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</si>
  <si>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</si>
  <si>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</si>
  <si>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</si>
  <si>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</si>
  <si>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</si>
  <si>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</si>
  <si>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</si>
  <si>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</si>
  <si>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</si>
  <si>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</si>
  <si>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</si>
  <si>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</si>
  <si>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</si>
  <si>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</si>
  <si>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</si>
  <si>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</si>
  <si>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</si>
  <si>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</si>
  <si>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</si>
  <si>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</si>
  <si>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</si>
  <si>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</si>
  <si>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</si>
  <si>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</si>
  <si>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</si>
  <si>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</si>
  <si>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</si>
  <si>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</si>
  <si>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</si>
  <si>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</si>
  <si>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</si>
  <si>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</si>
  <si>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</si>
  <si>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</si>
  <si>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</si>
  <si>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</si>
  <si>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</si>
  <si>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</si>
  <si>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</si>
  <si>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</si>
  <si>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</si>
  <si>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</si>
  <si>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</si>
  <si>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</si>
  <si>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</si>
  <si>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</si>
  <si>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</si>
  <si>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</si>
  <si>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</si>
  <si>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</si>
  <si>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</si>
  <si>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</si>
  <si>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</si>
  <si>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</si>
  <si>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</si>
  <si>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</si>
  <si>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</si>
  <si>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</si>
  <si>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</si>
  <si>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</si>
  <si>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</si>
  <si>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</si>
  <si>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</si>
  <si>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</si>
  <si>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</si>
  <si>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</si>
  <si>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</si>
  <si>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</si>
  <si>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</si>
  <si>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</si>
  <si>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</si>
  <si>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</si>
  <si>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</si>
  <si>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</si>
  <si>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</si>
  <si>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</si>
  <si>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</si>
  <si>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</si>
  <si>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</si>
  <si>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</si>
  <si>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</si>
  <si>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</si>
  <si>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</si>
  <si>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</si>
  <si>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</si>
  <si>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</si>
  <si>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</si>
  <si>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</si>
  <si>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</si>
  <si>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</si>
  <si>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</si>
  <si>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</si>
  <si>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</si>
  <si>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</si>
  <si>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</si>
  <si>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</si>
  <si>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</si>
  <si>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</si>
  <si>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</si>
  <si>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</si>
  <si>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</si>
  <si>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</si>
  <si>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</si>
  <si>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</si>
  <si>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</si>
  <si>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</si>
  <si>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</si>
  <si>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</si>
  <si>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</si>
  <si>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</si>
  <si>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</si>
  <si>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</si>
  <si>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</si>
  <si>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</si>
  <si>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</si>
  <si>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</si>
  <si>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</si>
  <si>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</si>
  <si>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</si>
  <si>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</si>
  <si>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</si>
  <si>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</si>
  <si>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</si>
  <si>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</si>
  <si>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</si>
  <si>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</si>
  <si>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</si>
  <si>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</si>
  <si>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</si>
  <si>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</si>
  <si>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</si>
  <si>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</si>
  <si>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</si>
  <si>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</si>
  <si>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</si>
  <si>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</si>
  <si>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</si>
  <si>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</si>
  <si>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</si>
  <si>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</si>
  <si>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</si>
  <si>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</si>
  <si>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</si>
  <si>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</si>
  <si>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</si>
  <si>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</si>
  <si>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</si>
  <si>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</si>
  <si>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</si>
  <si>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</si>
  <si>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</si>
  <si>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</si>
  <si>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</si>
  <si>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</si>
  <si>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</si>
  <si>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</si>
  <si>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</si>
  <si>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</si>
  <si>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</si>
  <si>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</si>
  <si>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</si>
  <si>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</si>
  <si>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</si>
  <si>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</si>
  <si>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</si>
  <si>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</si>
  <si>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</si>
  <si>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</si>
  <si>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</si>
  <si>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</si>
  <si>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</si>
  <si>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</si>
  <si>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</si>
  <si>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</si>
  <si>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</si>
  <si>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</si>
  <si>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</si>
  <si>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</si>
  <si>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</si>
  <si>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</si>
  <si>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</si>
  <si>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</si>
  <si>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</si>
  <si>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</si>
  <si>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</si>
  <si>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</si>
  <si>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</si>
  <si>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</si>
  <si>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</si>
  <si>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</si>
  <si>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</si>
  <si>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</si>
  <si>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</si>
  <si>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</si>
  <si>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</si>
  <si>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</si>
  <si>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</si>
  <si>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</si>
  <si>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</si>
  <si>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</si>
  <si>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</si>
  <si>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</si>
  <si>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</si>
  <si>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</si>
  <si>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</si>
  <si>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</si>
  <si>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</si>
  <si>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</si>
  <si>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</si>
  <si>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</si>
  <si>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</si>
  <si>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</si>
  <si>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</si>
  <si>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</si>
  <si>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</si>
  <si>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</si>
  <si>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</si>
  <si>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</si>
  <si>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</si>
  <si>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</si>
  <si>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</si>
  <si>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</si>
  <si>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</si>
  <si>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</si>
  <si>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</si>
  <si>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</si>
  <si>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</si>
  <si>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</si>
  <si>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</si>
  <si>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</si>
  <si>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</si>
  <si>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</si>
  <si>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</si>
  <si>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</si>
  <si>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</si>
  <si>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</si>
  <si>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</si>
  <si>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</si>
  <si>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</si>
  <si>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</si>
  <si>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</si>
  <si>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</si>
  <si>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</si>
  <si>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</si>
  <si>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</si>
  <si>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</si>
  <si>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</si>
  <si>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</si>
  <si>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</si>
  <si>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</si>
  <si>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</si>
  <si>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</si>
  <si>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</si>
  <si>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</si>
  <si>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</si>
  <si>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</si>
  <si>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</si>
  <si>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</si>
  <si>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</si>
  <si>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</si>
  <si>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</si>
  <si>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</si>
  <si>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</si>
  <si>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</si>
  <si>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</si>
  <si>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</si>
  <si>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</si>
  <si>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</si>
  <si>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</si>
  <si>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</si>
  <si>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</si>
  <si>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</si>
  <si>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</si>
  <si>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</si>
  <si>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</si>
  <si>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</si>
  <si>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</si>
  <si>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</si>
  <si>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</si>
  <si>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</si>
  <si>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</si>
  <si>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</si>
  <si>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</si>
  <si>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</si>
  <si>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</si>
  <si>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</si>
  <si>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</si>
  <si>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</si>
  <si>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</si>
  <si>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</si>
  <si>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</si>
  <si>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</si>
  <si>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</si>
  <si>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</si>
  <si>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</si>
  <si>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</si>
  <si>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</si>
  <si>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</si>
  <si>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</si>
  <si>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</si>
  <si>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</si>
  <si>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</si>
  <si>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</si>
  <si>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</si>
  <si>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</si>
  <si>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</si>
  <si>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</si>
  <si>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</si>
  <si>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</si>
  <si>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</si>
  <si>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</si>
  <si>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</si>
  <si>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</si>
  <si>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</si>
  <si>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</si>
  <si>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</si>
  <si>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</si>
  <si>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</si>
  <si>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</si>
  <si>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</si>
  <si>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</si>
  <si>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</si>
  <si>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</si>
  <si>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</si>
  <si>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</si>
  <si>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</si>
  <si>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</si>
  <si>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</si>
  <si>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</si>
  <si>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</si>
  <si>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</si>
  <si>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</si>
  <si>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</si>
  <si>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</si>
  <si>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</si>
  <si>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</si>
  <si>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</si>
  <si>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</si>
  <si>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</si>
  <si>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</si>
  <si>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</si>
  <si>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</si>
  <si>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</si>
  <si>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</si>
  <si>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</si>
  <si>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</si>
  <si>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</si>
  <si>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</si>
  <si>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</si>
  <si>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</si>
  <si>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</si>
  <si>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</si>
  <si>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</si>
  <si>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</si>
  <si>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</si>
  <si>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</si>
  <si>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</si>
  <si>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</si>
  <si>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</si>
  <si>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</si>
  <si>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</si>
  <si>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</si>
  <si>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</si>
  <si>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</si>
  <si>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</si>
  <si>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</si>
  <si>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</si>
  <si>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</si>
  <si>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</si>
  <si>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</si>
  <si>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</si>
  <si>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</si>
  <si>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</si>
  <si>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</si>
  <si>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</si>
  <si>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</si>
  <si>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</si>
  <si>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</si>
  <si>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</si>
  <si>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</si>
  <si>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</si>
  <si>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</si>
  <si>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</si>
  <si>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</si>
  <si>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</si>
  <si>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</si>
  <si>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</si>
  <si>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</si>
  <si>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</si>
  <si>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</si>
  <si>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</si>
  <si>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</si>
  <si>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</si>
  <si>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</si>
  <si>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</si>
  <si>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</si>
  <si>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</si>
  <si>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</si>
  <si>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</si>
  <si>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</si>
  <si>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</si>
  <si>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</si>
  <si>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</si>
  <si>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</si>
  <si>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</si>
  <si>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</si>
  <si>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</si>
  <si>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</si>
  <si>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</si>
  <si>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</si>
  <si>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</si>
  <si>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</si>
  <si>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</si>
  <si>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</si>
  <si>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</si>
  <si>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</si>
  <si>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</si>
  <si>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</si>
  <si>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</si>
  <si>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</si>
  <si>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</si>
  <si>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</si>
  <si>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</si>
  <si>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</si>
  <si>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</si>
  <si>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</si>
  <si>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</si>
  <si>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</si>
  <si>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</si>
  <si>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</si>
  <si>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</si>
  <si>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</si>
  <si>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</si>
  <si>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</si>
  <si>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</si>
  <si>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</si>
  <si>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</si>
  <si>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</si>
  <si>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</si>
  <si>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</si>
  <si>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</si>
  <si>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</si>
  <si>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</si>
  <si>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</si>
  <si>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</si>
  <si>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</si>
  <si>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</si>
  <si>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</si>
  <si>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</si>
  <si>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</si>
  <si>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</si>
  <si>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</si>
  <si>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</si>
  <si>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</si>
  <si>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</si>
  <si>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</si>
  <si>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</si>
  <si>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</si>
  <si>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</si>
  <si>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</si>
  <si>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</si>
  <si>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</si>
  <si>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</si>
  <si>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</si>
  <si>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</si>
  <si>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</si>
  <si>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</si>
  <si>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</si>
  <si>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</si>
  <si>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</si>
  <si>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</si>
  <si>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</si>
  <si>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</si>
  <si>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</si>
  <si>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</si>
  <si>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</si>
  <si>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</si>
  <si>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</si>
  <si>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</si>
  <si>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</si>
  <si>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</si>
  <si>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</si>
  <si>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</si>
  <si>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</si>
  <si>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</si>
  <si>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</si>
  <si>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</si>
  <si>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</si>
  <si>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</si>
  <si>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</si>
  <si>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</si>
  <si>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</si>
  <si>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</si>
  <si>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</si>
  <si>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</si>
  <si>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</si>
  <si>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</si>
  <si>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</si>
  <si>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</si>
  <si>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</si>
  <si>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</si>
  <si>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</si>
  <si>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</si>
  <si>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</si>
  <si>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</si>
  <si>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</si>
  <si>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</si>
  <si>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</si>
  <si>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</si>
  <si>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</si>
  <si>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</si>
  <si>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</si>
  <si>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</si>
  <si>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</si>
  <si>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</si>
  <si>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</si>
  <si>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</si>
  <si>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</si>
  <si>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</si>
  <si>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</si>
  <si>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</si>
  <si>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</si>
  <si>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</si>
  <si>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</si>
  <si>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</si>
  <si>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</si>
  <si>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</si>
  <si>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</si>
  <si>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</si>
  <si>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</si>
  <si>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</si>
  <si>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</si>
  <si>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</si>
  <si>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</si>
  <si>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</si>
  <si>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</si>
  <si>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</si>
  <si>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</si>
  <si>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</si>
  <si>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</si>
  <si>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</si>
  <si>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</si>
  <si>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</si>
  <si>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</si>
  <si>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</si>
  <si>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</si>
  <si>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</si>
  <si>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</si>
  <si>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</si>
  <si>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</si>
  <si>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</si>
  <si>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</si>
  <si>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</si>
  <si>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</si>
  <si>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</si>
  <si>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</si>
  <si>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</si>
  <si>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</si>
  <si>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</si>
  <si>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</si>
  <si>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</si>
  <si>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</si>
  <si>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</si>
  <si>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</si>
  <si>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</si>
  <si>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</si>
  <si>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</si>
  <si>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</si>
  <si>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</si>
  <si>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</si>
  <si>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</si>
  <si>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</si>
  <si>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</si>
  <si>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</si>
  <si>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</si>
  <si>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</si>
  <si>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</si>
  <si>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</si>
  <si>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</si>
  <si>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</si>
  <si>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</si>
  <si>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</si>
  <si>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</si>
  <si>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</si>
  <si>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</si>
  <si>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</si>
  <si>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</si>
  <si>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</si>
  <si>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</si>
  <si>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</si>
  <si>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</si>
  <si>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</si>
  <si>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</si>
  <si>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</si>
  <si>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</si>
  <si>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</si>
  <si>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</si>
  <si>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</si>
  <si>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</si>
  <si>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</si>
  <si>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</si>
  <si>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</si>
  <si>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</si>
  <si>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</si>
  <si>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</si>
  <si>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</si>
  <si>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</si>
  <si>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</si>
  <si>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</si>
  <si>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</si>
  <si>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</si>
  <si>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</si>
  <si>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</si>
  <si>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</si>
  <si>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</si>
  <si>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</si>
  <si>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</si>
  <si>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</si>
  <si>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</si>
  <si>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</si>
  <si>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</si>
  <si>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</si>
  <si>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</si>
  <si>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</si>
  <si>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</si>
  <si>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</si>
  <si>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</si>
  <si>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</si>
  <si>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</si>
  <si>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</si>
  <si>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</si>
  <si>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</si>
  <si>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</si>
  <si>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</si>
  <si>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</si>
  <si>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</si>
  <si>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</si>
  <si>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</si>
  <si>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</si>
  <si>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</si>
  <si>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</si>
  <si>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</si>
  <si>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</si>
  <si>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</si>
  <si>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</si>
  <si>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</si>
  <si>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</si>
  <si>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</si>
  <si>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</si>
  <si>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</si>
  <si>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</si>
  <si>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</si>
  <si>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</si>
  <si>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</si>
  <si>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</si>
  <si>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</si>
  <si>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</si>
  <si>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</si>
  <si>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</si>
  <si>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</si>
  <si>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</si>
  <si>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</si>
  <si>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</si>
  <si>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</si>
  <si>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</si>
  <si>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</si>
  <si>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</si>
  <si>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</si>
  <si>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</si>
  <si>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</si>
  <si>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</si>
  <si>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</si>
  <si>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</si>
  <si>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</si>
  <si>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</si>
  <si>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</si>
  <si>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</si>
  <si>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</si>
  <si>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</si>
  <si>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</si>
  <si>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</si>
  <si>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</si>
  <si>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</si>
  <si>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</si>
  <si>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</si>
  <si>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</si>
  <si>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</si>
  <si>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</si>
  <si>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</si>
  <si>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</si>
  <si>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</si>
  <si>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</si>
  <si>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</si>
  <si>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</si>
  <si>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</si>
  <si>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</si>
  <si>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</si>
  <si>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</si>
  <si>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</si>
  <si>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</si>
  <si>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</si>
  <si>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</si>
  <si>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</si>
  <si>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</si>
  <si>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</si>
  <si>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</si>
  <si>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</si>
  <si>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</si>
  <si>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</si>
  <si>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</si>
  <si>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</si>
  <si>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</si>
  <si>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</si>
  <si>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</si>
  <si>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</si>
  <si>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</si>
  <si>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</si>
  <si>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</si>
  <si>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</si>
  <si>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</si>
  <si>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</si>
  <si>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</si>
  <si>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</si>
  <si>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</si>
  <si>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</si>
  <si>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</si>
  <si>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</si>
  <si>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</si>
  <si>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</si>
  <si>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</si>
  <si>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</si>
  <si>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</si>
  <si>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</si>
  <si>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</si>
  <si>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</si>
  <si>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</si>
  <si>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</si>
  <si>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</si>
  <si>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</si>
  <si>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</si>
  <si>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</si>
  <si>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</si>
  <si>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</si>
  <si>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24109</t>
  </si>
  <si>
    <t>TREMELO</t>
  </si>
  <si>
    <t>Paarden&amp;pony's 200 - 600 kg</t>
  </si>
  <si>
    <t>Paarden&amp;pony's &lt; 200 kg</t>
  </si>
  <si>
    <t>Fluvius</t>
  </si>
  <si>
    <t xml:space="preserve">Bron: </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</si>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</sst>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8A46B8C-60B8-4DDC-97B3-BF8E38BD135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24109</v>
      </c>
      <c r="B6" s="384"/>
      <c r="C6" s="385"/>
    </row>
    <row r="7" spans="1:7" s="382" customFormat="1" ht="15.75" customHeight="1">
      <c r="A7" s="386" t="str">
        <f>txtMunicipality</f>
        <v>TREMELO</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11130.674755811704</v>
      </c>
      <c r="D10" s="674">
        <f ca="1">tertiair!C16</f>
        <v>160.71428571428572</v>
      </c>
      <c r="E10" s="674">
        <f ca="1">tertiair!D16</f>
        <v>8633.1960161417319</v>
      </c>
      <c r="F10" s="674">
        <f>tertiair!E16</f>
        <v>165.47368756766707</v>
      </c>
      <c r="G10" s="674">
        <f ca="1">tertiair!F16</f>
        <v>1915.9802248348576</v>
      </c>
      <c r="H10" s="674">
        <f>tertiair!G16</f>
        <v>0</v>
      </c>
      <c r="I10" s="674">
        <f>tertiair!H16</f>
        <v>0</v>
      </c>
      <c r="J10" s="674">
        <f>tertiair!I16</f>
        <v>0</v>
      </c>
      <c r="K10" s="674">
        <f>tertiair!J16</f>
        <v>0</v>
      </c>
      <c r="L10" s="674">
        <f>tertiair!K16</f>
        <v>0</v>
      </c>
      <c r="M10" s="674">
        <f ca="1">tertiair!L16</f>
        <v>0</v>
      </c>
      <c r="N10" s="674">
        <f>tertiair!M16</f>
        <v>0</v>
      </c>
      <c r="O10" s="674">
        <f ca="1">tertiair!N16</f>
        <v>322.78776075049734</v>
      </c>
      <c r="P10" s="674">
        <f>tertiair!O16</f>
        <v>0</v>
      </c>
      <c r="Q10" s="675">
        <f>tertiair!P16</f>
        <v>0</v>
      </c>
      <c r="R10" s="677">
        <f ca="1">SUM(C10:Q10)</f>
        <v>22328.826730820743</v>
      </c>
      <c r="S10" s="67"/>
    </row>
    <row r="11" spans="1:19" s="443" customFormat="1">
      <c r="A11" s="789" t="s">
        <v>214</v>
      </c>
      <c r="B11" s="794"/>
      <c r="C11" s="674">
        <f>huishoudens!B8</f>
        <v>29039.454875383766</v>
      </c>
      <c r="D11" s="674">
        <f>huishoudens!C8</f>
        <v>0</v>
      </c>
      <c r="E11" s="674">
        <f>huishoudens!D8</f>
        <v>22922.321072360941</v>
      </c>
      <c r="F11" s="674">
        <f>huishoudens!E8</f>
        <v>2070.3248424854037</v>
      </c>
      <c r="G11" s="674">
        <f>huishoudens!F8</f>
        <v>70669.287279788026</v>
      </c>
      <c r="H11" s="674">
        <f>huishoudens!G8</f>
        <v>0</v>
      </c>
      <c r="I11" s="674">
        <f>huishoudens!H8</f>
        <v>0</v>
      </c>
      <c r="J11" s="674">
        <f>huishoudens!I8</f>
        <v>0</v>
      </c>
      <c r="K11" s="674">
        <f>huishoudens!J8</f>
        <v>1591.2931826025551</v>
      </c>
      <c r="L11" s="674">
        <f>huishoudens!K8</f>
        <v>0</v>
      </c>
      <c r="M11" s="674">
        <f>huishoudens!L8</f>
        <v>0</v>
      </c>
      <c r="N11" s="674">
        <f>huishoudens!M8</f>
        <v>0</v>
      </c>
      <c r="O11" s="674">
        <f>huishoudens!N8</f>
        <v>7642.0927681480534</v>
      </c>
      <c r="P11" s="674">
        <f>huishoudens!O8</f>
        <v>46.9</v>
      </c>
      <c r="Q11" s="675">
        <f>huishoudens!P8</f>
        <v>152.53333333333333</v>
      </c>
      <c r="R11" s="677">
        <f>SUM(C11:Q11)</f>
        <v>134134.20735410208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1720.4210713900929</v>
      </c>
      <c r="D13" s="674">
        <f>industrie!C18</f>
        <v>0</v>
      </c>
      <c r="E13" s="674">
        <f>industrie!D18</f>
        <v>519.61392248632615</v>
      </c>
      <c r="F13" s="674">
        <f>industrie!E18</f>
        <v>20.802956848473023</v>
      </c>
      <c r="G13" s="674">
        <f>industrie!F18</f>
        <v>744.50216570119221</v>
      </c>
      <c r="H13" s="674">
        <f>industrie!G18</f>
        <v>0</v>
      </c>
      <c r="I13" s="674">
        <f>industrie!H18</f>
        <v>0</v>
      </c>
      <c r="J13" s="674">
        <f>industrie!I18</f>
        <v>0</v>
      </c>
      <c r="K13" s="674">
        <f>industrie!J18</f>
        <v>9.5009166406805914</v>
      </c>
      <c r="L13" s="674">
        <f>industrie!K18</f>
        <v>0</v>
      </c>
      <c r="M13" s="674">
        <f>industrie!L18</f>
        <v>0</v>
      </c>
      <c r="N13" s="674">
        <f>industrie!M18</f>
        <v>0</v>
      </c>
      <c r="O13" s="674">
        <f>industrie!N18</f>
        <v>68.341430685297553</v>
      </c>
      <c r="P13" s="674">
        <f>industrie!O18</f>
        <v>0</v>
      </c>
      <c r="Q13" s="675">
        <f>industrie!P18</f>
        <v>0</v>
      </c>
      <c r="R13" s="677">
        <f>SUM(C13:Q13)</f>
        <v>3083.1824637520626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41890.550702585562</v>
      </c>
      <c r="D16" s="707">
        <f t="shared" ref="D16:R16" ca="1" si="0">SUM(D9:D15)</f>
        <v>160.71428571428572</v>
      </c>
      <c r="E16" s="707">
        <f t="shared" ca="1" si="0"/>
        <v>32075.131010989</v>
      </c>
      <c r="F16" s="707">
        <f t="shared" si="0"/>
        <v>2256.6014869015439</v>
      </c>
      <c r="G16" s="707">
        <f t="shared" ca="1" si="0"/>
        <v>73329.76967032408</v>
      </c>
      <c r="H16" s="707">
        <f t="shared" si="0"/>
        <v>0</v>
      </c>
      <c r="I16" s="707">
        <f t="shared" si="0"/>
        <v>0</v>
      </c>
      <c r="J16" s="707">
        <f t="shared" si="0"/>
        <v>0</v>
      </c>
      <c r="K16" s="707">
        <f t="shared" si="0"/>
        <v>1600.7940992432357</v>
      </c>
      <c r="L16" s="707">
        <f t="shared" si="0"/>
        <v>0</v>
      </c>
      <c r="M16" s="707">
        <f t="shared" ca="1" si="0"/>
        <v>0</v>
      </c>
      <c r="N16" s="707">
        <f t="shared" si="0"/>
        <v>0</v>
      </c>
      <c r="O16" s="707">
        <f t="shared" ca="1" si="0"/>
        <v>8033.2219595838478</v>
      </c>
      <c r="P16" s="707">
        <f t="shared" si="0"/>
        <v>46.9</v>
      </c>
      <c r="Q16" s="707">
        <f t="shared" si="0"/>
        <v>152.53333333333333</v>
      </c>
      <c r="R16" s="707">
        <f t="shared" ca="1" si="0"/>
        <v>159546.21654867489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4.1643642811418866</v>
      </c>
      <c r="D19" s="674">
        <f>transport!C54</f>
        <v>0</v>
      </c>
      <c r="E19" s="674">
        <f>transport!D54</f>
        <v>0</v>
      </c>
      <c r="F19" s="674">
        <f>transport!E54</f>
        <v>0</v>
      </c>
      <c r="G19" s="674">
        <f>transport!F54</f>
        <v>0</v>
      </c>
      <c r="H19" s="674">
        <f>transport!G54</f>
        <v>903.41702116621411</v>
      </c>
      <c r="I19" s="674">
        <f>transport!H54</f>
        <v>0</v>
      </c>
      <c r="J19" s="674">
        <f>transport!I54</f>
        <v>0</v>
      </c>
      <c r="K19" s="674">
        <f>transport!J54</f>
        <v>0</v>
      </c>
      <c r="L19" s="674">
        <f>transport!K54</f>
        <v>0</v>
      </c>
      <c r="M19" s="674">
        <f>transport!L54</f>
        <v>0</v>
      </c>
      <c r="N19" s="674">
        <f>transport!M54</f>
        <v>38.680846596583102</v>
      </c>
      <c r="O19" s="674">
        <f>transport!N54</f>
        <v>0</v>
      </c>
      <c r="P19" s="674">
        <f>transport!O54</f>
        <v>0</v>
      </c>
      <c r="Q19" s="675">
        <f>transport!P54</f>
        <v>0</v>
      </c>
      <c r="R19" s="677">
        <f>SUM(C19:Q19)</f>
        <v>946.26223204393909</v>
      </c>
      <c r="S19" s="67"/>
    </row>
    <row r="20" spans="1:19" s="443" customFormat="1">
      <c r="A20" s="789" t="s">
        <v>296</v>
      </c>
      <c r="B20" s="794"/>
      <c r="C20" s="674">
        <f>transport!B14</f>
        <v>0.43180181928374295</v>
      </c>
      <c r="D20" s="674">
        <f>transport!C14</f>
        <v>0</v>
      </c>
      <c r="E20" s="674">
        <f>transport!D14</f>
        <v>2.1825642479871044</v>
      </c>
      <c r="F20" s="674">
        <f>transport!E14</f>
        <v>215.46741422487503</v>
      </c>
      <c r="G20" s="674">
        <f>transport!F14</f>
        <v>0</v>
      </c>
      <c r="H20" s="674">
        <f>transport!G14</f>
        <v>31958.226026144985</v>
      </c>
      <c r="I20" s="674">
        <f>transport!H14</f>
        <v>6897.9297074232663</v>
      </c>
      <c r="J20" s="674">
        <f>transport!I14</f>
        <v>0</v>
      </c>
      <c r="K20" s="674">
        <f>transport!J14</f>
        <v>0</v>
      </c>
      <c r="L20" s="674">
        <f>transport!K14</f>
        <v>0</v>
      </c>
      <c r="M20" s="674">
        <f>transport!L14</f>
        <v>0</v>
      </c>
      <c r="N20" s="674">
        <f>transport!M14</f>
        <v>1694.2117789031904</v>
      </c>
      <c r="O20" s="674">
        <f>transport!N14</f>
        <v>0</v>
      </c>
      <c r="P20" s="674">
        <f>transport!O14</f>
        <v>0</v>
      </c>
      <c r="Q20" s="675">
        <f>transport!P14</f>
        <v>0</v>
      </c>
      <c r="R20" s="677">
        <f>SUM(C20:Q20)</f>
        <v>40768.449292763587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4.5961661004256298</v>
      </c>
      <c r="D22" s="792">
        <f t="shared" ref="D22:R22" si="1">SUM(D18:D21)</f>
        <v>0</v>
      </c>
      <c r="E22" s="792">
        <f t="shared" si="1"/>
        <v>2.1825642479871044</v>
      </c>
      <c r="F22" s="792">
        <f t="shared" si="1"/>
        <v>215.46741422487503</v>
      </c>
      <c r="G22" s="792">
        <f t="shared" si="1"/>
        <v>0</v>
      </c>
      <c r="H22" s="792">
        <f t="shared" si="1"/>
        <v>32861.643047311198</v>
      </c>
      <c r="I22" s="792">
        <f t="shared" si="1"/>
        <v>6897.9297074232663</v>
      </c>
      <c r="J22" s="792">
        <f t="shared" si="1"/>
        <v>0</v>
      </c>
      <c r="K22" s="792">
        <f t="shared" si="1"/>
        <v>0</v>
      </c>
      <c r="L22" s="792">
        <f t="shared" si="1"/>
        <v>0</v>
      </c>
      <c r="M22" s="792">
        <f t="shared" si="1"/>
        <v>0</v>
      </c>
      <c r="N22" s="792">
        <f t="shared" si="1"/>
        <v>1732.8926254997734</v>
      </c>
      <c r="O22" s="792">
        <f t="shared" si="1"/>
        <v>0</v>
      </c>
      <c r="P22" s="792">
        <f t="shared" si="1"/>
        <v>0</v>
      </c>
      <c r="Q22" s="792">
        <f t="shared" si="1"/>
        <v>0</v>
      </c>
      <c r="R22" s="792">
        <f t="shared" si="1"/>
        <v>41714.711524807528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1568.22330239861</v>
      </c>
      <c r="D24" s="674">
        <f>+landbouw!C8</f>
        <v>0</v>
      </c>
      <c r="E24" s="674">
        <f>+landbouw!D8</f>
        <v>12.989876615366663</v>
      </c>
      <c r="F24" s="674">
        <f>+landbouw!E8</f>
        <v>16.422773929218213</v>
      </c>
      <c r="G24" s="674">
        <f>+landbouw!F8</f>
        <v>6713.1873309054072</v>
      </c>
      <c r="H24" s="674">
        <f>+landbouw!G8</f>
        <v>0</v>
      </c>
      <c r="I24" s="674">
        <f>+landbouw!H8</f>
        <v>0</v>
      </c>
      <c r="J24" s="674">
        <f>+landbouw!I8</f>
        <v>0</v>
      </c>
      <c r="K24" s="674">
        <f>+landbouw!J8</f>
        <v>140.05639712944966</v>
      </c>
      <c r="L24" s="674">
        <f>+landbouw!K8</f>
        <v>0</v>
      </c>
      <c r="M24" s="674">
        <f>+landbouw!L8</f>
        <v>0</v>
      </c>
      <c r="N24" s="674">
        <f>+landbouw!M8</f>
        <v>0</v>
      </c>
      <c r="O24" s="674">
        <f>+landbouw!N8</f>
        <v>0</v>
      </c>
      <c r="P24" s="674">
        <f>+landbouw!O8</f>
        <v>0</v>
      </c>
      <c r="Q24" s="675">
        <f>+landbouw!P8</f>
        <v>0</v>
      </c>
      <c r="R24" s="677">
        <f>SUM(C24:Q24)</f>
        <v>8450.8796809780524</v>
      </c>
      <c r="S24" s="67"/>
    </row>
    <row r="25" spans="1:19" s="443" customFormat="1" ht="15" thickBot="1">
      <c r="A25" s="811" t="s">
        <v>889</v>
      </c>
      <c r="B25" s="966"/>
      <c r="C25" s="967">
        <f>IF(Onbekend_ele_kWh="---",0,Onbekend_ele_kWh)/1000+IF(REST_rest_ele_kWh="---",0,REST_rest_ele_kWh)/1000</f>
        <v>1402.8307296876978</v>
      </c>
      <c r="D25" s="967"/>
      <c r="E25" s="967">
        <f>IF(onbekend_gas_kWh="---",0,onbekend_gas_kWh)/1000+IF(REST_rest_gas_kWh="---",0,REST_rest_gas_kWh)/1000</f>
        <v>1457.7220924646401</v>
      </c>
      <c r="F25" s="967"/>
      <c r="G25" s="967"/>
      <c r="H25" s="967"/>
      <c r="I25" s="967"/>
      <c r="J25" s="967"/>
      <c r="K25" s="967"/>
      <c r="L25" s="967"/>
      <c r="M25" s="967"/>
      <c r="N25" s="967"/>
      <c r="O25" s="967"/>
      <c r="P25" s="967"/>
      <c r="Q25" s="968"/>
      <c r="R25" s="677">
        <f>SUM(C25:Q25)</f>
        <v>2860.5528221523382</v>
      </c>
      <c r="S25" s="67"/>
    </row>
    <row r="26" spans="1:19" s="443" customFormat="1" ht="15.75" thickBot="1">
      <c r="A26" s="680" t="s">
        <v>890</v>
      </c>
      <c r="B26" s="797"/>
      <c r="C26" s="792">
        <f>SUM(C24:C25)</f>
        <v>2971.0540320863079</v>
      </c>
      <c r="D26" s="792">
        <f t="shared" ref="D26:R26" si="2">SUM(D24:D25)</f>
        <v>0</v>
      </c>
      <c r="E26" s="792">
        <f t="shared" si="2"/>
        <v>1470.7119690800068</v>
      </c>
      <c r="F26" s="792">
        <f t="shared" si="2"/>
        <v>16.422773929218213</v>
      </c>
      <c r="G26" s="792">
        <f t="shared" si="2"/>
        <v>6713.1873309054072</v>
      </c>
      <c r="H26" s="792">
        <f t="shared" si="2"/>
        <v>0</v>
      </c>
      <c r="I26" s="792">
        <f t="shared" si="2"/>
        <v>0</v>
      </c>
      <c r="J26" s="792">
        <f t="shared" si="2"/>
        <v>0</v>
      </c>
      <c r="K26" s="792">
        <f t="shared" si="2"/>
        <v>140.05639712944966</v>
      </c>
      <c r="L26" s="792">
        <f t="shared" si="2"/>
        <v>0</v>
      </c>
      <c r="M26" s="792">
        <f t="shared" si="2"/>
        <v>0</v>
      </c>
      <c r="N26" s="792">
        <f t="shared" si="2"/>
        <v>0</v>
      </c>
      <c r="O26" s="792">
        <f t="shared" si="2"/>
        <v>0</v>
      </c>
      <c r="P26" s="792">
        <f t="shared" si="2"/>
        <v>0</v>
      </c>
      <c r="Q26" s="792">
        <f t="shared" si="2"/>
        <v>0</v>
      </c>
      <c r="R26" s="792">
        <f t="shared" si="2"/>
        <v>11311.432503130391</v>
      </c>
      <c r="S26" s="67"/>
    </row>
    <row r="27" spans="1:19" s="443" customFormat="1" ht="17.25" thickTop="1" thickBot="1">
      <c r="A27" s="681" t="s">
        <v>109</v>
      </c>
      <c r="B27" s="784"/>
      <c r="C27" s="682">
        <f ca="1">C22+C16+C26</f>
        <v>44866.200900772295</v>
      </c>
      <c r="D27" s="682">
        <f t="shared" ref="D27:R27" ca="1" si="3">D22+D16+D26</f>
        <v>160.71428571428572</v>
      </c>
      <c r="E27" s="682">
        <f t="shared" ca="1" si="3"/>
        <v>33548.025544316995</v>
      </c>
      <c r="F27" s="682">
        <f t="shared" si="3"/>
        <v>2488.4916750556372</v>
      </c>
      <c r="G27" s="682">
        <f t="shared" ca="1" si="3"/>
        <v>80042.957001229486</v>
      </c>
      <c r="H27" s="682">
        <f t="shared" si="3"/>
        <v>32861.643047311198</v>
      </c>
      <c r="I27" s="682">
        <f t="shared" si="3"/>
        <v>6897.9297074232663</v>
      </c>
      <c r="J27" s="682">
        <f t="shared" si="3"/>
        <v>0</v>
      </c>
      <c r="K27" s="682">
        <f t="shared" si="3"/>
        <v>1740.8504963726853</v>
      </c>
      <c r="L27" s="682">
        <f t="shared" si="3"/>
        <v>0</v>
      </c>
      <c r="M27" s="682">
        <f t="shared" ca="1" si="3"/>
        <v>0</v>
      </c>
      <c r="N27" s="682">
        <f t="shared" si="3"/>
        <v>1732.8926254997734</v>
      </c>
      <c r="O27" s="682">
        <f t="shared" ca="1" si="3"/>
        <v>8033.2219595838478</v>
      </c>
      <c r="P27" s="682">
        <f t="shared" si="3"/>
        <v>46.9</v>
      </c>
      <c r="Q27" s="682">
        <f t="shared" si="3"/>
        <v>152.53333333333333</v>
      </c>
      <c r="R27" s="682">
        <f t="shared" ca="1" si="3"/>
        <v>212572.36057661282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2351.0273708697996</v>
      </c>
      <c r="D40" s="674">
        <f ca="1">tertiair!C20</f>
        <v>38.19327731092438</v>
      </c>
      <c r="E40" s="674">
        <f ca="1">tertiair!D20</f>
        <v>1743.90559526063</v>
      </c>
      <c r="F40" s="674">
        <f>tertiair!E20</f>
        <v>37.562527077860423</v>
      </c>
      <c r="G40" s="674">
        <f ca="1">tertiair!F20</f>
        <v>511.56672003090699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4682.2554905501211</v>
      </c>
    </row>
    <row r="41" spans="1:18">
      <c r="A41" s="802" t="s">
        <v>214</v>
      </c>
      <c r="B41" s="809"/>
      <c r="C41" s="674">
        <f ca="1">huishoudens!B12</f>
        <v>6133.7299620149497</v>
      </c>
      <c r="D41" s="674">
        <f ca="1">huishoudens!C12</f>
        <v>0</v>
      </c>
      <c r="E41" s="674">
        <f>huishoudens!D12</f>
        <v>4630.3088566169099</v>
      </c>
      <c r="F41" s="674">
        <f>huishoudens!E12</f>
        <v>469.96373924418663</v>
      </c>
      <c r="G41" s="674">
        <f>huishoudens!F12</f>
        <v>18868.699703703405</v>
      </c>
      <c r="H41" s="674">
        <f>huishoudens!G12</f>
        <v>0</v>
      </c>
      <c r="I41" s="674">
        <f>huishoudens!H12</f>
        <v>0</v>
      </c>
      <c r="J41" s="674">
        <f>huishoudens!I12</f>
        <v>0</v>
      </c>
      <c r="K41" s="674">
        <f>huishoudens!J12</f>
        <v>563.31778664130445</v>
      </c>
      <c r="L41" s="674">
        <f>huishoudens!K12</f>
        <v>0</v>
      </c>
      <c r="M41" s="674">
        <f>huishoudens!L12</f>
        <v>0</v>
      </c>
      <c r="N41" s="674">
        <f>huishoudens!M12</f>
        <v>0</v>
      </c>
      <c r="O41" s="674">
        <f>huishoudens!N12</f>
        <v>0</v>
      </c>
      <c r="P41" s="674">
        <f>huishoudens!O12</f>
        <v>0</v>
      </c>
      <c r="Q41" s="749">
        <f>huishoudens!P12</f>
        <v>0</v>
      </c>
      <c r="R41" s="830">
        <f t="shared" ca="1" si="4"/>
        <v>30666.020048220758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363.38830457222269</v>
      </c>
      <c r="D43" s="674">
        <f ca="1">industrie!C22</f>
        <v>0</v>
      </c>
      <c r="E43" s="674">
        <f>industrie!D22</f>
        <v>104.96201234223788</v>
      </c>
      <c r="F43" s="674">
        <f>industrie!E22</f>
        <v>4.7222712046033761</v>
      </c>
      <c r="G43" s="674">
        <f>industrie!F22</f>
        <v>198.78207824221832</v>
      </c>
      <c r="H43" s="674">
        <f>industrie!G22</f>
        <v>0</v>
      </c>
      <c r="I43" s="674">
        <f>industrie!H22</f>
        <v>0</v>
      </c>
      <c r="J43" s="674">
        <f>industrie!I22</f>
        <v>0</v>
      </c>
      <c r="K43" s="674">
        <f>industrie!J22</f>
        <v>3.3633244908009292</v>
      </c>
      <c r="L43" s="674">
        <f>industrie!K22</f>
        <v>0</v>
      </c>
      <c r="M43" s="674">
        <f>industrie!L22</f>
        <v>0</v>
      </c>
      <c r="N43" s="674">
        <f>industrie!M22</f>
        <v>0</v>
      </c>
      <c r="O43" s="674">
        <f>industrie!N22</f>
        <v>0</v>
      </c>
      <c r="P43" s="674">
        <f>industrie!O22</f>
        <v>0</v>
      </c>
      <c r="Q43" s="749">
        <f>industrie!P22</f>
        <v>0</v>
      </c>
      <c r="R43" s="829">
        <f t="shared" ca="1" si="4"/>
        <v>675.21799085208318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8848.1456374569734</v>
      </c>
      <c r="D46" s="707">
        <f t="shared" ref="D46:Q46" ca="1" si="5">SUM(D39:D45)</f>
        <v>38.19327731092438</v>
      </c>
      <c r="E46" s="707">
        <f t="shared" ca="1" si="5"/>
        <v>6479.1764642197786</v>
      </c>
      <c r="F46" s="707">
        <f t="shared" si="5"/>
        <v>512.24853752665047</v>
      </c>
      <c r="G46" s="707">
        <f t="shared" ca="1" si="5"/>
        <v>19579.048501976529</v>
      </c>
      <c r="H46" s="707">
        <f t="shared" si="5"/>
        <v>0</v>
      </c>
      <c r="I46" s="707">
        <f t="shared" si="5"/>
        <v>0</v>
      </c>
      <c r="J46" s="707">
        <f t="shared" si="5"/>
        <v>0</v>
      </c>
      <c r="K46" s="707">
        <f t="shared" si="5"/>
        <v>566.68111113210534</v>
      </c>
      <c r="L46" s="707">
        <f t="shared" si="5"/>
        <v>0</v>
      </c>
      <c r="M46" s="707">
        <f t="shared" ca="1" si="5"/>
        <v>0</v>
      </c>
      <c r="N46" s="707">
        <f t="shared" si="5"/>
        <v>0</v>
      </c>
      <c r="O46" s="707">
        <f t="shared" ca="1" si="5"/>
        <v>0</v>
      </c>
      <c r="P46" s="707">
        <f t="shared" si="5"/>
        <v>0</v>
      </c>
      <c r="Q46" s="707">
        <f t="shared" si="5"/>
        <v>0</v>
      </c>
      <c r="R46" s="707">
        <f ca="1">SUM(R39:R45)</f>
        <v>36023.493529622967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0.87959936140665163</v>
      </c>
      <c r="D49" s="674">
        <f ca="1">transport!C58</f>
        <v>0</v>
      </c>
      <c r="E49" s="674">
        <f>transport!D58</f>
        <v>0</v>
      </c>
      <c r="F49" s="674">
        <f>transport!E58</f>
        <v>0</v>
      </c>
      <c r="G49" s="674">
        <f>transport!F58</f>
        <v>0</v>
      </c>
      <c r="H49" s="674">
        <f>transport!G58</f>
        <v>241.21234465137917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242.09194401278583</v>
      </c>
    </row>
    <row r="50" spans="1:18">
      <c r="A50" s="805" t="s">
        <v>296</v>
      </c>
      <c r="B50" s="815"/>
      <c r="C50" s="973">
        <f ca="1">transport!B18</f>
        <v>9.1205422689886406E-2</v>
      </c>
      <c r="D50" s="973">
        <f>transport!C18</f>
        <v>0</v>
      </c>
      <c r="E50" s="973">
        <f>transport!D18</f>
        <v>0.44087797809339513</v>
      </c>
      <c r="F50" s="973">
        <f>transport!E18</f>
        <v>48.911103029046636</v>
      </c>
      <c r="G50" s="973">
        <f>transport!F18</f>
        <v>0</v>
      </c>
      <c r="H50" s="973">
        <f>transport!G18</f>
        <v>8532.8463489807109</v>
      </c>
      <c r="I50" s="973">
        <f>transport!H18</f>
        <v>1717.5844971483932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10299.874032558933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0.97080478409653803</v>
      </c>
      <c r="D52" s="707">
        <f t="shared" ref="D52:Q52" ca="1" si="6">SUM(D48:D51)</f>
        <v>0</v>
      </c>
      <c r="E52" s="707">
        <f t="shared" si="6"/>
        <v>0.44087797809339513</v>
      </c>
      <c r="F52" s="707">
        <f t="shared" si="6"/>
        <v>48.911103029046636</v>
      </c>
      <c r="G52" s="707">
        <f t="shared" si="6"/>
        <v>0</v>
      </c>
      <c r="H52" s="707">
        <f t="shared" si="6"/>
        <v>8774.0586936320906</v>
      </c>
      <c r="I52" s="707">
        <f t="shared" si="6"/>
        <v>1717.5844971483932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10541.965976571719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331.24100635946479</v>
      </c>
      <c r="D54" s="973">
        <f ca="1">+landbouw!C12</f>
        <v>0</v>
      </c>
      <c r="E54" s="973">
        <f>+landbouw!D12</f>
        <v>2.6239550763040662</v>
      </c>
      <c r="F54" s="973">
        <f>+landbouw!E12</f>
        <v>3.7279696819325343</v>
      </c>
      <c r="G54" s="973">
        <f>+landbouw!F12</f>
        <v>1792.4210173517438</v>
      </c>
      <c r="H54" s="973">
        <f>+landbouw!G12</f>
        <v>0</v>
      </c>
      <c r="I54" s="973">
        <f>+landbouw!H12</f>
        <v>0</v>
      </c>
      <c r="J54" s="973">
        <f>+landbouw!I12</f>
        <v>0</v>
      </c>
      <c r="K54" s="973">
        <f>+landbouw!J12</f>
        <v>49.579964583825181</v>
      </c>
      <c r="L54" s="973">
        <f>+landbouw!K12</f>
        <v>0</v>
      </c>
      <c r="M54" s="973">
        <f>+landbouw!L12</f>
        <v>0</v>
      </c>
      <c r="N54" s="973">
        <f>+landbouw!M12</f>
        <v>0</v>
      </c>
      <c r="O54" s="973">
        <f>+landbouw!N12</f>
        <v>0</v>
      </c>
      <c r="P54" s="973">
        <f>+landbouw!O12</f>
        <v>0</v>
      </c>
      <c r="Q54" s="974">
        <f>+landbouw!P12</f>
        <v>0</v>
      </c>
      <c r="R54" s="706">
        <f ca="1">SUM(C54:Q54)</f>
        <v>2179.5939130532702</v>
      </c>
    </row>
    <row r="55" spans="1:18" ht="15" thickBot="1">
      <c r="A55" s="805" t="s">
        <v>889</v>
      </c>
      <c r="B55" s="815"/>
      <c r="C55" s="973">
        <f ca="1">C25*'EF ele_warmte'!B12</f>
        <v>296.30669429730523</v>
      </c>
      <c r="D55" s="973"/>
      <c r="E55" s="973">
        <f>E25*EF_CO2_aardgas</f>
        <v>294.4598626778573</v>
      </c>
      <c r="F55" s="973"/>
      <c r="G55" s="973"/>
      <c r="H55" s="973"/>
      <c r="I55" s="973"/>
      <c r="J55" s="973"/>
      <c r="K55" s="973"/>
      <c r="L55" s="973"/>
      <c r="M55" s="973"/>
      <c r="N55" s="973"/>
      <c r="O55" s="973"/>
      <c r="P55" s="973"/>
      <c r="Q55" s="974"/>
      <c r="R55" s="706">
        <f ca="1">SUM(C55:Q55)</f>
        <v>590.76655697516253</v>
      </c>
    </row>
    <row r="56" spans="1:18" ht="15.75" thickBot="1">
      <c r="A56" s="803" t="s">
        <v>890</v>
      </c>
      <c r="B56" s="816"/>
      <c r="C56" s="707">
        <f ca="1">SUM(C54:C55)</f>
        <v>627.54770065677008</v>
      </c>
      <c r="D56" s="707">
        <f t="shared" ref="D56:Q56" ca="1" si="7">SUM(D54:D55)</f>
        <v>0</v>
      </c>
      <c r="E56" s="707">
        <f t="shared" si="7"/>
        <v>297.08381775416137</v>
      </c>
      <c r="F56" s="707">
        <f t="shared" si="7"/>
        <v>3.7279696819325343</v>
      </c>
      <c r="G56" s="707">
        <f t="shared" si="7"/>
        <v>1792.4210173517438</v>
      </c>
      <c r="H56" s="707">
        <f t="shared" si="7"/>
        <v>0</v>
      </c>
      <c r="I56" s="707">
        <f t="shared" si="7"/>
        <v>0</v>
      </c>
      <c r="J56" s="707">
        <f t="shared" si="7"/>
        <v>0</v>
      </c>
      <c r="K56" s="707">
        <f t="shared" si="7"/>
        <v>49.579964583825181</v>
      </c>
      <c r="L56" s="707">
        <f t="shared" si="7"/>
        <v>0</v>
      </c>
      <c r="M56" s="707">
        <f t="shared" si="7"/>
        <v>0</v>
      </c>
      <c r="N56" s="707">
        <f t="shared" si="7"/>
        <v>0</v>
      </c>
      <c r="O56" s="707">
        <f t="shared" si="7"/>
        <v>0</v>
      </c>
      <c r="P56" s="707">
        <f t="shared" si="7"/>
        <v>0</v>
      </c>
      <c r="Q56" s="708">
        <f t="shared" si="7"/>
        <v>0</v>
      </c>
      <c r="R56" s="709">
        <f ca="1">SUM(R54:R55)</f>
        <v>2770.3604700284327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9476.6641428978401</v>
      </c>
      <c r="D61" s="715">
        <f t="shared" ref="D61:Q61" ca="1" si="8">D46+D52+D56</f>
        <v>38.19327731092438</v>
      </c>
      <c r="E61" s="715">
        <f t="shared" ca="1" si="8"/>
        <v>6776.7011599520338</v>
      </c>
      <c r="F61" s="715">
        <f t="shared" si="8"/>
        <v>564.8876102376297</v>
      </c>
      <c r="G61" s="715">
        <f t="shared" ca="1" si="8"/>
        <v>21371.469519328271</v>
      </c>
      <c r="H61" s="715">
        <f t="shared" si="8"/>
        <v>8774.0586936320906</v>
      </c>
      <c r="I61" s="715">
        <f t="shared" si="8"/>
        <v>1717.5844971483932</v>
      </c>
      <c r="J61" s="715">
        <f t="shared" si="8"/>
        <v>0</v>
      </c>
      <c r="K61" s="715">
        <f t="shared" si="8"/>
        <v>616.26107571593047</v>
      </c>
      <c r="L61" s="715">
        <f t="shared" si="8"/>
        <v>0</v>
      </c>
      <c r="M61" s="715">
        <f t="shared" ca="1" si="8"/>
        <v>0</v>
      </c>
      <c r="N61" s="715">
        <f t="shared" si="8"/>
        <v>0</v>
      </c>
      <c r="O61" s="715">
        <f t="shared" ca="1" si="8"/>
        <v>0</v>
      </c>
      <c r="P61" s="715">
        <f t="shared" si="8"/>
        <v>0</v>
      </c>
      <c r="Q61" s="715">
        <f t="shared" si="8"/>
        <v>0</v>
      </c>
      <c r="R61" s="715">
        <f ca="1">R46+R52+R56</f>
        <v>49335.819976223123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0.21122056141675047</v>
      </c>
      <c r="D63" s="759">
        <f t="shared" ca="1" si="9"/>
        <v>0.23764705882352946</v>
      </c>
      <c r="E63" s="975">
        <f t="shared" ca="1" si="9"/>
        <v>0.20200000000000001</v>
      </c>
      <c r="F63" s="759">
        <f t="shared" si="9"/>
        <v>0.22700000000000004</v>
      </c>
      <c r="G63" s="759">
        <f t="shared" ca="1" si="9"/>
        <v>0.26699999999999996</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1993.8418565180316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112.5</v>
      </c>
      <c r="D76" s="985">
        <f>'lokale energieproductie'!C8</f>
        <v>132.35294117647058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26.735294117647058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1993.8418565180316</v>
      </c>
      <c r="C78" s="730">
        <f>SUM(C72:C77)</f>
        <v>112.5</v>
      </c>
      <c r="D78" s="731">
        <f t="shared" ref="D78:H78" si="10">SUM(D76:D77)</f>
        <v>132.35294117647058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26.735294117647058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160.71428571428572</v>
      </c>
      <c r="D87" s="752">
        <f>'lokale energieproductie'!C17</f>
        <v>189.07563025210086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38.19327731092438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160.71428571428572</v>
      </c>
      <c r="D90" s="730">
        <f t="shared" ref="D90:H90" si="12">SUM(D87:D89)</f>
        <v>189.07563025210086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38.19327731092438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29039.454875383766</v>
      </c>
      <c r="C4" s="447">
        <f>huishoudens!C8</f>
        <v>0</v>
      </c>
      <c r="D4" s="447">
        <f>huishoudens!D8</f>
        <v>22922.321072360941</v>
      </c>
      <c r="E4" s="447">
        <f>huishoudens!E8</f>
        <v>2070.3248424854037</v>
      </c>
      <c r="F4" s="447">
        <f>huishoudens!F8</f>
        <v>70669.287279788026</v>
      </c>
      <c r="G4" s="447">
        <f>huishoudens!G8</f>
        <v>0</v>
      </c>
      <c r="H4" s="447">
        <f>huishoudens!H8</f>
        <v>0</v>
      </c>
      <c r="I4" s="447">
        <f>huishoudens!I8</f>
        <v>0</v>
      </c>
      <c r="J4" s="447">
        <f>huishoudens!J8</f>
        <v>1591.2931826025551</v>
      </c>
      <c r="K4" s="447">
        <f>huishoudens!K8</f>
        <v>0</v>
      </c>
      <c r="L4" s="447">
        <f>huishoudens!L8</f>
        <v>0</v>
      </c>
      <c r="M4" s="447">
        <f>huishoudens!M8</f>
        <v>0</v>
      </c>
      <c r="N4" s="447">
        <f>huishoudens!N8</f>
        <v>7642.0927681480534</v>
      </c>
      <c r="O4" s="447">
        <f>huishoudens!O8</f>
        <v>46.9</v>
      </c>
      <c r="P4" s="448">
        <f>huishoudens!P8</f>
        <v>152.53333333333333</v>
      </c>
      <c r="Q4" s="449">
        <f>SUM(B4:P4)</f>
        <v>134134.20735410208</v>
      </c>
    </row>
    <row r="5" spans="1:17">
      <c r="A5" s="446" t="s">
        <v>149</v>
      </c>
      <c r="B5" s="447">
        <f ca="1">tertiair!B16</f>
        <v>10156.683755811704</v>
      </c>
      <c r="C5" s="447">
        <f ca="1">tertiair!C16</f>
        <v>160.71428571428572</v>
      </c>
      <c r="D5" s="447">
        <f ca="1">tertiair!D16</f>
        <v>8633.1960161417319</v>
      </c>
      <c r="E5" s="447">
        <f>tertiair!E16</f>
        <v>165.47368756766707</v>
      </c>
      <c r="F5" s="447">
        <f ca="1">tertiair!F16</f>
        <v>1915.9802248348576</v>
      </c>
      <c r="G5" s="447">
        <f>tertiair!G16</f>
        <v>0</v>
      </c>
      <c r="H5" s="447">
        <f>tertiair!H16</f>
        <v>0</v>
      </c>
      <c r="I5" s="447">
        <f>tertiair!I16</f>
        <v>0</v>
      </c>
      <c r="J5" s="447">
        <f>tertiair!J16</f>
        <v>0</v>
      </c>
      <c r="K5" s="447">
        <f>tertiair!K16</f>
        <v>0</v>
      </c>
      <c r="L5" s="447">
        <f ca="1">tertiair!L16</f>
        <v>0</v>
      </c>
      <c r="M5" s="447">
        <f>tertiair!M16</f>
        <v>0</v>
      </c>
      <c r="N5" s="447">
        <f ca="1">tertiair!N16</f>
        <v>322.78776075049734</v>
      </c>
      <c r="O5" s="447">
        <f>tertiair!O16</f>
        <v>0</v>
      </c>
      <c r="P5" s="448">
        <f>tertiair!P16</f>
        <v>0</v>
      </c>
      <c r="Q5" s="446">
        <f t="shared" ref="Q5:Q14" ca="1" si="0">SUM(B5:P5)</f>
        <v>21354.835730820745</v>
      </c>
    </row>
    <row r="6" spans="1:17">
      <c r="A6" s="446" t="s">
        <v>187</v>
      </c>
      <c r="B6" s="447">
        <f>'openbare verlichting'!B8</f>
        <v>973.99099999999999</v>
      </c>
      <c r="C6" s="447"/>
      <c r="D6" s="447"/>
      <c r="E6" s="447"/>
      <c r="F6" s="447"/>
      <c r="G6" s="447"/>
      <c r="H6" s="447"/>
      <c r="I6" s="447"/>
      <c r="J6" s="447"/>
      <c r="K6" s="447"/>
      <c r="L6" s="447"/>
      <c r="M6" s="447"/>
      <c r="N6" s="447"/>
      <c r="O6" s="447"/>
      <c r="P6" s="448"/>
      <c r="Q6" s="446">
        <f t="shared" si="0"/>
        <v>973.99099999999999</v>
      </c>
    </row>
    <row r="7" spans="1:17">
      <c r="A7" s="446" t="s">
        <v>105</v>
      </c>
      <c r="B7" s="447">
        <f>landbouw!B8</f>
        <v>1568.22330239861</v>
      </c>
      <c r="C7" s="447">
        <f>landbouw!C8</f>
        <v>0</v>
      </c>
      <c r="D7" s="447">
        <f>landbouw!D8</f>
        <v>12.989876615366663</v>
      </c>
      <c r="E7" s="447">
        <f>landbouw!E8</f>
        <v>16.422773929218213</v>
      </c>
      <c r="F7" s="447">
        <f>landbouw!F8</f>
        <v>6713.1873309054072</v>
      </c>
      <c r="G7" s="447">
        <f>landbouw!G8</f>
        <v>0</v>
      </c>
      <c r="H7" s="447">
        <f>landbouw!H8</f>
        <v>0</v>
      </c>
      <c r="I7" s="447">
        <f>landbouw!I8</f>
        <v>0</v>
      </c>
      <c r="J7" s="447">
        <f>landbouw!J8</f>
        <v>140.05639712944966</v>
      </c>
      <c r="K7" s="447">
        <f>landbouw!K8</f>
        <v>0</v>
      </c>
      <c r="L7" s="447">
        <f>landbouw!L8</f>
        <v>0</v>
      </c>
      <c r="M7" s="447">
        <f>landbouw!M8</f>
        <v>0</v>
      </c>
      <c r="N7" s="447">
        <f>landbouw!N8</f>
        <v>0</v>
      </c>
      <c r="O7" s="447">
        <f>landbouw!O8</f>
        <v>0</v>
      </c>
      <c r="P7" s="448">
        <f>landbouw!P8</f>
        <v>0</v>
      </c>
      <c r="Q7" s="446">
        <f t="shared" si="0"/>
        <v>8450.8796809780524</v>
      </c>
    </row>
    <row r="8" spans="1:17">
      <c r="A8" s="446" t="s">
        <v>637</v>
      </c>
      <c r="B8" s="447">
        <f>industrie!B18</f>
        <v>1720.4210713900929</v>
      </c>
      <c r="C8" s="447">
        <f>industrie!C18</f>
        <v>0</v>
      </c>
      <c r="D8" s="447">
        <f>industrie!D18</f>
        <v>519.61392248632615</v>
      </c>
      <c r="E8" s="447">
        <f>industrie!E18</f>
        <v>20.802956848473023</v>
      </c>
      <c r="F8" s="447">
        <f>industrie!F18</f>
        <v>744.50216570119221</v>
      </c>
      <c r="G8" s="447">
        <f>industrie!G18</f>
        <v>0</v>
      </c>
      <c r="H8" s="447">
        <f>industrie!H18</f>
        <v>0</v>
      </c>
      <c r="I8" s="447">
        <f>industrie!I18</f>
        <v>0</v>
      </c>
      <c r="J8" s="447">
        <f>industrie!J18</f>
        <v>9.5009166406805914</v>
      </c>
      <c r="K8" s="447">
        <f>industrie!K18</f>
        <v>0</v>
      </c>
      <c r="L8" s="447">
        <f>industrie!L18</f>
        <v>0</v>
      </c>
      <c r="M8" s="447">
        <f>industrie!M18</f>
        <v>0</v>
      </c>
      <c r="N8" s="447">
        <f>industrie!N18</f>
        <v>68.341430685297553</v>
      </c>
      <c r="O8" s="447">
        <f>industrie!O18</f>
        <v>0</v>
      </c>
      <c r="P8" s="448">
        <f>industrie!P18</f>
        <v>0</v>
      </c>
      <c r="Q8" s="446">
        <f t="shared" si="0"/>
        <v>3083.1824637520626</v>
      </c>
    </row>
    <row r="9" spans="1:17" s="452" customFormat="1">
      <c r="A9" s="450" t="s">
        <v>556</v>
      </c>
      <c r="B9" s="451">
        <f>transport!B14</f>
        <v>0.43180181928374295</v>
      </c>
      <c r="C9" s="451">
        <f>transport!C14</f>
        <v>0</v>
      </c>
      <c r="D9" s="451">
        <f>transport!D14</f>
        <v>2.1825642479871044</v>
      </c>
      <c r="E9" s="451">
        <f>transport!E14</f>
        <v>215.46741422487503</v>
      </c>
      <c r="F9" s="451">
        <f>transport!F14</f>
        <v>0</v>
      </c>
      <c r="G9" s="451">
        <f>transport!G14</f>
        <v>31958.226026144985</v>
      </c>
      <c r="H9" s="451">
        <f>transport!H14</f>
        <v>6897.9297074232663</v>
      </c>
      <c r="I9" s="451">
        <f>transport!I14</f>
        <v>0</v>
      </c>
      <c r="J9" s="451">
        <f>transport!J14</f>
        <v>0</v>
      </c>
      <c r="K9" s="451">
        <f>transport!K14</f>
        <v>0</v>
      </c>
      <c r="L9" s="451">
        <f>transport!L14</f>
        <v>0</v>
      </c>
      <c r="M9" s="451">
        <f>transport!M14</f>
        <v>1694.2117789031904</v>
      </c>
      <c r="N9" s="451">
        <f>transport!N14</f>
        <v>0</v>
      </c>
      <c r="O9" s="451">
        <f>transport!O14</f>
        <v>0</v>
      </c>
      <c r="P9" s="451">
        <f>transport!P14</f>
        <v>0</v>
      </c>
      <c r="Q9" s="450">
        <f>SUM(B9:P9)</f>
        <v>40768.449292763587</v>
      </c>
    </row>
    <row r="10" spans="1:17">
      <c r="A10" s="446" t="s">
        <v>546</v>
      </c>
      <c r="B10" s="447">
        <f>transport!B54</f>
        <v>4.1643642811418866</v>
      </c>
      <c r="C10" s="447">
        <f>transport!C54</f>
        <v>0</v>
      </c>
      <c r="D10" s="447">
        <f>transport!D54</f>
        <v>0</v>
      </c>
      <c r="E10" s="447">
        <f>transport!E54</f>
        <v>0</v>
      </c>
      <c r="F10" s="447">
        <f>transport!F54</f>
        <v>0</v>
      </c>
      <c r="G10" s="447">
        <f>transport!G54</f>
        <v>903.41702116621411</v>
      </c>
      <c r="H10" s="447">
        <f>transport!H54</f>
        <v>0</v>
      </c>
      <c r="I10" s="447">
        <f>transport!I54</f>
        <v>0</v>
      </c>
      <c r="J10" s="447">
        <f>transport!J54</f>
        <v>0</v>
      </c>
      <c r="K10" s="447">
        <f>transport!K54</f>
        <v>0</v>
      </c>
      <c r="L10" s="447">
        <f>transport!L54</f>
        <v>0</v>
      </c>
      <c r="M10" s="447">
        <f>transport!M54</f>
        <v>38.680846596583102</v>
      </c>
      <c r="N10" s="447">
        <f>transport!N54</f>
        <v>0</v>
      </c>
      <c r="O10" s="447">
        <f>transport!O54</f>
        <v>0</v>
      </c>
      <c r="P10" s="448">
        <f>transport!P54</f>
        <v>0</v>
      </c>
      <c r="Q10" s="446">
        <f t="shared" si="0"/>
        <v>946.26223204393909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1402.8307296876978</v>
      </c>
      <c r="C14" s="454"/>
      <c r="D14" s="454">
        <f>'SEAP template'!E25</f>
        <v>1457.7220924646401</v>
      </c>
      <c r="E14" s="454"/>
      <c r="F14" s="454"/>
      <c r="G14" s="454"/>
      <c r="H14" s="454"/>
      <c r="I14" s="454"/>
      <c r="J14" s="454"/>
      <c r="K14" s="454"/>
      <c r="L14" s="454"/>
      <c r="M14" s="454"/>
      <c r="N14" s="454"/>
      <c r="O14" s="454"/>
      <c r="P14" s="455"/>
      <c r="Q14" s="446">
        <f t="shared" si="0"/>
        <v>2860.5528221523382</v>
      </c>
    </row>
    <row r="15" spans="1:17" s="459" customFormat="1">
      <c r="A15" s="456" t="s">
        <v>550</v>
      </c>
      <c r="B15" s="457">
        <f ca="1">SUM(B4:B14)</f>
        <v>44866.200900772295</v>
      </c>
      <c r="C15" s="457">
        <f t="shared" ref="C15:Q15" ca="1" si="1">SUM(C4:C14)</f>
        <v>160.71428571428572</v>
      </c>
      <c r="D15" s="457">
        <f t="shared" ca="1" si="1"/>
        <v>33548.025544316995</v>
      </c>
      <c r="E15" s="457">
        <f t="shared" si="1"/>
        <v>2488.4916750556372</v>
      </c>
      <c r="F15" s="457">
        <f t="shared" ca="1" si="1"/>
        <v>80042.957001229486</v>
      </c>
      <c r="G15" s="457">
        <f t="shared" si="1"/>
        <v>32861.643047311198</v>
      </c>
      <c r="H15" s="457">
        <f t="shared" si="1"/>
        <v>6897.9297074232663</v>
      </c>
      <c r="I15" s="457">
        <f t="shared" si="1"/>
        <v>0</v>
      </c>
      <c r="J15" s="457">
        <f t="shared" si="1"/>
        <v>1740.8504963726853</v>
      </c>
      <c r="K15" s="457">
        <f t="shared" si="1"/>
        <v>0</v>
      </c>
      <c r="L15" s="457">
        <f t="shared" ca="1" si="1"/>
        <v>0</v>
      </c>
      <c r="M15" s="457">
        <f t="shared" si="1"/>
        <v>1732.8926254997734</v>
      </c>
      <c r="N15" s="457">
        <f t="shared" ca="1" si="1"/>
        <v>8033.2219595838478</v>
      </c>
      <c r="O15" s="457">
        <f t="shared" si="1"/>
        <v>46.9</v>
      </c>
      <c r="P15" s="457">
        <f t="shared" si="1"/>
        <v>152.53333333333333</v>
      </c>
      <c r="Q15" s="457">
        <f t="shared" ca="1" si="1"/>
        <v>212572.36057661279</v>
      </c>
    </row>
    <row r="17" spans="1:17">
      <c r="A17" s="460" t="s">
        <v>551</v>
      </c>
      <c r="B17" s="764">
        <f ca="1">huishoudens!B10</f>
        <v>0.21122056141675044</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6133.7299620149497</v>
      </c>
      <c r="C22" s="447">
        <f t="shared" ref="C22:C32" ca="1" si="3">C4*$C$17</f>
        <v>0</v>
      </c>
      <c r="D22" s="447">
        <f t="shared" ref="D22:D32" si="4">D4*$D$17</f>
        <v>4630.3088566169099</v>
      </c>
      <c r="E22" s="447">
        <f t="shared" ref="E22:E32" si="5">E4*$E$17</f>
        <v>469.96373924418663</v>
      </c>
      <c r="F22" s="447">
        <f t="shared" ref="F22:F32" si="6">F4*$F$17</f>
        <v>18868.699703703405</v>
      </c>
      <c r="G22" s="447">
        <f t="shared" ref="G22:G32" si="7">G4*$G$17</f>
        <v>0</v>
      </c>
      <c r="H22" s="447">
        <f t="shared" ref="H22:H32" si="8">H4*$H$17</f>
        <v>0</v>
      </c>
      <c r="I22" s="447">
        <f t="shared" ref="I22:I32" si="9">I4*$I$17</f>
        <v>0</v>
      </c>
      <c r="J22" s="447">
        <f t="shared" ref="J22:J32" si="10">J4*$J$17</f>
        <v>563.31778664130445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30666.020048220758</v>
      </c>
    </row>
    <row r="23" spans="1:17">
      <c r="A23" s="446" t="s">
        <v>149</v>
      </c>
      <c r="B23" s="447">
        <f t="shared" ca="1" si="2"/>
        <v>2145.3004450349376</v>
      </c>
      <c r="C23" s="447">
        <f t="shared" ca="1" si="3"/>
        <v>38.19327731092438</v>
      </c>
      <c r="D23" s="447">
        <f t="shared" ca="1" si="4"/>
        <v>1743.90559526063</v>
      </c>
      <c r="E23" s="447">
        <f t="shared" si="5"/>
        <v>37.562527077860423</v>
      </c>
      <c r="F23" s="447">
        <f t="shared" ca="1" si="6"/>
        <v>511.56672003090699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4476.5285647152596</v>
      </c>
    </row>
    <row r="24" spans="1:17">
      <c r="A24" s="446" t="s">
        <v>187</v>
      </c>
      <c r="B24" s="447">
        <f t="shared" ca="1" si="2"/>
        <v>205.72692583486219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205.72692583486219</v>
      </c>
    </row>
    <row r="25" spans="1:17">
      <c r="A25" s="446" t="s">
        <v>105</v>
      </c>
      <c r="B25" s="447">
        <f t="shared" ca="1" si="2"/>
        <v>331.24100635946479</v>
      </c>
      <c r="C25" s="447">
        <f t="shared" ca="1" si="3"/>
        <v>0</v>
      </c>
      <c r="D25" s="447">
        <f t="shared" si="4"/>
        <v>2.6239550763040662</v>
      </c>
      <c r="E25" s="447">
        <f t="shared" si="5"/>
        <v>3.7279696819325343</v>
      </c>
      <c r="F25" s="447">
        <f t="shared" si="6"/>
        <v>1792.4210173517438</v>
      </c>
      <c r="G25" s="447">
        <f t="shared" si="7"/>
        <v>0</v>
      </c>
      <c r="H25" s="447">
        <f t="shared" si="8"/>
        <v>0</v>
      </c>
      <c r="I25" s="447">
        <f t="shared" si="9"/>
        <v>0</v>
      </c>
      <c r="J25" s="447">
        <f t="shared" si="10"/>
        <v>49.579964583825181</v>
      </c>
      <c r="K25" s="447">
        <f t="shared" si="11"/>
        <v>0</v>
      </c>
      <c r="L25" s="447">
        <f t="shared" si="12"/>
        <v>0</v>
      </c>
      <c r="M25" s="447">
        <f t="shared" si="13"/>
        <v>0</v>
      </c>
      <c r="N25" s="447">
        <f t="shared" si="14"/>
        <v>0</v>
      </c>
      <c r="O25" s="447">
        <f t="shared" si="15"/>
        <v>0</v>
      </c>
      <c r="P25" s="448">
        <f t="shared" si="16"/>
        <v>0</v>
      </c>
      <c r="Q25" s="446">
        <f t="shared" ca="1" si="17"/>
        <v>2179.5939130532702</v>
      </c>
    </row>
    <row r="26" spans="1:17">
      <c r="A26" s="446" t="s">
        <v>637</v>
      </c>
      <c r="B26" s="447">
        <f t="shared" ca="1" si="2"/>
        <v>363.38830457222269</v>
      </c>
      <c r="C26" s="447">
        <f t="shared" ca="1" si="3"/>
        <v>0</v>
      </c>
      <c r="D26" s="447">
        <f t="shared" si="4"/>
        <v>104.96201234223788</v>
      </c>
      <c r="E26" s="447">
        <f t="shared" si="5"/>
        <v>4.7222712046033761</v>
      </c>
      <c r="F26" s="447">
        <f t="shared" si="6"/>
        <v>198.78207824221832</v>
      </c>
      <c r="G26" s="447">
        <f t="shared" si="7"/>
        <v>0</v>
      </c>
      <c r="H26" s="447">
        <f t="shared" si="8"/>
        <v>0</v>
      </c>
      <c r="I26" s="447">
        <f t="shared" si="9"/>
        <v>0</v>
      </c>
      <c r="J26" s="447">
        <f t="shared" si="10"/>
        <v>3.3633244908009292</v>
      </c>
      <c r="K26" s="447">
        <f t="shared" si="11"/>
        <v>0</v>
      </c>
      <c r="L26" s="447">
        <f t="shared" si="12"/>
        <v>0</v>
      </c>
      <c r="M26" s="447">
        <f t="shared" si="13"/>
        <v>0</v>
      </c>
      <c r="N26" s="447">
        <f t="shared" si="14"/>
        <v>0</v>
      </c>
      <c r="O26" s="447">
        <f t="shared" si="15"/>
        <v>0</v>
      </c>
      <c r="P26" s="448">
        <f t="shared" si="16"/>
        <v>0</v>
      </c>
      <c r="Q26" s="446">
        <f t="shared" ca="1" si="17"/>
        <v>675.21799085208318</v>
      </c>
    </row>
    <row r="27" spans="1:17" s="452" customFormat="1">
      <c r="A27" s="450" t="s">
        <v>556</v>
      </c>
      <c r="B27" s="758">
        <f t="shared" ca="1" si="2"/>
        <v>9.1205422689886406E-2</v>
      </c>
      <c r="C27" s="451">
        <f t="shared" ca="1" si="3"/>
        <v>0</v>
      </c>
      <c r="D27" s="451">
        <f t="shared" si="4"/>
        <v>0.44087797809339513</v>
      </c>
      <c r="E27" s="451">
        <f t="shared" si="5"/>
        <v>48.911103029046636</v>
      </c>
      <c r="F27" s="451">
        <f t="shared" si="6"/>
        <v>0</v>
      </c>
      <c r="G27" s="451">
        <f t="shared" si="7"/>
        <v>8532.8463489807109</v>
      </c>
      <c r="H27" s="451">
        <f t="shared" si="8"/>
        <v>1717.5844971483932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10299.874032558933</v>
      </c>
    </row>
    <row r="28" spans="1:17">
      <c r="A28" s="446" t="s">
        <v>546</v>
      </c>
      <c r="B28" s="447">
        <f t="shared" ca="1" si="2"/>
        <v>0.87959936140665163</v>
      </c>
      <c r="C28" s="447">
        <f t="shared" ca="1" si="3"/>
        <v>0</v>
      </c>
      <c r="D28" s="447">
        <f t="shared" si="4"/>
        <v>0</v>
      </c>
      <c r="E28" s="447">
        <f t="shared" si="5"/>
        <v>0</v>
      </c>
      <c r="F28" s="447">
        <f t="shared" si="6"/>
        <v>0</v>
      </c>
      <c r="G28" s="447">
        <f t="shared" si="7"/>
        <v>241.21234465137917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242.09194401278583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296.30669429730523</v>
      </c>
      <c r="C32" s="447">
        <f t="shared" ca="1" si="3"/>
        <v>0</v>
      </c>
      <c r="D32" s="447">
        <f t="shared" si="4"/>
        <v>294.4598626778573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590.76655697516253</v>
      </c>
    </row>
    <row r="33" spans="1:17" s="459" customFormat="1">
      <c r="A33" s="456" t="s">
        <v>550</v>
      </c>
      <c r="B33" s="457">
        <f ca="1">SUM(B22:B32)</f>
        <v>9476.6641428978401</v>
      </c>
      <c r="C33" s="457">
        <f t="shared" ref="C33:Q33" ca="1" si="19">SUM(C22:C32)</f>
        <v>38.19327731092438</v>
      </c>
      <c r="D33" s="457">
        <f t="shared" ca="1" si="19"/>
        <v>6776.7011599520329</v>
      </c>
      <c r="E33" s="457">
        <f t="shared" si="19"/>
        <v>564.88761023762959</v>
      </c>
      <c r="F33" s="457">
        <f t="shared" ca="1" si="19"/>
        <v>21371.469519328271</v>
      </c>
      <c r="G33" s="457">
        <f t="shared" si="19"/>
        <v>8774.0586936320906</v>
      </c>
      <c r="H33" s="457">
        <f t="shared" si="19"/>
        <v>1717.5844971483932</v>
      </c>
      <c r="I33" s="457">
        <f t="shared" si="19"/>
        <v>0</v>
      </c>
      <c r="J33" s="457">
        <f t="shared" si="19"/>
        <v>616.26107571593047</v>
      </c>
      <c r="K33" s="457">
        <f t="shared" si="19"/>
        <v>0</v>
      </c>
      <c r="L33" s="457">
        <f t="shared" ca="1" si="19"/>
        <v>0</v>
      </c>
      <c r="M33" s="457">
        <f t="shared" si="19"/>
        <v>0</v>
      </c>
      <c r="N33" s="457">
        <f t="shared" ca="1" si="19"/>
        <v>0</v>
      </c>
      <c r="O33" s="457">
        <f t="shared" si="19"/>
        <v>0</v>
      </c>
      <c r="P33" s="457">
        <f t="shared" si="19"/>
        <v>0</v>
      </c>
      <c r="Q33" s="457">
        <f t="shared" ca="1" si="19"/>
        <v>49335.819976223116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1993.8418565180316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112.5</v>
      </c>
      <c r="D8" s="1006">
        <f>'SEAP template'!D76</f>
        <v>132.35294117647058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26.735294117647058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1993.8418565180316</v>
      </c>
      <c r="C10" s="1010">
        <f>SUM(C4:C9)</f>
        <v>112.5</v>
      </c>
      <c r="D10" s="1010">
        <f t="shared" ref="D10:H10" si="0">SUM(D8:D9)</f>
        <v>132.35294117647058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26.735294117647058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0.21122056141675044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160.71428571428572</v>
      </c>
      <c r="D17" s="1007">
        <f>'SEAP template'!D87</f>
        <v>189.07563025210086</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38.19327731092438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160.71428571428572</v>
      </c>
      <c r="D20" s="1010">
        <f t="shared" ref="D20:H20" si="2">SUM(D17:D19)</f>
        <v>189.07563025210086</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38.19327731092438</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0.21122056141675044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0.21122056141675044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0.21122056141675044</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5783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281</v>
      </c>
      <c r="C14" s="326"/>
      <c r="D14" s="326"/>
      <c r="E14" s="326"/>
      <c r="F14" s="326"/>
    </row>
    <row r="15" spans="1:6">
      <c r="A15" s="1280" t="s">
        <v>177</v>
      </c>
      <c r="B15" s="1281">
        <v>0</v>
      </c>
      <c r="C15" s="326"/>
      <c r="D15" s="326"/>
      <c r="E15" s="326"/>
      <c r="F15" s="326"/>
    </row>
    <row r="16" spans="1:6">
      <c r="A16" s="1280" t="s">
        <v>6</v>
      </c>
      <c r="B16" s="1281">
        <v>1</v>
      </c>
      <c r="C16" s="326"/>
      <c r="D16" s="326"/>
      <c r="E16" s="326"/>
      <c r="F16" s="326"/>
    </row>
    <row r="17" spans="1:6">
      <c r="A17" s="1280" t="s">
        <v>7</v>
      </c>
      <c r="B17" s="1281">
        <v>36</v>
      </c>
      <c r="C17" s="326"/>
      <c r="D17" s="326"/>
      <c r="E17" s="326"/>
      <c r="F17" s="326"/>
    </row>
    <row r="18" spans="1:6">
      <c r="A18" s="1280" t="s">
        <v>8</v>
      </c>
      <c r="B18" s="1281">
        <v>36</v>
      </c>
      <c r="C18" s="326"/>
      <c r="D18" s="326"/>
      <c r="E18" s="326"/>
      <c r="F18" s="326"/>
    </row>
    <row r="19" spans="1:6">
      <c r="A19" s="1280" t="s">
        <v>9</v>
      </c>
      <c r="B19" s="1281">
        <v>21</v>
      </c>
      <c r="C19" s="326"/>
      <c r="D19" s="326"/>
      <c r="E19" s="326"/>
      <c r="F19" s="326"/>
    </row>
    <row r="20" spans="1:6">
      <c r="A20" s="1280" t="s">
        <v>10</v>
      </c>
      <c r="B20" s="1281">
        <v>32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67669</v>
      </c>
      <c r="C28" s="326"/>
      <c r="D28" s="326"/>
      <c r="E28" s="326"/>
      <c r="F28" s="326"/>
    </row>
    <row r="29" spans="1:6">
      <c r="A29" s="1280" t="s">
        <v>972</v>
      </c>
      <c r="B29" s="1282">
        <v>74</v>
      </c>
      <c r="C29" s="326"/>
      <c r="D29" s="326"/>
      <c r="E29" s="326"/>
      <c r="F29" s="326"/>
    </row>
    <row r="30" spans="1:6">
      <c r="A30" s="1275" t="s">
        <v>973</v>
      </c>
      <c r="B30" s="1283">
        <v>29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21969.094283039602</v>
      </c>
    </row>
    <row r="39" spans="1:6">
      <c r="A39" s="1280" t="s">
        <v>29</v>
      </c>
      <c r="B39" s="1280" t="s">
        <v>30</v>
      </c>
      <c r="C39" s="1281">
        <v>1564</v>
      </c>
      <c r="D39" s="1281">
        <v>25412772.807495501</v>
      </c>
      <c r="E39" s="1281">
        <v>5779</v>
      </c>
      <c r="F39" s="1281">
        <v>27713871.874553099</v>
      </c>
    </row>
    <row r="40" spans="1:6">
      <c r="A40" s="1280" t="s">
        <v>29</v>
      </c>
      <c r="B40" s="1280" t="s">
        <v>28</v>
      </c>
      <c r="C40" s="1281">
        <v>0</v>
      </c>
      <c r="D40" s="1281">
        <v>0</v>
      </c>
      <c r="E40" s="1281">
        <v>0</v>
      </c>
      <c r="F40" s="1281">
        <v>0</v>
      </c>
    </row>
    <row r="41" spans="1:6">
      <c r="A41" s="1280" t="s">
        <v>31</v>
      </c>
      <c r="B41" s="1280" t="s">
        <v>32</v>
      </c>
      <c r="C41" s="1281">
        <v>13</v>
      </c>
      <c r="D41" s="1281">
        <v>100621.82664554199</v>
      </c>
      <c r="E41" s="1281">
        <v>81</v>
      </c>
      <c r="F41" s="1281">
        <v>737780.60202785803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238047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11</v>
      </c>
      <c r="D48" s="1281">
        <v>215958.832843126</v>
      </c>
      <c r="E48" s="1281">
        <v>19</v>
      </c>
      <c r="F48" s="1281">
        <v>556939.78700489295</v>
      </c>
    </row>
    <row r="49" spans="1:6">
      <c r="A49" s="1280" t="s">
        <v>31</v>
      </c>
      <c r="B49" s="1280" t="s">
        <v>39</v>
      </c>
      <c r="C49" s="1281">
        <v>0</v>
      </c>
      <c r="D49" s="1281">
        <v>0</v>
      </c>
      <c r="E49" s="1281">
        <v>0</v>
      </c>
      <c r="F49" s="1281">
        <v>0</v>
      </c>
    </row>
    <row r="50" spans="1:6">
      <c r="A50" s="1280" t="s">
        <v>31</v>
      </c>
      <c r="B50" s="1280" t="s">
        <v>40</v>
      </c>
      <c r="C50" s="1281">
        <v>3</v>
      </c>
      <c r="D50" s="1281">
        <v>259487.99071790199</v>
      </c>
      <c r="E50" s="1281">
        <v>7</v>
      </c>
      <c r="F50" s="1281">
        <v>187653.68235734201</v>
      </c>
    </row>
    <row r="51" spans="1:6">
      <c r="A51" s="1280" t="s">
        <v>41</v>
      </c>
      <c r="B51" s="1280" t="s">
        <v>42</v>
      </c>
      <c r="C51" s="1281">
        <v>0</v>
      </c>
      <c r="D51" s="1281">
        <v>0</v>
      </c>
      <c r="E51" s="1281">
        <v>11</v>
      </c>
      <c r="F51" s="1281">
        <v>355368</v>
      </c>
    </row>
    <row r="52" spans="1:6">
      <c r="A52" s="1280" t="s">
        <v>41</v>
      </c>
      <c r="B52" s="1280" t="s">
        <v>28</v>
      </c>
      <c r="C52" s="1281">
        <v>1</v>
      </c>
      <c r="D52" s="1281">
        <v>14401.193586881</v>
      </c>
      <c r="E52" s="1281">
        <v>2</v>
      </c>
      <c r="F52" s="1281">
        <v>1212855.3023986099</v>
      </c>
    </row>
    <row r="53" spans="1:6">
      <c r="A53" s="1280" t="s">
        <v>43</v>
      </c>
      <c r="B53" s="1280" t="s">
        <v>44</v>
      </c>
      <c r="C53" s="1281">
        <v>82</v>
      </c>
      <c r="D53" s="1281">
        <v>1457722.09246464</v>
      </c>
      <c r="E53" s="1281">
        <v>137</v>
      </c>
      <c r="F53" s="1281">
        <v>855372.72968769795</v>
      </c>
    </row>
    <row r="54" spans="1:6">
      <c r="A54" s="1280" t="s">
        <v>45</v>
      </c>
      <c r="B54" s="1280" t="s">
        <v>46</v>
      </c>
      <c r="C54" s="1281">
        <v>0</v>
      </c>
      <c r="D54" s="1281">
        <v>0</v>
      </c>
      <c r="E54" s="1281">
        <v>1</v>
      </c>
      <c r="F54" s="1281">
        <v>664576</v>
      </c>
    </row>
    <row r="55" spans="1:6">
      <c r="A55" s="1280" t="s">
        <v>45</v>
      </c>
      <c r="B55" s="1280" t="s">
        <v>28</v>
      </c>
      <c r="C55" s="1281">
        <v>0</v>
      </c>
      <c r="D55" s="1281">
        <v>0</v>
      </c>
      <c r="E55" s="1281">
        <v>1</v>
      </c>
      <c r="F55" s="1281">
        <v>309415</v>
      </c>
    </row>
    <row r="56" spans="1:6">
      <c r="A56" s="1280" t="s">
        <v>47</v>
      </c>
      <c r="B56" s="1280" t="s">
        <v>28</v>
      </c>
      <c r="C56" s="1281">
        <v>0</v>
      </c>
      <c r="D56" s="1281">
        <v>0</v>
      </c>
      <c r="E56" s="1281">
        <v>81</v>
      </c>
      <c r="F56" s="1281">
        <v>547458</v>
      </c>
    </row>
    <row r="57" spans="1:6">
      <c r="A57" s="1280" t="s">
        <v>48</v>
      </c>
      <c r="B57" s="1280" t="s">
        <v>49</v>
      </c>
      <c r="C57" s="1281">
        <v>11</v>
      </c>
      <c r="D57" s="1281">
        <v>824206.96456690703</v>
      </c>
      <c r="E57" s="1281">
        <v>84</v>
      </c>
      <c r="F57" s="1281">
        <v>1151501.1597779789</v>
      </c>
    </row>
    <row r="58" spans="1:6">
      <c r="A58" s="1280" t="s">
        <v>48</v>
      </c>
      <c r="B58" s="1280" t="s">
        <v>50</v>
      </c>
      <c r="C58" s="1281">
        <v>3</v>
      </c>
      <c r="D58" s="1281">
        <v>3834105.92617107</v>
      </c>
      <c r="E58" s="1281">
        <v>13</v>
      </c>
      <c r="F58" s="1281">
        <v>1371041.6168593999</v>
      </c>
    </row>
    <row r="59" spans="1:6">
      <c r="A59" s="1280" t="s">
        <v>48</v>
      </c>
      <c r="B59" s="1280" t="s">
        <v>51</v>
      </c>
      <c r="C59" s="1281">
        <v>16</v>
      </c>
      <c r="D59" s="1281">
        <v>490386.10311420099</v>
      </c>
      <c r="E59" s="1281">
        <v>123</v>
      </c>
      <c r="F59" s="1281">
        <v>3729815.46160569</v>
      </c>
    </row>
    <row r="60" spans="1:6">
      <c r="A60" s="1280" t="s">
        <v>48</v>
      </c>
      <c r="B60" s="1280" t="s">
        <v>52</v>
      </c>
      <c r="C60" s="1281">
        <v>16</v>
      </c>
      <c r="D60" s="1281">
        <v>765613.83797765803</v>
      </c>
      <c r="E60" s="1281">
        <v>40</v>
      </c>
      <c r="F60" s="1281">
        <v>1131650.4697596701</v>
      </c>
    </row>
    <row r="61" spans="1:6">
      <c r="A61" s="1280" t="s">
        <v>48</v>
      </c>
      <c r="B61" s="1280" t="s">
        <v>53</v>
      </c>
      <c r="C61" s="1281">
        <v>28</v>
      </c>
      <c r="D61" s="1281">
        <v>721561.08257225296</v>
      </c>
      <c r="E61" s="1281">
        <v>146</v>
      </c>
      <c r="F61" s="1281">
        <v>1436755.058090793</v>
      </c>
    </row>
    <row r="62" spans="1:6">
      <c r="A62" s="1280" t="s">
        <v>48</v>
      </c>
      <c r="B62" s="1280" t="s">
        <v>54</v>
      </c>
      <c r="C62" s="1281">
        <v>0</v>
      </c>
      <c r="D62" s="1281">
        <v>0</v>
      </c>
      <c r="E62" s="1281">
        <v>5</v>
      </c>
      <c r="F62" s="1281">
        <v>78977</v>
      </c>
    </row>
    <row r="63" spans="1:6">
      <c r="A63" s="1280" t="s">
        <v>48</v>
      </c>
      <c r="B63" s="1280" t="s">
        <v>28</v>
      </c>
      <c r="C63" s="1281">
        <v>70</v>
      </c>
      <c r="D63" s="1281">
        <v>3291647.8013077802</v>
      </c>
      <c r="E63" s="1281">
        <v>79</v>
      </c>
      <c r="F63" s="1281">
        <v>1144442.9897181699</v>
      </c>
    </row>
    <row r="64" spans="1:6">
      <c r="A64" s="1280" t="s">
        <v>55</v>
      </c>
      <c r="B64" s="1280" t="s">
        <v>56</v>
      </c>
      <c r="C64" s="1281">
        <v>0</v>
      </c>
      <c r="D64" s="1281">
        <v>0</v>
      </c>
      <c r="E64" s="1281">
        <v>0</v>
      </c>
      <c r="F64" s="1281">
        <v>0</v>
      </c>
    </row>
    <row r="65" spans="1:6">
      <c r="A65" s="1280" t="s">
        <v>55</v>
      </c>
      <c r="B65" s="1280" t="s">
        <v>28</v>
      </c>
      <c r="C65" s="1281">
        <v>3</v>
      </c>
      <c r="D65" s="1281">
        <v>36784.458938584801</v>
      </c>
      <c r="E65" s="1281">
        <v>4</v>
      </c>
      <c r="F65" s="1281">
        <v>33086.471736507701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83459.019434598595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4214342</v>
      </c>
      <c r="E73" s="445"/>
      <c r="F73" s="326"/>
    </row>
    <row r="74" spans="1:6">
      <c r="A74" s="1280" t="s">
        <v>63</v>
      </c>
      <c r="B74" s="1280" t="s">
        <v>754</v>
      </c>
      <c r="C74" s="1293" t="s">
        <v>755</v>
      </c>
      <c r="D74" s="1281">
        <v>240727.22972003106</v>
      </c>
      <c r="E74" s="445"/>
      <c r="F74" s="326"/>
    </row>
    <row r="75" spans="1:6">
      <c r="A75" s="1280" t="s">
        <v>64</v>
      </c>
      <c r="B75" s="1280" t="s">
        <v>752</v>
      </c>
      <c r="C75" s="1293" t="s">
        <v>756</v>
      </c>
      <c r="D75" s="1281">
        <v>35944853</v>
      </c>
      <c r="E75" s="445"/>
      <c r="F75" s="326"/>
    </row>
    <row r="76" spans="1:6">
      <c r="A76" s="1280" t="s">
        <v>64</v>
      </c>
      <c r="B76" s="1280" t="s">
        <v>754</v>
      </c>
      <c r="C76" s="1293" t="s">
        <v>757</v>
      </c>
      <c r="D76" s="1281">
        <v>1123839.2297200311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247781.54055993789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1325.583000830665</v>
      </c>
      <c r="C91" s="326"/>
      <c r="D91" s="326"/>
      <c r="E91" s="326"/>
      <c r="F91" s="326"/>
    </row>
    <row r="92" spans="1:6">
      <c r="A92" s="1275" t="s">
        <v>68</v>
      </c>
      <c r="B92" s="1276">
        <v>668.25885568736658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471</v>
      </c>
      <c r="C97" s="326"/>
      <c r="D97" s="326"/>
      <c r="E97" s="326"/>
      <c r="F97" s="326"/>
    </row>
    <row r="98" spans="1:6">
      <c r="A98" s="1280" t="s">
        <v>71</v>
      </c>
      <c r="B98" s="1281">
        <v>2</v>
      </c>
      <c r="C98" s="326"/>
      <c r="D98" s="326"/>
      <c r="E98" s="326"/>
      <c r="F98" s="326"/>
    </row>
    <row r="99" spans="1:6">
      <c r="A99" s="1280" t="s">
        <v>72</v>
      </c>
      <c r="B99" s="1281">
        <v>258</v>
      </c>
      <c r="C99" s="326"/>
      <c r="D99" s="326"/>
      <c r="E99" s="326"/>
      <c r="F99" s="326"/>
    </row>
    <row r="100" spans="1:6">
      <c r="A100" s="1280" t="s">
        <v>73</v>
      </c>
      <c r="B100" s="1281">
        <v>436</v>
      </c>
      <c r="C100" s="326"/>
      <c r="D100" s="326"/>
      <c r="E100" s="326"/>
      <c r="F100" s="326"/>
    </row>
    <row r="101" spans="1:6">
      <c r="A101" s="1280" t="s">
        <v>74</v>
      </c>
      <c r="B101" s="1281">
        <v>47</v>
      </c>
      <c r="C101" s="326"/>
      <c r="D101" s="326"/>
      <c r="E101" s="326"/>
      <c r="F101" s="326"/>
    </row>
    <row r="102" spans="1:6">
      <c r="A102" s="1280" t="s">
        <v>75</v>
      </c>
      <c r="B102" s="1281">
        <v>58</v>
      </c>
      <c r="C102" s="326"/>
      <c r="D102" s="326"/>
      <c r="E102" s="326"/>
      <c r="F102" s="326"/>
    </row>
    <row r="103" spans="1:6">
      <c r="A103" s="1280" t="s">
        <v>76</v>
      </c>
      <c r="B103" s="1281">
        <v>127</v>
      </c>
      <c r="C103" s="326"/>
      <c r="D103" s="326"/>
      <c r="E103" s="326"/>
      <c r="F103" s="326"/>
    </row>
    <row r="104" spans="1:6">
      <c r="A104" s="1280" t="s">
        <v>77</v>
      </c>
      <c r="B104" s="1281">
        <v>3603</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10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44866.200900772295</v>
      </c>
      <c r="C3" s="43" t="s">
        <v>163</v>
      </c>
      <c r="D3" s="43"/>
      <c r="E3" s="156"/>
      <c r="F3" s="43"/>
      <c r="G3" s="43"/>
      <c r="H3" s="43"/>
      <c r="I3" s="43"/>
      <c r="J3" s="43"/>
      <c r="K3" s="96"/>
    </row>
    <row r="4" spans="1:11">
      <c r="A4" s="352" t="s">
        <v>164</v>
      </c>
      <c r="B4" s="49">
        <f>IF(ISERROR('SEAP template'!B78+'SEAP template'!C78),0,'SEAP template'!B78+'SEAP template'!C78)</f>
        <v>2106.3418565180318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26.735294117647058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0.21122056141675044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38.19327731092438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160.71428571428572</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973.99099999999999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0.21122056141675044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205.72692583486219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B32*B41</f>
        <v>2070.3248424854037</v>
      </c>
      <c r="F5" s="17">
        <f>B36*B45</f>
        <v>70669.287279788026</v>
      </c>
      <c r="G5" s="18"/>
      <c r="H5" s="17"/>
      <c r="I5" s="17"/>
      <c r="J5" s="17">
        <f>B35*B44+C35*C44</f>
        <v>1591.2931826025551</v>
      </c>
      <c r="K5" s="17"/>
      <c r="L5" s="17"/>
      <c r="M5" s="17"/>
      <c r="N5" s="17">
        <f>B34*B43+C34*C43</f>
        <v>7642.0927681480534</v>
      </c>
      <c r="O5" s="17">
        <f>B52*B53*B54</f>
        <v>46.9</v>
      </c>
      <c r="P5" s="17">
        <f>B60*B61*B62/1000-B60*B61*B62/1000/B63</f>
        <v>152.53333333333333</v>
      </c>
    </row>
    <row r="6" spans="1:16">
      <c r="A6" s="16" t="s">
        <v>615</v>
      </c>
      <c r="B6" s="766">
        <f>kWh_PV_kleiner_dan_10kW</f>
        <v>1325.583000830665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29039.454875383766</v>
      </c>
      <c r="C8" s="21">
        <f>C5</f>
        <v>0</v>
      </c>
      <c r="D8" s="21">
        <f>D5</f>
        <v>22922.321072360941</v>
      </c>
      <c r="E8" s="21">
        <f>E5</f>
        <v>2070.3248424854037</v>
      </c>
      <c r="F8" s="21">
        <f>F5</f>
        <v>70669.287279788026</v>
      </c>
      <c r="G8" s="21"/>
      <c r="H8" s="21"/>
      <c r="I8" s="21"/>
      <c r="J8" s="21">
        <f>J5</f>
        <v>1591.2931826025551</v>
      </c>
      <c r="K8" s="21"/>
      <c r="L8" s="21">
        <f>L5</f>
        <v>0</v>
      </c>
      <c r="M8" s="21">
        <f>M5</f>
        <v>0</v>
      </c>
      <c r="N8" s="21">
        <f>N5</f>
        <v>7642.0927681480534</v>
      </c>
      <c r="O8" s="21">
        <f>O5</f>
        <v>46.9</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0.21122056141675044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6133.7299620149497</v>
      </c>
      <c r="C12" s="23">
        <f ca="1">C10*C8</f>
        <v>0</v>
      </c>
      <c r="D12" s="23">
        <f>D8*D10</f>
        <v>4630.3088566169099</v>
      </c>
      <c r="E12" s="23">
        <f>E10*E8</f>
        <v>469.96373924418663</v>
      </c>
      <c r="F12" s="23">
        <f>F10*F8</f>
        <v>18868.699703703405</v>
      </c>
      <c r="G12" s="23"/>
      <c r="H12" s="23"/>
      <c r="I12" s="23"/>
      <c r="J12" s="23">
        <f>J10*J8</f>
        <v>563.31778664130445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5783</v>
      </c>
      <c r="C26" s="36"/>
      <c r="D26" s="226"/>
    </row>
    <row r="27" spans="1:5" s="15" customFormat="1">
      <c r="A27" s="228" t="s">
        <v>695</v>
      </c>
      <c r="B27" s="37">
        <f>SUM(HH_hh_gas_aantal,HH_rest_gas_aantal)</f>
        <v>1564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1485.8</v>
      </c>
      <c r="C31" s="34" t="s">
        <v>104</v>
      </c>
      <c r="D31" s="172"/>
    </row>
    <row r="32" spans="1:5">
      <c r="A32" s="169" t="s">
        <v>72</v>
      </c>
      <c r="B32" s="33">
        <f>IF((B21*($B$26-($B$27-0.05*$B$27)-$B$60))&lt;0,0,B21*($B$26-($B$27-0.05*$B$27)-$B$60))</f>
        <v>30.408577859232583</v>
      </c>
      <c r="C32" s="34" t="s">
        <v>104</v>
      </c>
      <c r="D32" s="172"/>
    </row>
    <row r="33" spans="1:6">
      <c r="A33" s="169" t="s">
        <v>73</v>
      </c>
      <c r="B33" s="33">
        <f>IF((B22*($B$26-($B$27-0.05*$B$27)-$B$60))&lt;0,0,B22*($B$26-($B$27-0.05*$B$27)-$B$60))</f>
        <v>871.50570422412852</v>
      </c>
      <c r="C33" s="34" t="s">
        <v>104</v>
      </c>
      <c r="D33" s="172"/>
    </row>
    <row r="34" spans="1:6">
      <c r="A34" s="169" t="s">
        <v>74</v>
      </c>
      <c r="B34" s="33">
        <f>IF((B24*($B$26-($B$27-0.05*$B$27)-$B$60))&lt;0,0,B24*($B$26-($B$27-0.05*$B$27)-$B$60))</f>
        <v>173.78744777267448</v>
      </c>
      <c r="C34" s="33">
        <f>B26*C24</f>
        <v>1182.4940459835855</v>
      </c>
      <c r="D34" s="231"/>
    </row>
    <row r="35" spans="1:6">
      <c r="A35" s="169" t="s">
        <v>76</v>
      </c>
      <c r="B35" s="33">
        <f>IF((B19*($B$26-($B$27-0.05*$B$27)-$B$60))&lt;0,0,B19*($B$26-($B$27-0.05*$B$27)-$B$60))</f>
        <v>90.501719819144597</v>
      </c>
      <c r="C35" s="33">
        <f>B35/2</f>
        <v>45.250859909572299</v>
      </c>
      <c r="D35" s="231"/>
    </row>
    <row r="36" spans="1:6">
      <c r="A36" s="169" t="s">
        <v>77</v>
      </c>
      <c r="B36" s="33">
        <f>IF((B18*($B$26-($B$27-0.05*$B$27)-$B$60))&lt;0,0,B18*($B$26-($B$27-0.05*$B$27)-$B$60))</f>
        <v>3122.9965503248195</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53</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52</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51</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50</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49</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54</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249</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483</v>
      </c>
      <c r="B13" s="244">
        <f ca="1">'lokale energieproductie'!N38+'lokale energieproductie'!N31</f>
        <v>112.5</v>
      </c>
      <c r="C13" s="244">
        <f ca="1">'lokale energieproductie'!O38+'lokale energieproductie'!O31</f>
        <v>160.71428571428572</v>
      </c>
      <c r="D13" s="304">
        <f ca="1">('lokale energieproductie'!P31+'lokale energieproductie'!P38)*(-1)</f>
        <v>-321.42857142857144</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0.21122056141675044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2145.3004450349376</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1436.755058090793</v>
      </c>
      <c r="C26" s="39">
        <f>IF(ISERROR(B26*3.6/1000000/'E Balans VL '!Z12*100),0,B26*3.6/1000000/'E Balans VL '!Z12*100)</f>
        <v>3.023412751860689E-2</v>
      </c>
      <c r="D26" s="234" t="s">
        <v>700</v>
      </c>
      <c r="F26" s="6"/>
    </row>
    <row r="27" spans="1:18">
      <c r="A27" s="229" t="s">
        <v>52</v>
      </c>
      <c r="B27" s="33">
        <f>IF(ISERROR(TER_horeca_ele_kWh/1000),0,TER_horeca_ele_kWh/1000)</f>
        <v>1131.6504697596702</v>
      </c>
      <c r="C27" s="39">
        <f>IF(ISERROR(B27*3.6/1000000/'E Balans VL '!Z9*100),0,B27*3.6/1000000/'E Balans VL '!Z9*100)</f>
        <v>9.581366536617919E-2</v>
      </c>
      <c r="D27" s="234" t="s">
        <v>700</v>
      </c>
      <c r="F27" s="6"/>
    </row>
    <row r="28" spans="1:18">
      <c r="A28" s="169" t="s">
        <v>51</v>
      </c>
      <c r="B28" s="33">
        <f>IF(ISERROR(TER_handel_ele_kWh/1000),0,TER_handel_ele_kWh/1000)</f>
        <v>3729.81546160569</v>
      </c>
      <c r="C28" s="39">
        <f>IF(ISERROR(B28*3.6/1000000/'E Balans VL '!Z13*100),0,B28*3.6/1000000/'E Balans VL '!Z13*100)</f>
        <v>0.10325942529923082</v>
      </c>
      <c r="D28" s="234" t="s">
        <v>700</v>
      </c>
      <c r="F28" s="6"/>
    </row>
    <row r="29" spans="1:18">
      <c r="A29" s="229" t="s">
        <v>50</v>
      </c>
      <c r="B29" s="33">
        <f>IF(ISERROR(TER_gezond_ele_kWh/1000),0,TER_gezond_ele_kWh/1000)</f>
        <v>1371.0416168593999</v>
      </c>
      <c r="C29" s="39">
        <f>IF(ISERROR(B29*3.6/1000000/'E Balans VL '!Z10*100),0,B29*3.6/1000000/'E Balans VL '!Z10*100)</f>
        <v>0.17822021042326236</v>
      </c>
      <c r="D29" s="234" t="s">
        <v>700</v>
      </c>
      <c r="F29" s="6"/>
    </row>
    <row r="30" spans="1:18">
      <c r="A30" s="229" t="s">
        <v>49</v>
      </c>
      <c r="B30" s="33">
        <f>IF(ISERROR(TER_ander_ele_kWh/1000),0,TER_ander_ele_kWh/1000)</f>
        <v>1151.501159777979</v>
      </c>
      <c r="C30" s="39">
        <f>IF(ISERROR(B30*3.6/1000000/'E Balans VL '!Z14*100),0,B30*3.6/1000000/'E Balans VL '!Z14*100)</f>
        <v>8.9251899955123212E-2</v>
      </c>
      <c r="D30" s="234" t="s">
        <v>700</v>
      </c>
      <c r="F30" s="6"/>
    </row>
    <row r="31" spans="1:18">
      <c r="A31" s="229" t="s">
        <v>54</v>
      </c>
      <c r="B31" s="33">
        <f>IF(ISERROR(TER_onderwijs_ele_kWh/1000),0,TER_onderwijs_ele_kWh/1000)</f>
        <v>78.977000000000004</v>
      </c>
      <c r="C31" s="39">
        <f>IF(ISERROR(B31*3.6/1000000/'E Balans VL '!Z11*100),0,B31*3.6/1000000/'E Balans VL '!Z11*100)</f>
        <v>1.5109645839601267E-2</v>
      </c>
      <c r="D31" s="234" t="s">
        <v>700</v>
      </c>
    </row>
    <row r="32" spans="1:18">
      <c r="A32" s="229" t="s">
        <v>249</v>
      </c>
      <c r="B32" s="33">
        <f>IF(ISERROR(TER_rest_ele_kWh/1000),0,TER_rest_ele_kWh/1000)</f>
        <v>1144.4429897181699</v>
      </c>
      <c r="C32" s="39">
        <f>IF(ISERROR(B32*3.6/1000000/'E Balans VL '!Z8*100),0,B32*3.6/1000000/'E Balans VL '!Z8*100)</f>
        <v>9.4368112858093586E-3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32</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40</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0.21122056141675044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363.38830457222269</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238.047</v>
      </c>
      <c r="C30" s="39">
        <f>IF(ISERROR(B30*3.6/1000000/'E Balans VL '!Z18*100),0,B30*3.6/1000000/'E Balans VL '!Z18*100)</f>
        <v>1.584693415367942E-2</v>
      </c>
      <c r="D30" s="234" t="s">
        <v>700</v>
      </c>
    </row>
    <row r="31" spans="1:18">
      <c r="A31" s="6" t="s">
        <v>32</v>
      </c>
      <c r="B31" s="37">
        <f>IF( ISERROR(IND_ander_ele_kWh/1000),0,IND_ander_ele_kWh/1000)</f>
        <v>737.78060202785798</v>
      </c>
      <c r="C31" s="39">
        <f>IF(ISERROR(B31*3.6/1000000/'E Balans VL '!Z19*100),0,B31*3.6/1000000/'E Balans VL '!Z19*100)</f>
        <v>3.2702890302580827E-2</v>
      </c>
      <c r="D31" s="234" t="s">
        <v>700</v>
      </c>
    </row>
    <row r="32" spans="1:18">
      <c r="A32" s="169" t="s">
        <v>40</v>
      </c>
      <c r="B32" s="37">
        <f>IF( ISERROR(IND_voed_ele_kWh/1000),0,IND_voed_ele_kWh/1000)</f>
        <v>187.65368235734201</v>
      </c>
      <c r="C32" s="39">
        <f>IF(ISERROR(B32*3.6/1000000/'E Balans VL '!Z20*100),0,B32*3.6/1000000/'E Balans VL '!Z20*100)</f>
        <v>6.2681712994791389E-3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556.93978700489299</v>
      </c>
      <c r="C37" s="39">
        <f>IF(ISERROR(B37*3.6/1000000/'E Balans VL '!Z15*100),0,B37*3.6/1000000/'E Balans VL '!Z15*100)</f>
        <v>4.1427246827908338E-3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1568.22330239861</v>
      </c>
      <c r="C5" s="17">
        <f>'Eigen informatie GS &amp; warmtenet'!B60</f>
        <v>0</v>
      </c>
      <c r="D5" s="30">
        <f>IF(ISERROR(SUM(LB_lb_gas_kWh,LB_rest_gas_kWh)/1000),0,SUM(LB_lb_gas_kWh,LB_rest_gas_kWh)/1000)*0.902</f>
        <v>12.989876615366663</v>
      </c>
      <c r="E5" s="17">
        <f>B17*'E Balans VL '!I25/3.6*1000000/100</f>
        <v>16.422773929218213</v>
      </c>
      <c r="F5" s="17">
        <f>B17*('E Balans VL '!L25/3.6*1000000+'E Balans VL '!N25/3.6*1000000)/100</f>
        <v>6713.1873309054072</v>
      </c>
      <c r="G5" s="18"/>
      <c r="H5" s="17"/>
      <c r="I5" s="17"/>
      <c r="J5" s="17">
        <f>('E Balans VL '!D25+'E Balans VL '!E25)/3.6*1000000*landbouw!B17/100</f>
        <v>140.05639712944966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1568.22330239861</v>
      </c>
      <c r="C8" s="21">
        <f>C5+C6</f>
        <v>0</v>
      </c>
      <c r="D8" s="21">
        <f>MAX((D5+D6),0)</f>
        <v>12.989876615366663</v>
      </c>
      <c r="E8" s="21">
        <f>MAX((E5+E6),0)</f>
        <v>16.422773929218213</v>
      </c>
      <c r="F8" s="21">
        <f>MAX((F5+F6),0)</f>
        <v>6713.1873309054072</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0.21122056141675044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331.24100635946479</v>
      </c>
      <c r="C12" s="23">
        <f ca="1">C8*C10</f>
        <v>0</v>
      </c>
      <c r="D12" s="23">
        <f>D8*D10</f>
        <v>2.6239550763040662</v>
      </c>
      <c r="E12" s="23">
        <f>E8*E10</f>
        <v>3.7279696819325343</v>
      </c>
      <c r="F12" s="23">
        <f>F8*F10</f>
        <v>1792.4210173517438</v>
      </c>
      <c r="G12" s="23"/>
      <c r="H12" s="23"/>
      <c r="I12" s="23"/>
      <c r="J12" s="23">
        <f>J8*J10</f>
        <v>49.579964583825181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0.24137983854315681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7.7018230891262034</v>
      </c>
      <c r="C26" s="244">
        <f>B26*'GWP N2O_CH4'!B5</f>
        <v>161.73828487165028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2.0868912178048649</v>
      </c>
      <c r="C27" s="244">
        <f>B27*'GWP N2O_CH4'!B5</f>
        <v>43.824715573902161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0.19211052390708899</v>
      </c>
      <c r="C28" s="244">
        <f>B28*'GWP N2O_CH4'!B4</f>
        <v>59.554262411197591</v>
      </c>
      <c r="D28" s="50"/>
    </row>
    <row r="29" spans="1:4">
      <c r="A29" s="41" t="s">
        <v>266</v>
      </c>
      <c r="B29" s="244">
        <f>B34*'ha_N2O bodem landbouw'!B4</f>
        <v>2.5281745247922824</v>
      </c>
      <c r="C29" s="244">
        <f>B29*'GWP N2O_CH4'!B4</f>
        <v>783.73410268560758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4.1781404449942608E-4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1.5544865494214746E-6</v>
      </c>
      <c r="C5" s="433" t="s">
        <v>204</v>
      </c>
      <c r="D5" s="418">
        <f>SUM(D6:D11)</f>
        <v>7.8572312927535751E-6</v>
      </c>
      <c r="E5" s="418">
        <f>SUM(E6:E11)</f>
        <v>7.7568269120955008E-4</v>
      </c>
      <c r="F5" s="431" t="s">
        <v>204</v>
      </c>
      <c r="G5" s="418">
        <f>SUM(G6:G11)</f>
        <v>0.11504961369412194</v>
      </c>
      <c r="H5" s="418">
        <f>SUM(H6:H11)</f>
        <v>2.4832546946723759E-2</v>
      </c>
      <c r="I5" s="433" t="s">
        <v>204</v>
      </c>
      <c r="J5" s="433" t="s">
        <v>204</v>
      </c>
      <c r="K5" s="433" t="s">
        <v>204</v>
      </c>
      <c r="L5" s="433" t="s">
        <v>204</v>
      </c>
      <c r="M5" s="418">
        <f>SUM(M6:M11)</f>
        <v>6.0991624040514858E-3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1.6015131484530663E-7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5.0707445198003824E-7</v>
      </c>
      <c r="E6" s="421">
        <f>vkm_GW_PW*SUMIFS(TableVerdeelsleutelVkm[LPG],TableVerdeelsleutelVkm[Voertuigtype],"Lichte voertuigen")*SUMIFS(TableECFTransport[EnergieConsumptieFactor (PJ per km)],TableECFTransport[Index],CONCATENATE($A6,"_LPG_LPG"))</f>
        <v>5.2841567227604735E-5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7.0385099277212645E-3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1.6885233337053675E-3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3.8092762673222057E-4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5.006057967130897E-9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2.256616609471828E-3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6.1097852549548453E-8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9.7215981922596574E-5</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1.3659583085262809E-6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7.3501568407735364E-6</v>
      </c>
      <c r="E8" s="421">
        <f>vkm_NGW_PW*SUMIFS(TableVerdeelsleutelVkm[LPG],TableVerdeelsleutelVkm[Voertuigtype],"Lichte voertuigen")*SUMIFS(TableECFTransport[EnergieConsumptieFactor (PJ per km)],TableECFTransport[Index],CONCATENATE($A8,"_LPG_LPG"))</f>
        <v>7.2284112398194537E-4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9.1161783384339543E-2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2.314361822758099E-2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4.9923613871923024E-3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2.3370868082756279E-8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1.4592703772589298E-2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3.4428758484994424E-7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6.2865740820436649E-4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0.43180181928374295</v>
      </c>
      <c r="C14" s="21"/>
      <c r="D14" s="21">
        <f t="shared" ref="D14:M14" si="0">((D5)*10^9/3600)+D12</f>
        <v>2.1825642479871044</v>
      </c>
      <c r="E14" s="21">
        <f t="shared" si="0"/>
        <v>215.46741422487503</v>
      </c>
      <c r="F14" s="21"/>
      <c r="G14" s="21">
        <f t="shared" si="0"/>
        <v>31958.226026144985</v>
      </c>
      <c r="H14" s="21">
        <f t="shared" si="0"/>
        <v>6897.9297074232663</v>
      </c>
      <c r="I14" s="21"/>
      <c r="J14" s="21"/>
      <c r="K14" s="21"/>
      <c r="L14" s="21"/>
      <c r="M14" s="21">
        <f t="shared" si="0"/>
        <v>1694.2117789031904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0.21122056141675044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9.1205422689886406E-2</v>
      </c>
      <c r="C18" s="23"/>
      <c r="D18" s="23">
        <f t="shared" ref="D18:M18" si="1">D14*D16</f>
        <v>0.44087797809339513</v>
      </c>
      <c r="E18" s="23">
        <f t="shared" si="1"/>
        <v>48.911103029046636</v>
      </c>
      <c r="F18" s="23"/>
      <c r="G18" s="23">
        <f t="shared" si="1"/>
        <v>8532.8463489807109</v>
      </c>
      <c r="H18" s="23">
        <f t="shared" si="1"/>
        <v>1717.5844971483932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1.4991711412110793E-5</v>
      </c>
      <c r="C50" s="315">
        <f t="shared" ref="C50:P50" si="2">SUM(C51:C52)</f>
        <v>0</v>
      </c>
      <c r="D50" s="315">
        <f t="shared" si="2"/>
        <v>0</v>
      </c>
      <c r="E50" s="315">
        <f t="shared" si="2"/>
        <v>0</v>
      </c>
      <c r="F50" s="315">
        <f t="shared" si="2"/>
        <v>0</v>
      </c>
      <c r="G50" s="315">
        <f t="shared" si="2"/>
        <v>3.252301276198371E-3</v>
      </c>
      <c r="H50" s="315">
        <f t="shared" si="2"/>
        <v>0</v>
      </c>
      <c r="I50" s="315">
        <f t="shared" si="2"/>
        <v>0</v>
      </c>
      <c r="J50" s="315">
        <f t="shared" si="2"/>
        <v>0</v>
      </c>
      <c r="K50" s="315">
        <f t="shared" si="2"/>
        <v>0</v>
      </c>
      <c r="L50" s="315">
        <f t="shared" si="2"/>
        <v>0</v>
      </c>
      <c r="M50" s="315">
        <f t="shared" si="2"/>
        <v>1.3925104774769917E-4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1.4991711412110793E-5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3.252301276198371E-3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1.3925104774769917E-4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4.1643642811418866</v>
      </c>
      <c r="C54" s="21">
        <f t="shared" ref="C54:P54" si="3">(C50)*10^9/3600</f>
        <v>0</v>
      </c>
      <c r="D54" s="21">
        <f t="shared" si="3"/>
        <v>0</v>
      </c>
      <c r="E54" s="21">
        <f t="shared" si="3"/>
        <v>0</v>
      </c>
      <c r="F54" s="21">
        <f t="shared" si="3"/>
        <v>0</v>
      </c>
      <c r="G54" s="21">
        <f t="shared" si="3"/>
        <v>903.41702116621411</v>
      </c>
      <c r="H54" s="21">
        <f t="shared" si="3"/>
        <v>0</v>
      </c>
      <c r="I54" s="21">
        <f t="shared" si="3"/>
        <v>0</v>
      </c>
      <c r="J54" s="21">
        <f t="shared" si="3"/>
        <v>0</v>
      </c>
      <c r="K54" s="21">
        <f t="shared" si="3"/>
        <v>0</v>
      </c>
      <c r="L54" s="21">
        <f t="shared" si="3"/>
        <v>0</v>
      </c>
      <c r="M54" s="21">
        <f t="shared" si="3"/>
        <v>38.680846596583102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0.21122056141675044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0.87959936140665163</v>
      </c>
      <c r="C58" s="23">
        <f t="shared" ref="C58:P58" ca="1" si="4">C54*C56</f>
        <v>0</v>
      </c>
      <c r="D58" s="23">
        <f t="shared" si="4"/>
        <v>0</v>
      </c>
      <c r="E58" s="23">
        <f t="shared" si="4"/>
        <v>0</v>
      </c>
      <c r="F58" s="23">
        <f t="shared" si="4"/>
        <v>0</v>
      </c>
      <c r="G58" s="23">
        <f t="shared" si="4"/>
        <v>241.21234465137917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1993.8418565180316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112.5</v>
      </c>
      <c r="C8" s="544">
        <f>B48</f>
        <v>132.35294117647058</v>
      </c>
      <c r="D8" s="963"/>
      <c r="E8" s="963">
        <f>E48</f>
        <v>0</v>
      </c>
      <c r="F8" s="964"/>
      <c r="G8" s="545"/>
      <c r="H8" s="963">
        <f>I48</f>
        <v>0</v>
      </c>
      <c r="I8" s="963">
        <f>G48+F48</f>
        <v>0</v>
      </c>
      <c r="J8" s="963">
        <f>H48+D48+C48</f>
        <v>0</v>
      </c>
      <c r="K8" s="963"/>
      <c r="L8" s="963"/>
      <c r="M8" s="963"/>
      <c r="N8" s="546"/>
      <c r="O8" s="547">
        <f>C8*$C$12+D8*$D$12+E8*$E$12+F8*$F$12+G8*$G$12+H8*$H$12+I8*$I$12+J8*$J$12</f>
        <v>26.735294117647058</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2106.3418565180318</v>
      </c>
      <c r="C10" s="556">
        <f t="shared" ref="C10:L10" si="0">SUM(C8:C9)</f>
        <v>132.35294117647058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26.735294117647058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160.71428571428572</v>
      </c>
      <c r="C17" s="568">
        <f>B49</f>
        <v>189.07563025210086</v>
      </c>
      <c r="D17" s="569"/>
      <c r="E17" s="569">
        <f>E49</f>
        <v>0</v>
      </c>
      <c r="F17" s="570"/>
      <c r="G17" s="571"/>
      <c r="H17" s="568">
        <f>I49</f>
        <v>0</v>
      </c>
      <c r="I17" s="569">
        <f>G49+F49</f>
        <v>0</v>
      </c>
      <c r="J17" s="569">
        <f>H49+D49+C49</f>
        <v>0</v>
      </c>
      <c r="K17" s="569"/>
      <c r="L17" s="569"/>
      <c r="M17" s="569"/>
      <c r="N17" s="959"/>
      <c r="O17" s="572">
        <f>C17*$C$22+E17*$E$22+H17*$H$22+I17*$I$22+J17*$J$22+D17*$D$22+F17*$F$22+G17*$G$22+K17*$K$22+L17*$L$22</f>
        <v>38.19327731092438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160.71428571428572</v>
      </c>
      <c r="C20" s="555">
        <f>SUM(C17:C19)</f>
        <v>189.07563025210086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38.19327731092438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24109</v>
      </c>
      <c r="C28" s="775">
        <v>3128</v>
      </c>
      <c r="D28" s="628"/>
      <c r="E28" s="627"/>
      <c r="F28" s="627"/>
      <c r="G28" s="627" t="s">
        <v>977</v>
      </c>
      <c r="H28" s="627" t="s">
        <v>978</v>
      </c>
      <c r="I28" s="627"/>
      <c r="J28" s="774"/>
      <c r="K28" s="774"/>
      <c r="L28" s="627" t="s">
        <v>979</v>
      </c>
      <c r="M28" s="627">
        <v>25</v>
      </c>
      <c r="N28" s="627">
        <v>112.5</v>
      </c>
      <c r="O28" s="627">
        <v>160.71428571428572</v>
      </c>
      <c r="P28" s="627">
        <v>321.42857142857144</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25</v>
      </c>
      <c r="N29" s="585">
        <f>SUM(N28:N28)</f>
        <v>112.5</v>
      </c>
      <c r="O29" s="585">
        <f>SUM(O28:O28)</f>
        <v>160.71428571428572</v>
      </c>
      <c r="P29" s="585">
        <f>SUM(P28:P28)</f>
        <v>321.42857142857144</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25</v>
      </c>
      <c r="N31" s="585">
        <f ca="1">SUMIF($Z$28:AD28,"tertiair",N28:N28)</f>
        <v>112.5</v>
      </c>
      <c r="O31" s="585">
        <f ca="1">SUMIF($Z$28:AE28,"tertiair",O28:O28)</f>
        <v>160.71428571428572</v>
      </c>
      <c r="P31" s="585">
        <f ca="1">SUMIF($Z$28:AF28,"tertiair",P28:P28)</f>
        <v>321.42857142857144</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132.35294117647058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189.07563025210086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2021-11-11T13:44:35Z</dcterms:modified>
</cp:coreProperties>
</file>