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1000713-7B1A-40CD-83DA-A8B79944901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L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3" i="13"/>
  <c r="B32" i="13"/>
  <c r="B35" i="13"/>
  <c r="C35" i="13" s="1"/>
  <c r="B34"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I20" i="15" s="1"/>
  <c r="J40" i="14" s="1"/>
  <c r="J46" i="14" s="1"/>
  <c r="J61" i="14"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J16" i="14" s="1"/>
  <c r="J27" i="14" s="1"/>
  <c r="J63" i="14" s="1"/>
  <c r="K5" i="48"/>
  <c r="L10" i="14"/>
  <c r="L16" i="14" s="1"/>
  <c r="L27" i="14" s="1"/>
  <c r="L46" i="14"/>
  <c r="L61" i="14" s="1"/>
  <c r="Q11" i="48"/>
  <c r="P22" i="16"/>
  <c r="Q43" i="14" s="1"/>
  <c r="P8" i="48"/>
  <c r="P26" i="48" s="1"/>
  <c r="Q13" i="14"/>
  <c r="Q16" i="14" s="1"/>
  <c r="Q27"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<sst xmlns="http://schemas.openxmlformats.org/spreadsheetml/2006/main" count="2574" uniqueCount="980">
  <si>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</si>
  <si>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</si>
  <si>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</si>
  <si>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</si>
  <si>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</si>
  <si>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</si>
  <si>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</si>
  <si>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</si>
  <si>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</si>
  <si>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</si>
  <si>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</si>
  <si>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</si>
  <si>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</si>
  <si>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</si>
  <si>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</si>
  <si>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</si>
  <si>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</si>
  <si>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</si>
  <si>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</si>
  <si>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</si>
  <si>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</si>
  <si>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</si>
  <si>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</si>
  <si>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</si>
  <si>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</si>
  <si>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</si>
  <si>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</si>
  <si>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</si>
  <si>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</si>
  <si>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</si>
  <si>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</si>
  <si>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</si>
  <si>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</si>
  <si>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</si>
  <si>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</si>
  <si>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</si>
  <si>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</si>
  <si>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</si>
  <si>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</si>
  <si>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</si>
  <si>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</si>
  <si>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</si>
  <si>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</si>
  <si>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</si>
  <si>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</si>
  <si>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</si>
  <si>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</si>
  <si>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</si>
  <si>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</si>
  <si>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</si>
  <si>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</si>
  <si>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</si>
  <si>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</si>
  <si>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</si>
  <si>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</si>
  <si>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</si>
  <si>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</si>
  <si>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</si>
  <si>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</si>
  <si>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</si>
  <si>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</si>
  <si>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</si>
  <si>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</si>
  <si>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</si>
  <si>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</si>
  <si>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</si>
  <si>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</si>
  <si>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</si>
  <si>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</si>
  <si>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</si>
  <si>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</si>
  <si>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</si>
  <si>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</si>
  <si>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</si>
  <si>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</si>
  <si>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</si>
  <si>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</si>
  <si>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</si>
  <si>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</si>
  <si>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</si>
  <si>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</si>
  <si>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</si>
  <si>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</si>
  <si>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</si>
  <si>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</si>
  <si>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</si>
  <si>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</si>
  <si>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</si>
  <si>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</si>
  <si>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</si>
  <si>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</si>
  <si>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</si>
  <si>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</si>
  <si>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</si>
  <si>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</si>
  <si>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</si>
  <si>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</si>
  <si>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</si>
  <si>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</si>
  <si>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</si>
  <si>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</si>
  <si>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</si>
  <si>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</si>
  <si>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</si>
  <si>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</si>
  <si>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</si>
  <si>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</si>
  <si>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</si>
  <si>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</si>
  <si>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</si>
  <si>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</si>
  <si>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</si>
  <si>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</si>
  <si>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</si>
  <si>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</si>
  <si>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</si>
  <si>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</si>
  <si>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</si>
  <si>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</si>
  <si>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</si>
  <si>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</si>
  <si>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</si>
  <si>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</si>
  <si>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</si>
  <si>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</si>
  <si>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</si>
  <si>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</si>
  <si>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</si>
  <si>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</si>
  <si>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</si>
  <si>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</si>
  <si>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</si>
  <si>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</si>
  <si>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</si>
  <si>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</si>
  <si>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</si>
  <si>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</si>
  <si>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</si>
  <si>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</si>
  <si>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</si>
  <si>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</si>
  <si>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</si>
  <si>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</si>
  <si>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</si>
  <si>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</si>
  <si>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</si>
  <si>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</si>
  <si>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</si>
  <si>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</si>
  <si>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</si>
  <si>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</si>
  <si>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</si>
  <si>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</si>
  <si>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</si>
  <si>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</si>
  <si>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</si>
  <si>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</si>
  <si>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</si>
  <si>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</si>
  <si>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</si>
  <si>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</si>
  <si>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</si>
  <si>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</si>
  <si>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</si>
  <si>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</si>
  <si>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</si>
  <si>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</si>
  <si>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</si>
  <si>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</si>
  <si>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</si>
  <si>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</si>
  <si>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</si>
  <si>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</si>
  <si>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</si>
  <si>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</si>
  <si>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</si>
  <si>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</si>
  <si>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</si>
  <si>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</si>
  <si>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</si>
  <si>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</si>
  <si>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</si>
  <si>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</si>
  <si>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</si>
  <si>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</si>
  <si>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</si>
  <si>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</si>
  <si>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</si>
  <si>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</si>
  <si>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</si>
  <si>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</si>
  <si>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</si>
  <si>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</si>
  <si>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</si>
  <si>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</si>
  <si>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</si>
  <si>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</si>
  <si>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</si>
  <si>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</si>
  <si>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</si>
  <si>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</si>
  <si>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</si>
  <si>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</si>
  <si>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</si>
  <si>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</si>
  <si>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</si>
  <si>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</si>
  <si>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</si>
  <si>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</si>
  <si>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</si>
  <si>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</si>
  <si>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</si>
  <si>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</si>
  <si>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</si>
  <si>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</si>
  <si>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</si>
  <si>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</si>
  <si>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</si>
  <si>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</si>
  <si>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</si>
  <si>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</si>
  <si>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</si>
  <si>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</si>
  <si>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</si>
  <si>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</si>
  <si>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</si>
  <si>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</si>
  <si>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</si>
  <si>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</si>
  <si>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</si>
  <si>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</si>
  <si>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</si>
  <si>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</si>
  <si>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</si>
  <si>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</si>
  <si>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</si>
  <si>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</si>
  <si>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</si>
  <si>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</si>
  <si>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</si>
  <si>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</si>
  <si>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</si>
  <si>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</si>
  <si>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</si>
  <si>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</si>
  <si>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</si>
  <si>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</si>
  <si>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</si>
  <si>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</si>
  <si>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</si>
  <si>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</si>
  <si>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</si>
  <si>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</si>
  <si>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</si>
  <si>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</si>
  <si>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</si>
  <si>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</si>
  <si>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</si>
  <si>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</si>
  <si>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</si>
  <si>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</si>
  <si>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</si>
  <si>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</si>
  <si>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</si>
  <si>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</si>
  <si>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</si>
  <si>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</si>
  <si>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</si>
  <si>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</si>
  <si>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</si>
  <si>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</si>
  <si>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</si>
  <si>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</si>
  <si>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</si>
  <si>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</si>
  <si>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</si>
  <si>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</si>
  <si>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</si>
  <si>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</si>
  <si>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</si>
  <si>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</si>
  <si>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</si>
  <si>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</si>
  <si>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</si>
  <si>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</si>
  <si>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</si>
  <si>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</si>
  <si>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</si>
  <si>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</si>
  <si>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</si>
  <si>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</si>
  <si>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</si>
  <si>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</si>
  <si>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</si>
  <si>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</si>
  <si>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</si>
  <si>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</si>
  <si>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</si>
  <si>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</si>
  <si>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</si>
  <si>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</si>
  <si>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</si>
  <si>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</si>
  <si>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</si>
  <si>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</si>
  <si>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</si>
  <si>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</si>
  <si>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</si>
  <si>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</si>
  <si>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</si>
  <si>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</si>
  <si>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</si>
  <si>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</si>
  <si>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</si>
  <si>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</si>
  <si>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</si>
  <si>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</si>
  <si>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</si>
  <si>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</si>
  <si>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</si>
  <si>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</si>
  <si>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</si>
  <si>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</si>
  <si>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</si>
  <si>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</si>
  <si>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</si>
  <si>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</si>
  <si>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</si>
  <si>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</si>
  <si>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</si>
  <si>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</si>
  <si>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</si>
  <si>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</si>
  <si>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</si>
  <si>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</si>
  <si>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</si>
  <si>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</si>
  <si>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</si>
  <si>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</si>
  <si>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</si>
  <si>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</si>
  <si>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</si>
  <si>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</si>
  <si>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</si>
  <si>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</si>
  <si>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</si>
  <si>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</si>
  <si>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</si>
  <si>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</si>
  <si>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</si>
  <si>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</si>
  <si>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</si>
  <si>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</si>
  <si>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</si>
  <si>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</si>
  <si>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</si>
  <si>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</si>
  <si>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</si>
  <si>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</si>
  <si>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</si>
  <si>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</si>
  <si>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</si>
  <si>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</si>
  <si>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</si>
  <si>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</si>
  <si>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</si>
  <si>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</si>
  <si>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</si>
  <si>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</si>
  <si>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</si>
  <si>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</si>
  <si>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</si>
  <si>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</si>
  <si>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</si>
  <si>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</si>
  <si>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</si>
  <si>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</si>
  <si>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</si>
  <si>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</si>
  <si>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</si>
  <si>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</si>
  <si>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</si>
  <si>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</si>
  <si>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</si>
  <si>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</si>
  <si>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</si>
  <si>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</si>
  <si>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</si>
  <si>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</si>
  <si>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</si>
  <si>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</si>
  <si>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</si>
  <si>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</si>
  <si>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</si>
  <si>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</si>
  <si>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</si>
  <si>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</si>
  <si>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</si>
  <si>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</si>
  <si>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</si>
  <si>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</si>
  <si>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</si>
  <si>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</si>
  <si>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</si>
  <si>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</si>
  <si>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</si>
  <si>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</si>
  <si>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</si>
  <si>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</si>
  <si>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</si>
  <si>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</si>
  <si>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</si>
  <si>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</si>
  <si>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</si>
  <si>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</si>
  <si>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</si>
  <si>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</si>
  <si>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</si>
  <si>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</si>
  <si>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</si>
  <si>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</si>
  <si>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</si>
  <si>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</si>
  <si>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</si>
  <si>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</si>
  <si>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</si>
  <si>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</si>
  <si>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</si>
  <si>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</si>
  <si>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</si>
  <si>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</si>
  <si>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</si>
  <si>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</si>
  <si>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</si>
  <si>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</si>
  <si>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</si>
  <si>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</si>
  <si>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</si>
  <si>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</si>
  <si>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</si>
  <si>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</si>
  <si>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</si>
  <si>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</si>
  <si>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</si>
  <si>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</si>
  <si>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</si>
  <si>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</si>
  <si>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</si>
  <si>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</si>
  <si>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</si>
  <si>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</si>
  <si>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</si>
  <si>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</si>
  <si>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</si>
  <si>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</si>
  <si>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</si>
  <si>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</si>
  <si>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</si>
  <si>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</si>
  <si>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</si>
  <si>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</si>
  <si>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</si>
  <si>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</si>
  <si>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</si>
  <si>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</si>
  <si>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</si>
  <si>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</si>
  <si>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</si>
  <si>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</si>
  <si>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</si>
  <si>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</si>
  <si>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</si>
  <si>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</si>
  <si>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</si>
  <si>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</si>
  <si>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</si>
  <si>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</si>
  <si>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</si>
  <si>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</si>
  <si>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</si>
  <si>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</si>
  <si>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</si>
  <si>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</si>
  <si>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</si>
  <si>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</si>
  <si>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</si>
  <si>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</si>
  <si>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</si>
  <si>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</si>
  <si>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</si>
  <si>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</si>
  <si>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</si>
  <si>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</si>
  <si>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</si>
  <si>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</si>
  <si>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</si>
  <si>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</si>
  <si>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</si>
  <si>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</si>
  <si>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</si>
  <si>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</si>
  <si>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</si>
  <si>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</si>
  <si>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</si>
  <si>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</si>
  <si>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</si>
  <si>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</si>
  <si>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</si>
  <si>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</si>
  <si>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</si>
  <si>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</si>
  <si>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</si>
  <si>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</si>
  <si>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</si>
  <si>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</si>
  <si>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</si>
  <si>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</si>
  <si>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</si>
  <si>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</si>
  <si>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</si>
  <si>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</si>
  <si>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</si>
  <si>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</si>
  <si>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</si>
  <si>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</si>
  <si>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</si>
  <si>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</si>
  <si>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</si>
  <si>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</si>
  <si>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</si>
  <si>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</si>
  <si>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</si>
  <si>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</si>
  <si>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</si>
  <si>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</si>
  <si>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</si>
  <si>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</si>
  <si>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</si>
  <si>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</si>
  <si>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</si>
  <si>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</si>
  <si>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</si>
  <si>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</si>
  <si>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</si>
  <si>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</si>
  <si>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</si>
  <si>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</si>
  <si>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</si>
  <si>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</si>
  <si>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</si>
  <si>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</si>
  <si>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</si>
  <si>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</si>
  <si>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</si>
  <si>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</si>
  <si>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</si>
  <si>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</si>
  <si>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</si>
  <si>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</si>
  <si>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</si>
  <si>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</si>
  <si>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</si>
  <si>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</si>
  <si>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</si>
  <si>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</si>
  <si>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</si>
  <si>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</si>
  <si>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</si>
  <si>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</si>
  <si>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</si>
  <si>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</si>
  <si>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</si>
  <si>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</si>
  <si>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</si>
  <si>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</si>
  <si>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</si>
  <si>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</si>
  <si>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</si>
  <si>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</si>
  <si>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</si>
  <si>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</si>
  <si>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</si>
  <si>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</si>
  <si>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</si>
  <si>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</si>
  <si>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</si>
  <si>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</si>
  <si>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</si>
  <si>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</si>
  <si>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</si>
  <si>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</si>
  <si>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</si>
  <si>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</si>
  <si>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</si>
  <si>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</si>
  <si>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</si>
  <si>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</si>
  <si>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</si>
  <si>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</si>
  <si>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</si>
  <si>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</si>
  <si>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</si>
  <si>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</si>
  <si>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</si>
  <si>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</si>
  <si>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</si>
  <si>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</si>
  <si>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</si>
  <si>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</si>
  <si>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</si>
  <si>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</si>
  <si>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</si>
  <si>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</si>
  <si>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</si>
  <si>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</si>
  <si>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</si>
  <si>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</si>
  <si>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</si>
  <si>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</si>
  <si>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</si>
  <si>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</si>
  <si>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</si>
  <si>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</si>
  <si>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</si>
  <si>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</si>
  <si>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</si>
  <si>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</si>
  <si>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</si>
  <si>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</si>
  <si>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</si>
  <si>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</si>
  <si>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</si>
  <si>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</si>
  <si>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</si>
  <si>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</si>
  <si>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</si>
  <si>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</si>
  <si>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</si>
  <si>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</si>
  <si>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</si>
  <si>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</si>
  <si>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</si>
  <si>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</si>
  <si>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</si>
  <si>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</si>
  <si>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</si>
  <si>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</si>
  <si>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</si>
  <si>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</si>
  <si>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</si>
  <si>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</si>
  <si>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</si>
  <si>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</si>
  <si>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</si>
  <si>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</si>
  <si>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</si>
  <si>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</si>
  <si>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</si>
  <si>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</si>
  <si>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</si>
  <si>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</si>
  <si>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</si>
  <si>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</si>
  <si>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</si>
  <si>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</si>
  <si>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</si>
  <si>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</si>
  <si>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</si>
  <si>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</si>
  <si>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</si>
  <si>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</si>
  <si>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</si>
  <si>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</si>
  <si>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</si>
  <si>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</si>
  <si>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</si>
  <si>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</si>
  <si>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</si>
  <si>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</si>
  <si>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</si>
  <si>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</si>
  <si>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</si>
  <si>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</si>
  <si>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</si>
  <si>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</si>
  <si>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</si>
  <si>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</si>
  <si>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</si>
  <si>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</si>
  <si>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</si>
  <si>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</si>
  <si>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</si>
  <si>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</si>
  <si>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</si>
  <si>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</si>
  <si>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</si>
  <si>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</si>
  <si>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</si>
  <si>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</si>
  <si>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</si>
  <si>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</si>
  <si>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</si>
  <si>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</si>
  <si>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</si>
  <si>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</si>
  <si>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</si>
  <si>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</si>
  <si>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</si>
  <si>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</si>
  <si>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</si>
  <si>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</si>
  <si>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</si>
  <si>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</si>
  <si>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</si>
  <si>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</si>
  <si>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</si>
  <si>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</si>
  <si>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</si>
  <si>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</si>
  <si>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</si>
  <si>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</si>
  <si>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</si>
  <si>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</si>
  <si>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</si>
  <si>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</si>
  <si>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</si>
  <si>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</si>
  <si>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</si>
  <si>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</si>
  <si>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</si>
  <si>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</si>
  <si>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</si>
  <si>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</si>
  <si>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</si>
  <si>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</si>
  <si>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</si>
  <si>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</si>
  <si>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</si>
  <si>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</si>
  <si>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</si>
  <si>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</si>
  <si>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</si>
  <si>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</si>
  <si>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</si>
  <si>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</si>
  <si>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</si>
  <si>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</si>
  <si>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</si>
  <si>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</si>
  <si>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</si>
  <si>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</si>
  <si>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</si>
  <si>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</si>
  <si>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</si>
  <si>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</si>
  <si>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</si>
  <si>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</si>
  <si>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</si>
  <si>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</si>
  <si>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</si>
  <si>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</si>
  <si>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</si>
  <si>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</si>
  <si>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</si>
  <si>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</si>
  <si>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</si>
  <si>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</si>
  <si>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</si>
  <si>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</si>
  <si>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</si>
  <si>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</si>
  <si>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</si>
  <si>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</si>
  <si>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</si>
  <si>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</si>
  <si>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</si>
  <si>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</si>
  <si>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</si>
  <si>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</si>
  <si>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</si>
  <si>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</si>
  <si>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</si>
  <si>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</si>
  <si>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</si>
  <si>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</si>
  <si>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</si>
  <si>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</si>
  <si>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</si>
  <si>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</si>
  <si>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</si>
  <si>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</si>
  <si>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</si>
  <si>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</si>
  <si>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</si>
  <si>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</si>
  <si>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</si>
  <si>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</si>
  <si>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</si>
  <si>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</si>
  <si>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</si>
  <si>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</si>
  <si>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</si>
  <si>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</si>
  <si>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</si>
  <si>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</si>
  <si>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</si>
  <si>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</si>
  <si>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</si>
  <si>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</si>
  <si>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</si>
  <si>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</si>
  <si>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</si>
  <si>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</si>
  <si>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</si>
  <si>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</si>
  <si>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</si>
  <si>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</si>
  <si>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</si>
  <si>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</si>
  <si>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</si>
  <si>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</si>
  <si>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</si>
  <si>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</si>
  <si>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</si>
  <si>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</si>
  <si>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</si>
  <si>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</si>
  <si>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</si>
  <si>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</si>
  <si>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</si>
  <si>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</si>
  <si>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</si>
  <si>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</si>
  <si>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</si>
  <si>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</si>
  <si>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</si>
  <si>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</si>
  <si>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</si>
  <si>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</si>
  <si>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</si>
  <si>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</si>
  <si>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</si>
  <si>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</si>
  <si>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</si>
  <si>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</si>
  <si>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</si>
  <si>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</si>
  <si>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</si>
  <si>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</si>
  <si>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</si>
  <si>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</si>
  <si>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</si>
  <si>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</si>
  <si>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</si>
  <si>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</si>
  <si>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</si>
  <si>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</si>
  <si>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</si>
  <si>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</si>
  <si>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</si>
  <si>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</si>
  <si>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</si>
  <si>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</si>
  <si>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</si>
  <si>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</si>
  <si>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</si>
  <si>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</si>
  <si>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</si>
  <si>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</si>
  <si>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</si>
  <si>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</si>
  <si>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</si>
  <si>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</si>
  <si>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</si>
  <si>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</si>
  <si>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</si>
  <si>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</si>
  <si>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</si>
  <si>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</si>
  <si>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</si>
  <si>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</si>
  <si>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</si>
  <si>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</si>
  <si>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</si>
  <si>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</si>
  <si>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</si>
  <si>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</si>
  <si>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</si>
  <si>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</si>
  <si>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</si>
  <si>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</si>
  <si>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</si>
  <si>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</si>
  <si>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</si>
  <si>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</si>
  <si>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</si>
  <si>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</si>
  <si>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</si>
  <si>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</si>
  <si>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</si>
  <si>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</si>
  <si>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</si>
  <si>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</si>
  <si>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</si>
  <si>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</si>
  <si>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</si>
  <si>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</si>
  <si>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</si>
  <si>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</si>
  <si>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</si>
  <si>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</si>
  <si>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</si>
  <si>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</si>
  <si>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</si>
  <si>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</si>
  <si>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</si>
  <si>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</si>
  <si>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</si>
  <si>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</si>
  <si>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</si>
  <si>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</si>
  <si>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</si>
  <si>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</si>
  <si>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</si>
  <si>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</si>
  <si>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</si>
  <si>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</si>
  <si>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</si>
  <si>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</si>
  <si>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</si>
  <si>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</si>
  <si>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</si>
  <si>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</si>
  <si>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</si>
  <si>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</si>
  <si>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</si>
  <si>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</si>
  <si>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</si>
  <si>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</si>
  <si>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</si>
  <si>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</si>
  <si>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</si>
  <si>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</si>
  <si>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</si>
  <si>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</si>
  <si>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</si>
  <si>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</si>
  <si>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</si>
  <si>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</si>
  <si>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</si>
  <si>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</si>
  <si>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</si>
  <si>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</si>
  <si>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</si>
  <si>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</si>
  <si>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</si>
  <si>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</si>
  <si>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</si>
  <si>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</si>
  <si>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</si>
  <si>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</si>
  <si>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</si>
  <si>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</si>
  <si>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</si>
  <si>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</si>
  <si>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</si>
  <si>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</si>
  <si>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</si>
  <si>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</si>
  <si>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</si>
  <si>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23094</t>
  </si>
  <si>
    <t>ZAVENTEM</t>
  </si>
  <si>
    <t>Paarden&amp;pony's 200 - 600 kg</t>
  </si>
  <si>
    <t>Paarden&amp;pony's &lt; 200 kg</t>
  </si>
  <si>
    <t>Fluvius</t>
  </si>
  <si>
    <t xml:space="preserve">Bron: </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</si>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</sst>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C2BA453-46C2-4B4F-832F-B5704E36743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23094</v>
      </c>
      <c r="B6" s="384"/>
      <c r="C6" s="385"/>
    </row>
    <row r="7" spans="1:7" s="382" customFormat="1" ht="15.75" customHeight="1">
      <c r="A7" s="386" t="str">
        <f>txtMunicipality</f>
        <v>ZAVENTEM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226586.01856752462</v>
      </c>
      <c r="D10" s="674">
        <f ca="1">tertiair!C16</f>
        <v>381.42857142857144</v>
      </c>
      <c r="E10" s="674">
        <f ca="1">tertiair!D16</f>
        <v>112841.07559485598</v>
      </c>
      <c r="F10" s="674">
        <f>tertiair!E16</f>
        <v>6010.0141562398912</v>
      </c>
      <c r="G10" s="674">
        <f ca="1">tertiair!F16</f>
        <v>36283.690518885385</v>
      </c>
      <c r="H10" s="674">
        <f>tertiair!G16</f>
        <v>0</v>
      </c>
      <c r="I10" s="674">
        <f>tertiair!H16</f>
        <v>0</v>
      </c>
      <c r="J10" s="674">
        <f>tertiair!I16</f>
        <v>0</v>
      </c>
      <c r="K10" s="674">
        <f>tertiair!J16</f>
        <v>0</v>
      </c>
      <c r="L10" s="674">
        <f>tertiair!K16</f>
        <v>0</v>
      </c>
      <c r="M10" s="674">
        <f ca="1">tertiair!L16</f>
        <v>0</v>
      </c>
      <c r="N10" s="674">
        <f>tertiair!M16</f>
        <v>0</v>
      </c>
      <c r="O10" s="674">
        <f ca="1">tertiair!N16</f>
        <v>2572.307889233638</v>
      </c>
      <c r="P10" s="674">
        <f>tertiair!O16</f>
        <v>1.5633333333333335</v>
      </c>
      <c r="Q10" s="675">
        <f>tertiair!P16</f>
        <v>38.133333333333333</v>
      </c>
      <c r="R10" s="677">
        <f ca="1">SUM(C10:Q10)</f>
        <v>384714.23196483479</v>
      </c>
      <c r="S10" s="67"/>
    </row>
    <row r="11" spans="1:19" s="443" customFormat="1">
      <c r="A11" s="789" t="s">
        <v>214</v>
      </c>
      <c r="B11" s="794"/>
      <c r="C11" s="674">
        <f>huishoudens!B8</f>
        <v>51293.845288072473</v>
      </c>
      <c r="D11" s="674">
        <f>huishoudens!C8</f>
        <v>0</v>
      </c>
      <c r="E11" s="674">
        <f>huishoudens!D8</f>
        <v>159498.10675120057</v>
      </c>
      <c r="F11" s="674">
        <f>huishoudens!E8</f>
        <v>1683.5749170817321</v>
      </c>
      <c r="G11" s="674">
        <f>huishoudens!F8</f>
        <v>57467.812311745016</v>
      </c>
      <c r="H11" s="674">
        <f>huishoudens!G8</f>
        <v>0</v>
      </c>
      <c r="I11" s="674">
        <f>huishoudens!H8</f>
        <v>0</v>
      </c>
      <c r="J11" s="674">
        <f>huishoudens!I8</f>
        <v>0</v>
      </c>
      <c r="K11" s="674">
        <f>huishoudens!J8</f>
        <v>1294.0294358525098</v>
      </c>
      <c r="L11" s="674">
        <f>huishoudens!K8</f>
        <v>0</v>
      </c>
      <c r="M11" s="674">
        <f>huishoudens!L8</f>
        <v>0</v>
      </c>
      <c r="N11" s="674">
        <f>huishoudens!M8</f>
        <v>0</v>
      </c>
      <c r="O11" s="674">
        <f>huishoudens!N8</f>
        <v>15097.71497507829</v>
      </c>
      <c r="P11" s="674">
        <f>huishoudens!O8</f>
        <v>54.716666666666669</v>
      </c>
      <c r="Q11" s="675">
        <f>huishoudens!P8</f>
        <v>133.46666666666667</v>
      </c>
      <c r="R11" s="677">
        <f>SUM(C11:Q11)</f>
        <v>286523.26701236394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37668.453138775832</v>
      </c>
      <c r="D13" s="674">
        <f>industrie!C18</f>
        <v>0</v>
      </c>
      <c r="E13" s="674">
        <f>industrie!D18</f>
        <v>25697.836427754679</v>
      </c>
      <c r="F13" s="674">
        <f>industrie!E18</f>
        <v>422.45998660116499</v>
      </c>
      <c r="G13" s="674">
        <f>industrie!F18</f>
        <v>13247.901221103055</v>
      </c>
      <c r="H13" s="674">
        <f>industrie!G18</f>
        <v>0</v>
      </c>
      <c r="I13" s="674">
        <f>industrie!H18</f>
        <v>0</v>
      </c>
      <c r="J13" s="674">
        <f>industrie!I18</f>
        <v>0</v>
      </c>
      <c r="K13" s="674">
        <f>industrie!J18</f>
        <v>407.2254158394876</v>
      </c>
      <c r="L13" s="674">
        <f>industrie!K18</f>
        <v>0</v>
      </c>
      <c r="M13" s="674">
        <f>industrie!L18</f>
        <v>0</v>
      </c>
      <c r="N13" s="674">
        <f>industrie!M18</f>
        <v>0</v>
      </c>
      <c r="O13" s="674">
        <f>industrie!N18</f>
        <v>1113.9586816310975</v>
      </c>
      <c r="P13" s="674">
        <f>industrie!O18</f>
        <v>0</v>
      </c>
      <c r="Q13" s="675">
        <f>industrie!P18</f>
        <v>0</v>
      </c>
      <c r="R13" s="677">
        <f>SUM(C13:Q13)</f>
        <v>78557.834871705316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315548.31699437293</v>
      </c>
      <c r="D16" s="707">
        <f t="shared" ref="D16:R16" ca="1" si="0">SUM(D9:D15)</f>
        <v>381.42857142857144</v>
      </c>
      <c r="E16" s="707">
        <f t="shared" ca="1" si="0"/>
        <v>298037.01877381123</v>
      </c>
      <c r="F16" s="707">
        <f t="shared" si="0"/>
        <v>8116.0490599227887</v>
      </c>
      <c r="G16" s="707">
        <f t="shared" ca="1" si="0"/>
        <v>106999.40405173345</v>
      </c>
      <c r="H16" s="707">
        <f t="shared" si="0"/>
        <v>0</v>
      </c>
      <c r="I16" s="707">
        <f t="shared" si="0"/>
        <v>0</v>
      </c>
      <c r="J16" s="707">
        <f t="shared" si="0"/>
        <v>0</v>
      </c>
      <c r="K16" s="707">
        <f t="shared" si="0"/>
        <v>1701.2548516919974</v>
      </c>
      <c r="L16" s="707">
        <f t="shared" si="0"/>
        <v>0</v>
      </c>
      <c r="M16" s="707">
        <f t="shared" ca="1" si="0"/>
        <v>0</v>
      </c>
      <c r="N16" s="707">
        <f t="shared" si="0"/>
        <v>0</v>
      </c>
      <c r="O16" s="707">
        <f t="shared" ca="1" si="0"/>
        <v>18783.981545943025</v>
      </c>
      <c r="P16" s="707">
        <f t="shared" si="0"/>
        <v>56.28</v>
      </c>
      <c r="Q16" s="707">
        <f t="shared" si="0"/>
        <v>171.6</v>
      </c>
      <c r="R16" s="707">
        <f t="shared" ca="1" si="0"/>
        <v>749795.333848904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47.177299069248569</v>
      </c>
      <c r="D19" s="674">
        <f>transport!C54</f>
        <v>0</v>
      </c>
      <c r="E19" s="674">
        <f>transport!D54</f>
        <v>0</v>
      </c>
      <c r="F19" s="674">
        <f>transport!E54</f>
        <v>0</v>
      </c>
      <c r="G19" s="674">
        <f>transport!F54</f>
        <v>0</v>
      </c>
      <c r="H19" s="674">
        <f>transport!G54</f>
        <v>10234.641379673287</v>
      </c>
      <c r="I19" s="674">
        <f>transport!H54</f>
        <v>0</v>
      </c>
      <c r="J19" s="674">
        <f>transport!I54</f>
        <v>0</v>
      </c>
      <c r="K19" s="674">
        <f>transport!J54</f>
        <v>0</v>
      </c>
      <c r="L19" s="674">
        <f>transport!K54</f>
        <v>0</v>
      </c>
      <c r="M19" s="674">
        <f>transport!L54</f>
        <v>0</v>
      </c>
      <c r="N19" s="674">
        <f>transport!M54</f>
        <v>438.20803007136129</v>
      </c>
      <c r="O19" s="674">
        <f>transport!N54</f>
        <v>0</v>
      </c>
      <c r="P19" s="674">
        <f>transport!O54</f>
        <v>0</v>
      </c>
      <c r="Q19" s="675">
        <f>transport!P54</f>
        <v>0</v>
      </c>
      <c r="R19" s="677">
        <f>SUM(C19:Q19)</f>
        <v>10720.026708813895</v>
      </c>
      <c r="S19" s="67"/>
    </row>
    <row r="20" spans="1:19" s="443" customFormat="1">
      <c r="A20" s="789" t="s">
        <v>296</v>
      </c>
      <c r="B20" s="794"/>
      <c r="C20" s="674">
        <f>transport!B14</f>
        <v>6.2505947492059013</v>
      </c>
      <c r="D20" s="674">
        <f>transport!C14</f>
        <v>0</v>
      </c>
      <c r="E20" s="674">
        <f>transport!D14</f>
        <v>19.535092459089014</v>
      </c>
      <c r="F20" s="674">
        <f>transport!E14</f>
        <v>2380.679449156883</v>
      </c>
      <c r="G20" s="674">
        <f>transport!F14</f>
        <v>0</v>
      </c>
      <c r="H20" s="674">
        <f>transport!G14</f>
        <v>403394.87578904146</v>
      </c>
      <c r="I20" s="674">
        <f>transport!H14</f>
        <v>67925.638092640147</v>
      </c>
      <c r="J20" s="674">
        <f>transport!I14</f>
        <v>0</v>
      </c>
      <c r="K20" s="674">
        <f>transport!J14</f>
        <v>0</v>
      </c>
      <c r="L20" s="674">
        <f>transport!K14</f>
        <v>0</v>
      </c>
      <c r="M20" s="674">
        <f>transport!L14</f>
        <v>0</v>
      </c>
      <c r="N20" s="674">
        <f>transport!M14</f>
        <v>20504.200912255426</v>
      </c>
      <c r="O20" s="674">
        <f>transport!N14</f>
        <v>0</v>
      </c>
      <c r="P20" s="674">
        <f>transport!O14</f>
        <v>0</v>
      </c>
      <c r="Q20" s="675">
        <f>transport!P14</f>
        <v>0</v>
      </c>
      <c r="R20" s="677">
        <f>SUM(C20:Q20)</f>
        <v>494231.1799303022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53.427893818454471</v>
      </c>
      <c r="D22" s="792">
        <f t="shared" ref="D22:R22" si="1">SUM(D18:D21)</f>
        <v>0</v>
      </c>
      <c r="E22" s="792">
        <f t="shared" si="1"/>
        <v>19.535092459089014</v>
      </c>
      <c r="F22" s="792">
        <f t="shared" si="1"/>
        <v>2380.679449156883</v>
      </c>
      <c r="G22" s="792">
        <f t="shared" si="1"/>
        <v>0</v>
      </c>
      <c r="H22" s="792">
        <f t="shared" si="1"/>
        <v>413629.51716871472</v>
      </c>
      <c r="I22" s="792">
        <f t="shared" si="1"/>
        <v>67925.638092640147</v>
      </c>
      <c r="J22" s="792">
        <f t="shared" si="1"/>
        <v>0</v>
      </c>
      <c r="K22" s="792">
        <f t="shared" si="1"/>
        <v>0</v>
      </c>
      <c r="L22" s="792">
        <f t="shared" si="1"/>
        <v>0</v>
      </c>
      <c r="M22" s="792">
        <f t="shared" si="1"/>
        <v>0</v>
      </c>
      <c r="N22" s="792">
        <f t="shared" si="1"/>
        <v>20942.408942326787</v>
      </c>
      <c r="O22" s="792">
        <f t="shared" si="1"/>
        <v>0</v>
      </c>
      <c r="P22" s="792">
        <f t="shared" si="1"/>
        <v>0</v>
      </c>
      <c r="Q22" s="792">
        <f t="shared" si="1"/>
        <v>0</v>
      </c>
      <c r="R22" s="792">
        <f t="shared" si="1"/>
        <v>504951.20663911611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706.40181698439528</v>
      </c>
      <c r="D24" s="674">
        <f>+landbouw!C8</f>
        <v>0</v>
      </c>
      <c r="E24" s="674">
        <f>+landbouw!D8</f>
        <v>259.58488145093207</v>
      </c>
      <c r="F24" s="674">
        <f>+landbouw!E8</f>
        <v>7.3975927572175246</v>
      </c>
      <c r="G24" s="674">
        <f>+landbouw!F8</f>
        <v>3023.936528079234</v>
      </c>
      <c r="H24" s="674">
        <f>+landbouw!G8</f>
        <v>0</v>
      </c>
      <c r="I24" s="674">
        <f>+landbouw!H8</f>
        <v>0</v>
      </c>
      <c r="J24" s="674">
        <f>+landbouw!I8</f>
        <v>0</v>
      </c>
      <c r="K24" s="674">
        <f>+landbouw!J8</f>
        <v>63.088013844206863</v>
      </c>
      <c r="L24" s="674">
        <f>+landbouw!K8</f>
        <v>0</v>
      </c>
      <c r="M24" s="674">
        <f>+landbouw!L8</f>
        <v>0</v>
      </c>
      <c r="N24" s="674">
        <f>+landbouw!M8</f>
        <v>0</v>
      </c>
      <c r="O24" s="674">
        <f>+landbouw!N8</f>
        <v>0</v>
      </c>
      <c r="P24" s="674">
        <f>+landbouw!O8</f>
        <v>0</v>
      </c>
      <c r="Q24" s="675">
        <f>+landbouw!P8</f>
        <v>0</v>
      </c>
      <c r="R24" s="677">
        <f>SUM(C24:Q24)</f>
        <v>4060.4088331159855</v>
      </c>
      <c r="S24" s="67"/>
    </row>
    <row r="25" spans="1:19" s="443" customFormat="1" ht="15" thickBot="1">
      <c r="A25" s="811" t="s">
        <v>889</v>
      </c>
      <c r="B25" s="966"/>
      <c r="C25" s="967">
        <f>IF(Onbekend_ele_kWh="---",0,Onbekend_ele_kWh)/1000+IF(REST_rest_ele_kWh="---",0,REST_rest_ele_kWh)/1000</f>
        <v>11156.0794772224</v>
      </c>
      <c r="D25" s="967"/>
      <c r="E25" s="967">
        <f>IF(onbekend_gas_kWh="---",0,onbekend_gas_kWh)/1000+IF(REST_rest_gas_kWh="---",0,REST_rest_gas_kWh)/1000</f>
        <v>12495.838937693899</v>
      </c>
      <c r="F25" s="967"/>
      <c r="G25" s="967"/>
      <c r="H25" s="967"/>
      <c r="I25" s="967"/>
      <c r="J25" s="967"/>
      <c r="K25" s="967"/>
      <c r="L25" s="967"/>
      <c r="M25" s="967"/>
      <c r="N25" s="967"/>
      <c r="O25" s="967"/>
      <c r="P25" s="967"/>
      <c r="Q25" s="968"/>
      <c r="R25" s="677">
        <f>SUM(C25:Q25)</f>
        <v>23651.918414916297</v>
      </c>
      <c r="S25" s="67"/>
    </row>
    <row r="26" spans="1:19" s="443" customFormat="1" ht="15.75" thickBot="1">
      <c r="A26" s="680" t="s">
        <v>890</v>
      </c>
      <c r="B26" s="797"/>
      <c r="C26" s="792">
        <f>SUM(C24:C25)</f>
        <v>11862.481294206795</v>
      </c>
      <c r="D26" s="792">
        <f t="shared" ref="D26:R26" si="2">SUM(D24:D25)</f>
        <v>0</v>
      </c>
      <c r="E26" s="792">
        <f t="shared" si="2"/>
        <v>12755.423819144831</v>
      </c>
      <c r="F26" s="792">
        <f t="shared" si="2"/>
        <v>7.3975927572175246</v>
      </c>
      <c r="G26" s="792">
        <f t="shared" si="2"/>
        <v>3023.936528079234</v>
      </c>
      <c r="H26" s="792">
        <f t="shared" si="2"/>
        <v>0</v>
      </c>
      <c r="I26" s="792">
        <f t="shared" si="2"/>
        <v>0</v>
      </c>
      <c r="J26" s="792">
        <f t="shared" si="2"/>
        <v>0</v>
      </c>
      <c r="K26" s="792">
        <f t="shared" si="2"/>
        <v>63.088013844206863</v>
      </c>
      <c r="L26" s="792">
        <f t="shared" si="2"/>
        <v>0</v>
      </c>
      <c r="M26" s="792">
        <f t="shared" si="2"/>
        <v>0</v>
      </c>
      <c r="N26" s="792">
        <f t="shared" si="2"/>
        <v>0</v>
      </c>
      <c r="O26" s="792">
        <f t="shared" si="2"/>
        <v>0</v>
      </c>
      <c r="P26" s="792">
        <f t="shared" si="2"/>
        <v>0</v>
      </c>
      <c r="Q26" s="792">
        <f t="shared" si="2"/>
        <v>0</v>
      </c>
      <c r="R26" s="792">
        <f t="shared" si="2"/>
        <v>27712.327248032285</v>
      </c>
      <c r="S26" s="67"/>
    </row>
    <row r="27" spans="1:19" s="443" customFormat="1" ht="17.25" thickTop="1" thickBot="1">
      <c r="A27" s="681" t="s">
        <v>109</v>
      </c>
      <c r="B27" s="784"/>
      <c r="C27" s="682">
        <f ca="1">C22+C16+C26</f>
        <v>327464.22618239821</v>
      </c>
      <c r="D27" s="682">
        <f t="shared" ref="D27:R27" ca="1" si="3">D22+D16+D26</f>
        <v>381.42857142857144</v>
      </c>
      <c r="E27" s="682">
        <f t="shared" ca="1" si="3"/>
        <v>310811.97768541513</v>
      </c>
      <c r="F27" s="682">
        <f t="shared" si="3"/>
        <v>10504.12610183689</v>
      </c>
      <c r="G27" s="682">
        <f t="shared" ca="1" si="3"/>
        <v>110023.34057981269</v>
      </c>
      <c r="H27" s="682">
        <f t="shared" si="3"/>
        <v>413629.51716871472</v>
      </c>
      <c r="I27" s="682">
        <f t="shared" si="3"/>
        <v>67925.638092640147</v>
      </c>
      <c r="J27" s="682">
        <f t="shared" si="3"/>
        <v>0</v>
      </c>
      <c r="K27" s="682">
        <f t="shared" si="3"/>
        <v>1764.3428655362043</v>
      </c>
      <c r="L27" s="682">
        <f t="shared" si="3"/>
        <v>0</v>
      </c>
      <c r="M27" s="682">
        <f t="shared" ca="1" si="3"/>
        <v>0</v>
      </c>
      <c r="N27" s="682">
        <f t="shared" si="3"/>
        <v>20942.408942326787</v>
      </c>
      <c r="O27" s="682">
        <f t="shared" ca="1" si="3"/>
        <v>18783.981545943025</v>
      </c>
      <c r="P27" s="682">
        <f t="shared" si="3"/>
        <v>56.28</v>
      </c>
      <c r="Q27" s="682">
        <f t="shared" si="3"/>
        <v>171.6</v>
      </c>
      <c r="R27" s="682">
        <f t="shared" ca="1" si="3"/>
        <v>1282458.8677360523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49799.068821418434</v>
      </c>
      <c r="D40" s="674">
        <f ca="1">tertiair!C20</f>
        <v>90.645378151260516</v>
      </c>
      <c r="E40" s="674">
        <f ca="1">tertiair!D20</f>
        <v>22793.897270160909</v>
      </c>
      <c r="F40" s="674">
        <f>tertiair!E20</f>
        <v>1364.2732134664554</v>
      </c>
      <c r="G40" s="674">
        <f ca="1">tertiair!F20</f>
        <v>9687.7453685423989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83735.630051739456</v>
      </c>
    </row>
    <row r="41" spans="1:18">
      <c r="A41" s="802" t="s">
        <v>214</v>
      </c>
      <c r="B41" s="809"/>
      <c r="C41" s="674">
        <f ca="1">huishoudens!B12</f>
        <v>11273.359882329552</v>
      </c>
      <c r="D41" s="674">
        <f ca="1">huishoudens!C12</f>
        <v>0</v>
      </c>
      <c r="E41" s="674">
        <f>huishoudens!D12</f>
        <v>32218.617563742519</v>
      </c>
      <c r="F41" s="674">
        <f>huishoudens!E12</f>
        <v>382.17150617755323</v>
      </c>
      <c r="G41" s="674">
        <f>huishoudens!F12</f>
        <v>15343.90588723592</v>
      </c>
      <c r="H41" s="674">
        <f>huishoudens!G12</f>
        <v>0</v>
      </c>
      <c r="I41" s="674">
        <f>huishoudens!H12</f>
        <v>0</v>
      </c>
      <c r="J41" s="674">
        <f>huishoudens!I12</f>
        <v>0</v>
      </c>
      <c r="K41" s="674">
        <f>huishoudens!J12</f>
        <v>458.08642029178844</v>
      </c>
      <c r="L41" s="674">
        <f>huishoudens!K12</f>
        <v>0</v>
      </c>
      <c r="M41" s="674">
        <f>huishoudens!L12</f>
        <v>0</v>
      </c>
      <c r="N41" s="674">
        <f>huishoudens!M12</f>
        <v>0</v>
      </c>
      <c r="O41" s="674">
        <f>huishoudens!N12</f>
        <v>0</v>
      </c>
      <c r="P41" s="674">
        <f>huishoudens!O12</f>
        <v>0</v>
      </c>
      <c r="Q41" s="749">
        <f>huishoudens!P12</f>
        <v>0</v>
      </c>
      <c r="R41" s="830">
        <f t="shared" ca="1" si="4"/>
        <v>59676.141259777331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8278.7715769640581</v>
      </c>
      <c r="D43" s="674">
        <f ca="1">industrie!C22</f>
        <v>0</v>
      </c>
      <c r="E43" s="674">
        <f>industrie!D22</f>
        <v>5190.9629584064451</v>
      </c>
      <c r="F43" s="674">
        <f>industrie!E22</f>
        <v>95.898416958464452</v>
      </c>
      <c r="G43" s="674">
        <f>industrie!F22</f>
        <v>3537.1896260345156</v>
      </c>
      <c r="H43" s="674">
        <f>industrie!G22</f>
        <v>0</v>
      </c>
      <c r="I43" s="674">
        <f>industrie!H22</f>
        <v>0</v>
      </c>
      <c r="J43" s="674">
        <f>industrie!I22</f>
        <v>0</v>
      </c>
      <c r="K43" s="674">
        <f>industrie!J22</f>
        <v>144.15779720717859</v>
      </c>
      <c r="L43" s="674">
        <f>industrie!K22</f>
        <v>0</v>
      </c>
      <c r="M43" s="674">
        <f>industrie!L22</f>
        <v>0</v>
      </c>
      <c r="N43" s="674">
        <f>industrie!M22</f>
        <v>0</v>
      </c>
      <c r="O43" s="674">
        <f>industrie!N22</f>
        <v>0</v>
      </c>
      <c r="P43" s="674">
        <f>industrie!O22</f>
        <v>0</v>
      </c>
      <c r="Q43" s="749">
        <f>industrie!P22</f>
        <v>0</v>
      </c>
      <c r="R43" s="829">
        <f t="shared" ca="1" si="4"/>
        <v>17246.98037557066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69351.200280712044</v>
      </c>
      <c r="D46" s="707">
        <f t="shared" ref="D46:Q46" ca="1" si="5">SUM(D39:D45)</f>
        <v>90.645378151260516</v>
      </c>
      <c r="E46" s="707">
        <f t="shared" ca="1" si="5"/>
        <v>60203.477792309874</v>
      </c>
      <c r="F46" s="707">
        <f t="shared" si="5"/>
        <v>1842.3431366024731</v>
      </c>
      <c r="G46" s="707">
        <f t="shared" ca="1" si="5"/>
        <v>28568.840881812837</v>
      </c>
      <c r="H46" s="707">
        <f t="shared" si="5"/>
        <v>0</v>
      </c>
      <c r="I46" s="707">
        <f t="shared" si="5"/>
        <v>0</v>
      </c>
      <c r="J46" s="707">
        <f t="shared" si="5"/>
        <v>0</v>
      </c>
      <c r="K46" s="707">
        <f t="shared" si="5"/>
        <v>602.24421749896703</v>
      </c>
      <c r="L46" s="707">
        <f t="shared" si="5"/>
        <v>0</v>
      </c>
      <c r="M46" s="707">
        <f t="shared" ca="1" si="5"/>
        <v>0</v>
      </c>
      <c r="N46" s="707">
        <f t="shared" si="5"/>
        <v>0</v>
      </c>
      <c r="O46" s="707">
        <f t="shared" ca="1" si="5"/>
        <v>0</v>
      </c>
      <c r="P46" s="707">
        <f t="shared" si="5"/>
        <v>0</v>
      </c>
      <c r="Q46" s="707">
        <f t="shared" si="5"/>
        <v>0</v>
      </c>
      <c r="R46" s="707">
        <f ca="1">SUM(R39:R45)</f>
        <v>160658.75168708744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10.368625469527865</v>
      </c>
      <c r="D49" s="674">
        <f ca="1">transport!C58</f>
        <v>0</v>
      </c>
      <c r="E49" s="674">
        <f>transport!D58</f>
        <v>0</v>
      </c>
      <c r="F49" s="674">
        <f>transport!E58</f>
        <v>0</v>
      </c>
      <c r="G49" s="674">
        <f>transport!F58</f>
        <v>0</v>
      </c>
      <c r="H49" s="674">
        <f>transport!G58</f>
        <v>2732.6492483727679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2743.017873842296</v>
      </c>
    </row>
    <row r="50" spans="1:18">
      <c r="A50" s="805" t="s">
        <v>296</v>
      </c>
      <c r="B50" s="815"/>
      <c r="C50" s="973">
        <f ca="1">transport!B18</f>
        <v>1.3737555391033056</v>
      </c>
      <c r="D50" s="973">
        <f>transport!C18</f>
        <v>0</v>
      </c>
      <c r="E50" s="973">
        <f>transport!D18</f>
        <v>3.9460886767359811</v>
      </c>
      <c r="F50" s="973">
        <f>transport!E18</f>
        <v>540.4142349586125</v>
      </c>
      <c r="G50" s="973">
        <f>transport!F18</f>
        <v>0</v>
      </c>
      <c r="H50" s="973">
        <f>transport!G18</f>
        <v>107706.43183567407</v>
      </c>
      <c r="I50" s="973">
        <f>transport!H18</f>
        <v>16913.483885067395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125165.64979991592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11.74238100863117</v>
      </c>
      <c r="D52" s="707">
        <f t="shared" ref="D52:Q52" ca="1" si="6">SUM(D48:D51)</f>
        <v>0</v>
      </c>
      <c r="E52" s="707">
        <f t="shared" si="6"/>
        <v>3.9460886767359811</v>
      </c>
      <c r="F52" s="707">
        <f t="shared" si="6"/>
        <v>540.4142349586125</v>
      </c>
      <c r="G52" s="707">
        <f t="shared" si="6"/>
        <v>0</v>
      </c>
      <c r="H52" s="707">
        <f t="shared" si="6"/>
        <v>110439.08108404683</v>
      </c>
      <c r="I52" s="707">
        <f t="shared" si="6"/>
        <v>16913.483885067395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127908.66767375822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155.2529715733433</v>
      </c>
      <c r="D54" s="973">
        <f ca="1">+landbouw!C12</f>
        <v>0</v>
      </c>
      <c r="E54" s="973">
        <f>+landbouw!D12</f>
        <v>52.436146053088279</v>
      </c>
      <c r="F54" s="973">
        <f>+landbouw!E12</f>
        <v>1.6792535558883781</v>
      </c>
      <c r="G54" s="973">
        <f>+landbouw!F12</f>
        <v>807.3910529971555</v>
      </c>
      <c r="H54" s="973">
        <f>+landbouw!G12</f>
        <v>0</v>
      </c>
      <c r="I54" s="973">
        <f>+landbouw!H12</f>
        <v>0</v>
      </c>
      <c r="J54" s="973">
        <f>+landbouw!I12</f>
        <v>0</v>
      </c>
      <c r="K54" s="973">
        <f>+landbouw!J12</f>
        <v>22.333156900849229</v>
      </c>
      <c r="L54" s="973">
        <f>+landbouw!K12</f>
        <v>0</v>
      </c>
      <c r="M54" s="973">
        <f>+landbouw!L12</f>
        <v>0</v>
      </c>
      <c r="N54" s="973">
        <f>+landbouw!M12</f>
        <v>0</v>
      </c>
      <c r="O54" s="973">
        <f>+landbouw!N12</f>
        <v>0</v>
      </c>
      <c r="P54" s="973">
        <f>+landbouw!O12</f>
        <v>0</v>
      </c>
      <c r="Q54" s="974">
        <f>+landbouw!P12</f>
        <v>0</v>
      </c>
      <c r="R54" s="706">
        <f ca="1">SUM(C54:Q54)</f>
        <v>1039.0925810803246</v>
      </c>
    </row>
    <row r="55" spans="1:18" ht="15" thickBot="1">
      <c r="A55" s="805" t="s">
        <v>889</v>
      </c>
      <c r="B55" s="815"/>
      <c r="C55" s="973">
        <f ca="1">C25*'EF ele_warmte'!B12</f>
        <v>2451.882835382668</v>
      </c>
      <c r="D55" s="973"/>
      <c r="E55" s="973">
        <f>E25*EF_CO2_aardgas</f>
        <v>2524.1594654141677</v>
      </c>
      <c r="F55" s="973"/>
      <c r="G55" s="973"/>
      <c r="H55" s="973"/>
      <c r="I55" s="973"/>
      <c r="J55" s="973"/>
      <c r="K55" s="973"/>
      <c r="L55" s="973"/>
      <c r="M55" s="973"/>
      <c r="N55" s="973"/>
      <c r="O55" s="973"/>
      <c r="P55" s="973"/>
      <c r="Q55" s="974"/>
      <c r="R55" s="706">
        <f ca="1">SUM(C55:Q55)</f>
        <v>4976.0423007968357</v>
      </c>
    </row>
    <row r="56" spans="1:18" ht="15.75" thickBot="1">
      <c r="A56" s="803" t="s">
        <v>890</v>
      </c>
      <c r="B56" s="816"/>
      <c r="C56" s="707">
        <f ca="1">SUM(C54:C55)</f>
        <v>2607.135806956011</v>
      </c>
      <c r="D56" s="707">
        <f t="shared" ref="D56:Q56" ca="1" si="7">SUM(D54:D55)</f>
        <v>0</v>
      </c>
      <c r="E56" s="707">
        <f t="shared" si="7"/>
        <v>2576.5956114672558</v>
      </c>
      <c r="F56" s="707">
        <f t="shared" si="7"/>
        <v>1.6792535558883781</v>
      </c>
      <c r="G56" s="707">
        <f t="shared" si="7"/>
        <v>807.3910529971555</v>
      </c>
      <c r="H56" s="707">
        <f t="shared" si="7"/>
        <v>0</v>
      </c>
      <c r="I56" s="707">
        <f t="shared" si="7"/>
        <v>0</v>
      </c>
      <c r="J56" s="707">
        <f t="shared" si="7"/>
        <v>0</v>
      </c>
      <c r="K56" s="707">
        <f t="shared" si="7"/>
        <v>22.333156900849229</v>
      </c>
      <c r="L56" s="707">
        <f t="shared" si="7"/>
        <v>0</v>
      </c>
      <c r="M56" s="707">
        <f t="shared" si="7"/>
        <v>0</v>
      </c>
      <c r="N56" s="707">
        <f t="shared" si="7"/>
        <v>0</v>
      </c>
      <c r="O56" s="707">
        <f t="shared" si="7"/>
        <v>0</v>
      </c>
      <c r="P56" s="707">
        <f t="shared" si="7"/>
        <v>0</v>
      </c>
      <c r="Q56" s="708">
        <f t="shared" si="7"/>
        <v>0</v>
      </c>
      <c r="R56" s="709">
        <f ca="1">SUM(R54:R55)</f>
        <v>6015.1348818771603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71970.078468676686</v>
      </c>
      <c r="D61" s="715">
        <f t="shared" ref="D61:Q61" ca="1" si="8">D46+D52+D56</f>
        <v>90.645378151260516</v>
      </c>
      <c r="E61" s="715">
        <f t="shared" ca="1" si="8"/>
        <v>62784.019492453866</v>
      </c>
      <c r="F61" s="715">
        <f t="shared" si="8"/>
        <v>2384.436625116974</v>
      </c>
      <c r="G61" s="715">
        <f t="shared" ca="1" si="8"/>
        <v>29376.231934809992</v>
      </c>
      <c r="H61" s="715">
        <f t="shared" si="8"/>
        <v>110439.08108404683</v>
      </c>
      <c r="I61" s="715">
        <f t="shared" si="8"/>
        <v>16913.483885067395</v>
      </c>
      <c r="J61" s="715">
        <f t="shared" si="8"/>
        <v>0</v>
      </c>
      <c r="K61" s="715">
        <f t="shared" si="8"/>
        <v>624.57737439981622</v>
      </c>
      <c r="L61" s="715">
        <f t="shared" si="8"/>
        <v>0</v>
      </c>
      <c r="M61" s="715">
        <f t="shared" ca="1" si="8"/>
        <v>0</v>
      </c>
      <c r="N61" s="715">
        <f t="shared" si="8"/>
        <v>0</v>
      </c>
      <c r="O61" s="715">
        <f t="shared" ca="1" si="8"/>
        <v>0</v>
      </c>
      <c r="P61" s="715">
        <f t="shared" si="8"/>
        <v>0</v>
      </c>
      <c r="Q61" s="715">
        <f t="shared" si="8"/>
        <v>0</v>
      </c>
      <c r="R61" s="715">
        <f ca="1">R46+R52+R56</f>
        <v>294582.55424272281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0.21977997202231553</v>
      </c>
      <c r="D63" s="759">
        <f t="shared" ca="1" si="9"/>
        <v>0.23764705882352943</v>
      </c>
      <c r="E63" s="975">
        <f t="shared" ca="1" si="9"/>
        <v>0.20200000000000004</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1827.8745807203018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267</v>
      </c>
      <c r="D76" s="985">
        <f>'lokale energieproductie'!C8</f>
        <v>314.11764705882354</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63.451764705882361</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1827.8745807203018</v>
      </c>
      <c r="C78" s="730">
        <f>SUM(C72:C77)</f>
        <v>267</v>
      </c>
      <c r="D78" s="731">
        <f t="shared" ref="D78:H78" si="10">SUM(D76:D77)</f>
        <v>314.11764705882354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63.451764705882361</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381.42857142857144</v>
      </c>
      <c r="D87" s="752">
        <f>'lokale energieproductie'!C17</f>
        <v>448.73949579831935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90.645378151260516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381.42857142857144</v>
      </c>
      <c r="D90" s="730">
        <f t="shared" ref="D90:H90" si="12">SUM(D87:D89)</f>
        <v>448.73949579831935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90.645378151260516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51293.845288072473</v>
      </c>
      <c r="C4" s="447">
        <f>huishoudens!C8</f>
        <v>0</v>
      </c>
      <c r="D4" s="447">
        <f>huishoudens!D8</f>
        <v>159498.10675120057</v>
      </c>
      <c r="E4" s="447">
        <f>huishoudens!E8</f>
        <v>1683.5749170817321</v>
      </c>
      <c r="F4" s="447">
        <f>huishoudens!F8</f>
        <v>57467.812311745016</v>
      </c>
      <c r="G4" s="447">
        <f>huishoudens!G8</f>
        <v>0</v>
      </c>
      <c r="H4" s="447">
        <f>huishoudens!H8</f>
        <v>0</v>
      </c>
      <c r="I4" s="447">
        <f>huishoudens!I8</f>
        <v>0</v>
      </c>
      <c r="J4" s="447">
        <f>huishoudens!J8</f>
        <v>1294.0294358525098</v>
      </c>
      <c r="K4" s="447">
        <f>huishoudens!K8</f>
        <v>0</v>
      </c>
      <c r="L4" s="447">
        <f>huishoudens!L8</f>
        <v>0</v>
      </c>
      <c r="M4" s="447">
        <f>huishoudens!M8</f>
        <v>0</v>
      </c>
      <c r="N4" s="447">
        <f>huishoudens!N8</f>
        <v>15097.71497507829</v>
      </c>
      <c r="O4" s="447">
        <f>huishoudens!O8</f>
        <v>54.716666666666669</v>
      </c>
      <c r="P4" s="448">
        <f>huishoudens!P8</f>
        <v>133.46666666666667</v>
      </c>
      <c r="Q4" s="449">
        <f>SUM(B4:P4)</f>
        <v>286523.26701236394</v>
      </c>
    </row>
    <row r="5" spans="1:17">
      <c r="A5" s="446" t="s">
        <v>149</v>
      </c>
      <c r="B5" s="447">
        <f ca="1">tertiair!B16</f>
        <v>223708.64156752461</v>
      </c>
      <c r="C5" s="447">
        <f ca="1">tertiair!C16</f>
        <v>381.42857142857144</v>
      </c>
      <c r="D5" s="447">
        <f ca="1">tertiair!D16</f>
        <v>112841.07559485598</v>
      </c>
      <c r="E5" s="447">
        <f>tertiair!E16</f>
        <v>6010.0141562398912</v>
      </c>
      <c r="F5" s="447">
        <f ca="1">tertiair!F16</f>
        <v>36283.690518885385</v>
      </c>
      <c r="G5" s="447">
        <f>tertiair!G16</f>
        <v>0</v>
      </c>
      <c r="H5" s="447">
        <f>tertiair!H16</f>
        <v>0</v>
      </c>
      <c r="I5" s="447">
        <f>tertiair!I16</f>
        <v>0</v>
      </c>
      <c r="J5" s="447">
        <f>tertiair!J16</f>
        <v>0</v>
      </c>
      <c r="K5" s="447">
        <f>tertiair!K16</f>
        <v>0</v>
      </c>
      <c r="L5" s="447">
        <f ca="1">tertiair!L16</f>
        <v>0</v>
      </c>
      <c r="M5" s="447">
        <f>tertiair!M16</f>
        <v>0</v>
      </c>
      <c r="N5" s="447">
        <f ca="1">tertiair!N16</f>
        <v>2572.307889233638</v>
      </c>
      <c r="O5" s="447">
        <f>tertiair!O16</f>
        <v>1.5633333333333335</v>
      </c>
      <c r="P5" s="448">
        <f>tertiair!P16</f>
        <v>38.133333333333333</v>
      </c>
      <c r="Q5" s="446">
        <f t="shared" ref="Q5:Q14" ca="1" si="0">SUM(B5:P5)</f>
        <v>381836.85496483475</v>
      </c>
    </row>
    <row r="6" spans="1:17">
      <c r="A6" s="446" t="s">
        <v>187</v>
      </c>
      <c r="B6" s="447">
        <f>'openbare verlichting'!B8</f>
        <v>2877.377</v>
      </c>
      <c r="C6" s="447"/>
      <c r="D6" s="447"/>
      <c r="E6" s="447"/>
      <c r="F6" s="447"/>
      <c r="G6" s="447"/>
      <c r="H6" s="447"/>
      <c r="I6" s="447"/>
      <c r="J6" s="447"/>
      <c r="K6" s="447"/>
      <c r="L6" s="447"/>
      <c r="M6" s="447"/>
      <c r="N6" s="447"/>
      <c r="O6" s="447"/>
      <c r="P6" s="448"/>
      <c r="Q6" s="446">
        <f t="shared" si="0"/>
        <v>2877.377</v>
      </c>
    </row>
    <row r="7" spans="1:17">
      <c r="A7" s="446" t="s">
        <v>105</v>
      </c>
      <c r="B7" s="447">
        <f>landbouw!B8</f>
        <v>706.40181698439528</v>
      </c>
      <c r="C7" s="447">
        <f>landbouw!C8</f>
        <v>0</v>
      </c>
      <c r="D7" s="447">
        <f>landbouw!D8</f>
        <v>259.58488145093207</v>
      </c>
      <c r="E7" s="447">
        <f>landbouw!E8</f>
        <v>7.3975927572175246</v>
      </c>
      <c r="F7" s="447">
        <f>landbouw!F8</f>
        <v>3023.936528079234</v>
      </c>
      <c r="G7" s="447">
        <f>landbouw!G8</f>
        <v>0</v>
      </c>
      <c r="H7" s="447">
        <f>landbouw!H8</f>
        <v>0</v>
      </c>
      <c r="I7" s="447">
        <f>landbouw!I8</f>
        <v>0</v>
      </c>
      <c r="J7" s="447">
        <f>landbouw!J8</f>
        <v>63.088013844206863</v>
      </c>
      <c r="K7" s="447">
        <f>landbouw!K8</f>
        <v>0</v>
      </c>
      <c r="L7" s="447">
        <f>landbouw!L8</f>
        <v>0</v>
      </c>
      <c r="M7" s="447">
        <f>landbouw!M8</f>
        <v>0</v>
      </c>
      <c r="N7" s="447">
        <f>landbouw!N8</f>
        <v>0</v>
      </c>
      <c r="O7" s="447">
        <f>landbouw!O8</f>
        <v>0</v>
      </c>
      <c r="P7" s="448">
        <f>landbouw!P8</f>
        <v>0</v>
      </c>
      <c r="Q7" s="446">
        <f t="shared" si="0"/>
        <v>4060.4088331159855</v>
      </c>
    </row>
    <row r="8" spans="1:17">
      <c r="A8" s="446" t="s">
        <v>637</v>
      </c>
      <c r="B8" s="447">
        <f>industrie!B18</f>
        <v>37668.453138775832</v>
      </c>
      <c r="C8" s="447">
        <f>industrie!C18</f>
        <v>0</v>
      </c>
      <c r="D8" s="447">
        <f>industrie!D18</f>
        <v>25697.836427754679</v>
      </c>
      <c r="E8" s="447">
        <f>industrie!E18</f>
        <v>422.45998660116499</v>
      </c>
      <c r="F8" s="447">
        <f>industrie!F18</f>
        <v>13247.901221103055</v>
      </c>
      <c r="G8" s="447">
        <f>industrie!G18</f>
        <v>0</v>
      </c>
      <c r="H8" s="447">
        <f>industrie!H18</f>
        <v>0</v>
      </c>
      <c r="I8" s="447">
        <f>industrie!I18</f>
        <v>0</v>
      </c>
      <c r="J8" s="447">
        <f>industrie!J18</f>
        <v>407.2254158394876</v>
      </c>
      <c r="K8" s="447">
        <f>industrie!K18</f>
        <v>0</v>
      </c>
      <c r="L8" s="447">
        <f>industrie!L18</f>
        <v>0</v>
      </c>
      <c r="M8" s="447">
        <f>industrie!M18</f>
        <v>0</v>
      </c>
      <c r="N8" s="447">
        <f>industrie!N18</f>
        <v>1113.9586816310975</v>
      </c>
      <c r="O8" s="447">
        <f>industrie!O18</f>
        <v>0</v>
      </c>
      <c r="P8" s="448">
        <f>industrie!P18</f>
        <v>0</v>
      </c>
      <c r="Q8" s="446">
        <f t="shared" si="0"/>
        <v>78557.834871705316</v>
      </c>
    </row>
    <row r="9" spans="1:17" s="452" customFormat="1">
      <c r="A9" s="450" t="s">
        <v>556</v>
      </c>
      <c r="B9" s="451">
        <f>transport!B14</f>
        <v>6.2505947492059013</v>
      </c>
      <c r="C9" s="451">
        <f>transport!C14</f>
        <v>0</v>
      </c>
      <c r="D9" s="451">
        <f>transport!D14</f>
        <v>19.535092459089014</v>
      </c>
      <c r="E9" s="451">
        <f>transport!E14</f>
        <v>2380.679449156883</v>
      </c>
      <c r="F9" s="451">
        <f>transport!F14</f>
        <v>0</v>
      </c>
      <c r="G9" s="451">
        <f>transport!G14</f>
        <v>403394.87578904146</v>
      </c>
      <c r="H9" s="451">
        <f>transport!H14</f>
        <v>67925.638092640147</v>
      </c>
      <c r="I9" s="451">
        <f>transport!I14</f>
        <v>0</v>
      </c>
      <c r="J9" s="451">
        <f>transport!J14</f>
        <v>0</v>
      </c>
      <c r="K9" s="451">
        <f>transport!K14</f>
        <v>0</v>
      </c>
      <c r="L9" s="451">
        <f>transport!L14</f>
        <v>0</v>
      </c>
      <c r="M9" s="451">
        <f>transport!M14</f>
        <v>20504.200912255426</v>
      </c>
      <c r="N9" s="451">
        <f>transport!N14</f>
        <v>0</v>
      </c>
      <c r="O9" s="451">
        <f>transport!O14</f>
        <v>0</v>
      </c>
      <c r="P9" s="451">
        <f>transport!P14</f>
        <v>0</v>
      </c>
      <c r="Q9" s="450">
        <f>SUM(B9:P9)</f>
        <v>494231.1799303022</v>
      </c>
    </row>
    <row r="10" spans="1:17">
      <c r="A10" s="446" t="s">
        <v>546</v>
      </c>
      <c r="B10" s="447">
        <f>transport!B54</f>
        <v>47.177299069248569</v>
      </c>
      <c r="C10" s="447">
        <f>transport!C54</f>
        <v>0</v>
      </c>
      <c r="D10" s="447">
        <f>transport!D54</f>
        <v>0</v>
      </c>
      <c r="E10" s="447">
        <f>transport!E54</f>
        <v>0</v>
      </c>
      <c r="F10" s="447">
        <f>transport!F54</f>
        <v>0</v>
      </c>
      <c r="G10" s="447">
        <f>transport!G54</f>
        <v>10234.641379673287</v>
      </c>
      <c r="H10" s="447">
        <f>transport!H54</f>
        <v>0</v>
      </c>
      <c r="I10" s="447">
        <f>transport!I54</f>
        <v>0</v>
      </c>
      <c r="J10" s="447">
        <f>transport!J54</f>
        <v>0</v>
      </c>
      <c r="K10" s="447">
        <f>transport!K54</f>
        <v>0</v>
      </c>
      <c r="L10" s="447">
        <f>transport!L54</f>
        <v>0</v>
      </c>
      <c r="M10" s="447">
        <f>transport!M54</f>
        <v>438.20803007136129</v>
      </c>
      <c r="N10" s="447">
        <f>transport!N54</f>
        <v>0</v>
      </c>
      <c r="O10" s="447">
        <f>transport!O54</f>
        <v>0</v>
      </c>
      <c r="P10" s="448">
        <f>transport!P54</f>
        <v>0</v>
      </c>
      <c r="Q10" s="446">
        <f t="shared" si="0"/>
        <v>10720.026708813895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11156.0794772224</v>
      </c>
      <c r="C14" s="454"/>
      <c r="D14" s="454">
        <f>'SEAP template'!E25</f>
        <v>12495.838937693899</v>
      </c>
      <c r="E14" s="454"/>
      <c r="F14" s="454"/>
      <c r="G14" s="454"/>
      <c r="H14" s="454"/>
      <c r="I14" s="454"/>
      <c r="J14" s="454"/>
      <c r="K14" s="454"/>
      <c r="L14" s="454"/>
      <c r="M14" s="454"/>
      <c r="N14" s="454"/>
      <c r="O14" s="454"/>
      <c r="P14" s="455"/>
      <c r="Q14" s="446">
        <f t="shared" si="0"/>
        <v>23651.918414916297</v>
      </c>
    </row>
    <row r="15" spans="1:17" s="459" customFormat="1">
      <c r="A15" s="456" t="s">
        <v>550</v>
      </c>
      <c r="B15" s="457">
        <f ca="1">SUM(B4:B14)</f>
        <v>327464.22618239815</v>
      </c>
      <c r="C15" s="457">
        <f t="shared" ref="C15:Q15" ca="1" si="1">SUM(C4:C14)</f>
        <v>381.42857142857144</v>
      </c>
      <c r="D15" s="457">
        <f t="shared" ca="1" si="1"/>
        <v>310811.97768541513</v>
      </c>
      <c r="E15" s="457">
        <f t="shared" si="1"/>
        <v>10504.12610183689</v>
      </c>
      <c r="F15" s="457">
        <f t="shared" ca="1" si="1"/>
        <v>110023.34057981269</v>
      </c>
      <c r="G15" s="457">
        <f t="shared" si="1"/>
        <v>413629.51716871472</v>
      </c>
      <c r="H15" s="457">
        <f t="shared" si="1"/>
        <v>67925.638092640147</v>
      </c>
      <c r="I15" s="457">
        <f t="shared" si="1"/>
        <v>0</v>
      </c>
      <c r="J15" s="457">
        <f t="shared" si="1"/>
        <v>1764.3428655362043</v>
      </c>
      <c r="K15" s="457">
        <f t="shared" si="1"/>
        <v>0</v>
      </c>
      <c r="L15" s="457">
        <f t="shared" ca="1" si="1"/>
        <v>0</v>
      </c>
      <c r="M15" s="457">
        <f t="shared" si="1"/>
        <v>20942.408942326787</v>
      </c>
      <c r="N15" s="457">
        <f t="shared" ca="1" si="1"/>
        <v>18783.981545943025</v>
      </c>
      <c r="O15" s="457">
        <f t="shared" si="1"/>
        <v>56.28</v>
      </c>
      <c r="P15" s="457">
        <f t="shared" si="1"/>
        <v>171.6</v>
      </c>
      <c r="Q15" s="457">
        <f t="shared" ca="1" si="1"/>
        <v>1282458.8677360523</v>
      </c>
    </row>
    <row r="17" spans="1:17">
      <c r="A17" s="460" t="s">
        <v>551</v>
      </c>
      <c r="B17" s="764">
        <f ca="1">huishoudens!B10</f>
        <v>0.21977997202231558</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11273.359882329552</v>
      </c>
      <c r="C22" s="447">
        <f t="shared" ref="C22:C32" ca="1" si="3">C4*$C$17</f>
        <v>0</v>
      </c>
      <c r="D22" s="447">
        <f t="shared" ref="D22:D32" si="4">D4*$D$17</f>
        <v>32218.617563742519</v>
      </c>
      <c r="E22" s="447">
        <f t="shared" ref="E22:E32" si="5">E4*$E$17</f>
        <v>382.17150617755323</v>
      </c>
      <c r="F22" s="447">
        <f t="shared" ref="F22:F32" si="6">F4*$F$17</f>
        <v>15343.90588723592</v>
      </c>
      <c r="G22" s="447">
        <f t="shared" ref="G22:G32" si="7">G4*$G$17</f>
        <v>0</v>
      </c>
      <c r="H22" s="447">
        <f t="shared" ref="H22:H32" si="8">H4*$H$17</f>
        <v>0</v>
      </c>
      <c r="I22" s="447">
        <f t="shared" ref="I22:I32" si="9">I4*$I$17</f>
        <v>0</v>
      </c>
      <c r="J22" s="447">
        <f t="shared" ref="J22:J32" si="10">J4*$J$17</f>
        <v>458.08642029178844</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59676.141259777331</v>
      </c>
    </row>
    <row r="23" spans="1:17">
      <c r="A23" s="446" t="s">
        <v>149</v>
      </c>
      <c r="B23" s="447">
        <f t="shared" ca="1" si="2"/>
        <v>49166.67898486078</v>
      </c>
      <c r="C23" s="447">
        <f t="shared" ca="1" si="3"/>
        <v>90.645378151260516</v>
      </c>
      <c r="D23" s="447">
        <f t="shared" ca="1" si="4"/>
        <v>22793.897270160909</v>
      </c>
      <c r="E23" s="447">
        <f t="shared" si="5"/>
        <v>1364.2732134664554</v>
      </c>
      <c r="F23" s="447">
        <f t="shared" ca="1" si="6"/>
        <v>9687.7453685423989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83103.240215181795</v>
      </c>
    </row>
    <row r="24" spans="1:17">
      <c r="A24" s="446" t="s">
        <v>187</v>
      </c>
      <c r="B24" s="447">
        <f t="shared" ca="1" si="2"/>
        <v>632.38983655765435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632.38983655765435</v>
      </c>
    </row>
    <row r="25" spans="1:17">
      <c r="A25" s="446" t="s">
        <v>105</v>
      </c>
      <c r="B25" s="447">
        <f t="shared" ca="1" si="2"/>
        <v>155.2529715733433</v>
      </c>
      <c r="C25" s="447">
        <f t="shared" ca="1" si="3"/>
        <v>0</v>
      </c>
      <c r="D25" s="447">
        <f t="shared" si="4"/>
        <v>52.436146053088279</v>
      </c>
      <c r="E25" s="447">
        <f t="shared" si="5"/>
        <v>1.6792535558883781</v>
      </c>
      <c r="F25" s="447">
        <f t="shared" si="6"/>
        <v>807.3910529971555</v>
      </c>
      <c r="G25" s="447">
        <f t="shared" si="7"/>
        <v>0</v>
      </c>
      <c r="H25" s="447">
        <f t="shared" si="8"/>
        <v>0</v>
      </c>
      <c r="I25" s="447">
        <f t="shared" si="9"/>
        <v>0</v>
      </c>
      <c r="J25" s="447">
        <f t="shared" si="10"/>
        <v>22.333156900849229</v>
      </c>
      <c r="K25" s="447">
        <f t="shared" si="11"/>
        <v>0</v>
      </c>
      <c r="L25" s="447">
        <f t="shared" si="12"/>
        <v>0</v>
      </c>
      <c r="M25" s="447">
        <f t="shared" si="13"/>
        <v>0</v>
      </c>
      <c r="N25" s="447">
        <f t="shared" si="14"/>
        <v>0</v>
      </c>
      <c r="O25" s="447">
        <f t="shared" si="15"/>
        <v>0</v>
      </c>
      <c r="P25" s="448">
        <f t="shared" si="16"/>
        <v>0</v>
      </c>
      <c r="Q25" s="446">
        <f t="shared" ca="1" si="17"/>
        <v>1039.0925810803246</v>
      </c>
    </row>
    <row r="26" spans="1:17">
      <c r="A26" s="446" t="s">
        <v>637</v>
      </c>
      <c r="B26" s="447">
        <f t="shared" ca="1" si="2"/>
        <v>8278.7715769640581</v>
      </c>
      <c r="C26" s="447">
        <f t="shared" ca="1" si="3"/>
        <v>0</v>
      </c>
      <c r="D26" s="447">
        <f t="shared" si="4"/>
        <v>5190.9629584064451</v>
      </c>
      <c r="E26" s="447">
        <f t="shared" si="5"/>
        <v>95.898416958464452</v>
      </c>
      <c r="F26" s="447">
        <f t="shared" si="6"/>
        <v>3537.1896260345156</v>
      </c>
      <c r="G26" s="447">
        <f t="shared" si="7"/>
        <v>0</v>
      </c>
      <c r="H26" s="447">
        <f t="shared" si="8"/>
        <v>0</v>
      </c>
      <c r="I26" s="447">
        <f t="shared" si="9"/>
        <v>0</v>
      </c>
      <c r="J26" s="447">
        <f t="shared" si="10"/>
        <v>144.15779720717859</v>
      </c>
      <c r="K26" s="447">
        <f t="shared" si="11"/>
        <v>0</v>
      </c>
      <c r="L26" s="447">
        <f t="shared" si="12"/>
        <v>0</v>
      </c>
      <c r="M26" s="447">
        <f t="shared" si="13"/>
        <v>0</v>
      </c>
      <c r="N26" s="447">
        <f t="shared" si="14"/>
        <v>0</v>
      </c>
      <c r="O26" s="447">
        <f t="shared" si="15"/>
        <v>0</v>
      </c>
      <c r="P26" s="448">
        <f t="shared" si="16"/>
        <v>0</v>
      </c>
      <c r="Q26" s="446">
        <f t="shared" ca="1" si="17"/>
        <v>17246.98037557066</v>
      </c>
    </row>
    <row r="27" spans="1:17" s="452" customFormat="1">
      <c r="A27" s="450" t="s">
        <v>556</v>
      </c>
      <c r="B27" s="758">
        <f t="shared" ca="1" si="2"/>
        <v>1.3737555391033056</v>
      </c>
      <c r="C27" s="451">
        <f t="shared" ca="1" si="3"/>
        <v>0</v>
      </c>
      <c r="D27" s="451">
        <f t="shared" si="4"/>
        <v>3.9460886767359811</v>
      </c>
      <c r="E27" s="451">
        <f t="shared" si="5"/>
        <v>540.4142349586125</v>
      </c>
      <c r="F27" s="451">
        <f t="shared" si="6"/>
        <v>0</v>
      </c>
      <c r="G27" s="451">
        <f t="shared" si="7"/>
        <v>107706.43183567407</v>
      </c>
      <c r="H27" s="451">
        <f t="shared" si="8"/>
        <v>16913.483885067395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125165.64979991592</v>
      </c>
    </row>
    <row r="28" spans="1:17">
      <c r="A28" s="446" t="s">
        <v>546</v>
      </c>
      <c r="B28" s="447">
        <f t="shared" ca="1" si="2"/>
        <v>10.368625469527865</v>
      </c>
      <c r="C28" s="447">
        <f t="shared" ca="1" si="3"/>
        <v>0</v>
      </c>
      <c r="D28" s="447">
        <f t="shared" si="4"/>
        <v>0</v>
      </c>
      <c r="E28" s="447">
        <f t="shared" si="5"/>
        <v>0</v>
      </c>
      <c r="F28" s="447">
        <f t="shared" si="6"/>
        <v>0</v>
      </c>
      <c r="G28" s="447">
        <f t="shared" si="7"/>
        <v>2732.6492483727679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2743.017873842296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2451.882835382668</v>
      </c>
      <c r="C32" s="447">
        <f t="shared" ca="1" si="3"/>
        <v>0</v>
      </c>
      <c r="D32" s="447">
        <f t="shared" si="4"/>
        <v>2524.1594654141677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4976.0423007968357</v>
      </c>
    </row>
    <row r="33" spans="1:17" s="459" customFormat="1">
      <c r="A33" s="456" t="s">
        <v>550</v>
      </c>
      <c r="B33" s="457">
        <f ca="1">SUM(B22:B32)</f>
        <v>71970.078468676686</v>
      </c>
      <c r="C33" s="457">
        <f t="shared" ref="C33:Q33" ca="1" si="19">SUM(C22:C32)</f>
        <v>90.645378151260516</v>
      </c>
      <c r="D33" s="457">
        <f t="shared" ca="1" si="19"/>
        <v>62784.019492453859</v>
      </c>
      <c r="E33" s="457">
        <f t="shared" si="19"/>
        <v>2384.436625116974</v>
      </c>
      <c r="F33" s="457">
        <f t="shared" ca="1" si="19"/>
        <v>29376.231934809992</v>
      </c>
      <c r="G33" s="457">
        <f t="shared" si="19"/>
        <v>110439.08108404683</v>
      </c>
      <c r="H33" s="457">
        <f t="shared" si="19"/>
        <v>16913.483885067395</v>
      </c>
      <c r="I33" s="457">
        <f t="shared" si="19"/>
        <v>0</v>
      </c>
      <c r="J33" s="457">
        <f t="shared" si="19"/>
        <v>624.57737439981634</v>
      </c>
      <c r="K33" s="457">
        <f t="shared" si="19"/>
        <v>0</v>
      </c>
      <c r="L33" s="457">
        <f t="shared" ca="1" si="19"/>
        <v>0</v>
      </c>
      <c r="M33" s="457">
        <f t="shared" si="19"/>
        <v>0</v>
      </c>
      <c r="N33" s="457">
        <f t="shared" ca="1" si="19"/>
        <v>0</v>
      </c>
      <c r="O33" s="457">
        <f t="shared" si="19"/>
        <v>0</v>
      </c>
      <c r="P33" s="457">
        <f t="shared" si="19"/>
        <v>0</v>
      </c>
      <c r="Q33" s="457">
        <f t="shared" ca="1" si="19"/>
        <v>294582.55424272281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1827.8745807203018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267</v>
      </c>
      <c r="D8" s="1006">
        <f>'SEAP template'!D76</f>
        <v>314.11764705882354</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63.451764705882361</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1827.8745807203018</v>
      </c>
      <c r="C10" s="1010">
        <f>SUM(C4:C9)</f>
        <v>267</v>
      </c>
      <c r="D10" s="1010">
        <f t="shared" ref="D10:H10" si="0">SUM(D8:D9)</f>
        <v>314.11764705882354</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63.451764705882361</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0.21977997202231558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381.42857142857144</v>
      </c>
      <c r="D17" s="1007">
        <f>'SEAP template'!D87</f>
        <v>448.73949579831935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90.645378151260516</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381.42857142857144</v>
      </c>
      <c r="D20" s="1010">
        <f t="shared" ref="D20:H20" si="2">SUM(D17:D19)</f>
        <v>448.73949579831935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90.645378151260516</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0.21977997202231558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0.21977997202231558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0.21977997202231558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13089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727</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3</v>
      </c>
      <c r="C17" s="326"/>
      <c r="D17" s="326"/>
      <c r="E17" s="326"/>
      <c r="F17" s="326"/>
    </row>
    <row r="18" spans="1:6">
      <c r="A18" s="1280" t="s">
        <v>8</v>
      </c>
      <c r="B18" s="1281">
        <v>5</v>
      </c>
      <c r="C18" s="326"/>
      <c r="D18" s="326"/>
      <c r="E18" s="326"/>
      <c r="F18" s="326"/>
    </row>
    <row r="19" spans="1:6">
      <c r="A19" s="1280" t="s">
        <v>9</v>
      </c>
      <c r="B19" s="1281">
        <v>5</v>
      </c>
      <c r="C19" s="326"/>
      <c r="D19" s="326"/>
      <c r="E19" s="326"/>
      <c r="F19" s="326"/>
    </row>
    <row r="20" spans="1:6">
      <c r="A20" s="1280" t="s">
        <v>10</v>
      </c>
      <c r="B20" s="1281">
        <v>4</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42</v>
      </c>
      <c r="C29" s="326"/>
      <c r="D29" s="326"/>
      <c r="E29" s="326"/>
      <c r="F29" s="326"/>
    </row>
    <row r="30" spans="1:6">
      <c r="A30" s="1275" t="s">
        <v>973</v>
      </c>
      <c r="B30" s="1283">
        <v>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13201</v>
      </c>
    </row>
    <row r="37" spans="1:6">
      <c r="A37" s="1280" t="s">
        <v>24</v>
      </c>
      <c r="B37" s="1280" t="s">
        <v>27</v>
      </c>
      <c r="C37" s="1281">
        <v>0</v>
      </c>
      <c r="D37" s="1281">
        <v>0</v>
      </c>
      <c r="E37" s="1281">
        <v>0</v>
      </c>
      <c r="F37" s="1281">
        <v>0</v>
      </c>
    </row>
    <row r="38" spans="1:6">
      <c r="A38" s="1280" t="s">
        <v>24</v>
      </c>
      <c r="B38" s="1280" t="s">
        <v>28</v>
      </c>
      <c r="C38" s="1281">
        <v>1</v>
      </c>
      <c r="D38" s="1281">
        <v>27795.178548010001</v>
      </c>
      <c r="E38" s="1281">
        <v>6</v>
      </c>
      <c r="F38" s="1281">
        <v>42104.8935173543</v>
      </c>
    </row>
    <row r="39" spans="1:6">
      <c r="A39" s="1280" t="s">
        <v>29</v>
      </c>
      <c r="B39" s="1280" t="s">
        <v>30</v>
      </c>
      <c r="C39" s="1281">
        <v>10099</v>
      </c>
      <c r="D39" s="1281">
        <v>176827169.347229</v>
      </c>
      <c r="E39" s="1281">
        <v>13296</v>
      </c>
      <c r="F39" s="1281">
        <v>50462537.705480099</v>
      </c>
    </row>
    <row r="40" spans="1:6">
      <c r="A40" s="1280" t="s">
        <v>29</v>
      </c>
      <c r="B40" s="1280" t="s">
        <v>28</v>
      </c>
      <c r="C40" s="1281">
        <v>0</v>
      </c>
      <c r="D40" s="1281">
        <v>0</v>
      </c>
      <c r="E40" s="1281">
        <v>1</v>
      </c>
      <c r="F40" s="1281">
        <v>2958.5534801211002</v>
      </c>
    </row>
    <row r="41" spans="1:6">
      <c r="A41" s="1280" t="s">
        <v>31</v>
      </c>
      <c r="B41" s="1280" t="s">
        <v>32</v>
      </c>
      <c r="C41" s="1281">
        <v>91</v>
      </c>
      <c r="D41" s="1281">
        <v>12044180.847567599</v>
      </c>
      <c r="E41" s="1281">
        <v>217</v>
      </c>
      <c r="F41" s="1281">
        <v>12610719.9165993</v>
      </c>
    </row>
    <row r="42" spans="1:6">
      <c r="A42" s="1280" t="s">
        <v>31</v>
      </c>
      <c r="B42" s="1280" t="s">
        <v>33</v>
      </c>
      <c r="C42" s="1281">
        <v>5</v>
      </c>
      <c r="D42" s="1281">
        <v>159806.15664060801</v>
      </c>
      <c r="E42" s="1281">
        <v>4</v>
      </c>
      <c r="F42" s="1281">
        <v>70407.874016945803</v>
      </c>
    </row>
    <row r="43" spans="1:6">
      <c r="A43" s="1280" t="s">
        <v>31</v>
      </c>
      <c r="B43" s="1280" t="s">
        <v>34</v>
      </c>
      <c r="C43" s="1281">
        <v>0</v>
      </c>
      <c r="D43" s="1281">
        <v>0</v>
      </c>
      <c r="E43" s="1281">
        <v>0</v>
      </c>
      <c r="F43" s="1281">
        <v>0</v>
      </c>
    </row>
    <row r="44" spans="1:6">
      <c r="A44" s="1280" t="s">
        <v>31</v>
      </c>
      <c r="B44" s="1280" t="s">
        <v>35</v>
      </c>
      <c r="C44" s="1281">
        <v>8</v>
      </c>
      <c r="D44" s="1281">
        <v>10670050.392199401</v>
      </c>
      <c r="E44" s="1281">
        <v>11</v>
      </c>
      <c r="F44" s="1281">
        <v>17679514.902148802</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7</v>
      </c>
      <c r="D47" s="1281">
        <v>651154.920242836</v>
      </c>
      <c r="E47" s="1281">
        <v>12</v>
      </c>
      <c r="F47" s="1281">
        <v>927463.25115693</v>
      </c>
    </row>
    <row r="48" spans="1:6">
      <c r="A48" s="1280" t="s">
        <v>31</v>
      </c>
      <c r="B48" s="1280" t="s">
        <v>28</v>
      </c>
      <c r="C48" s="1281">
        <v>50</v>
      </c>
      <c r="D48" s="1281">
        <v>3907531.7598267398</v>
      </c>
      <c r="E48" s="1281">
        <v>68</v>
      </c>
      <c r="F48" s="1281">
        <v>5753282.6771339104</v>
      </c>
    </row>
    <row r="49" spans="1:6">
      <c r="A49" s="1280" t="s">
        <v>31</v>
      </c>
      <c r="B49" s="1280" t="s">
        <v>39</v>
      </c>
      <c r="C49" s="1281">
        <v>0</v>
      </c>
      <c r="D49" s="1281">
        <v>0</v>
      </c>
      <c r="E49" s="1281">
        <v>0</v>
      </c>
      <c r="F49" s="1281">
        <v>0</v>
      </c>
    </row>
    <row r="50" spans="1:6">
      <c r="A50" s="1280" t="s">
        <v>31</v>
      </c>
      <c r="B50" s="1280" t="s">
        <v>40</v>
      </c>
      <c r="C50" s="1281">
        <v>7</v>
      </c>
      <c r="D50" s="1281">
        <v>1057116.75251914</v>
      </c>
      <c r="E50" s="1281">
        <v>11</v>
      </c>
      <c r="F50" s="1281">
        <v>627064.51771994506</v>
      </c>
    </row>
    <row r="51" spans="1:6">
      <c r="A51" s="1280" t="s">
        <v>41</v>
      </c>
      <c r="B51" s="1280" t="s">
        <v>42</v>
      </c>
      <c r="C51" s="1281">
        <v>9</v>
      </c>
      <c r="D51" s="1281">
        <v>158047.15883087699</v>
      </c>
      <c r="E51" s="1281">
        <v>19</v>
      </c>
      <c r="F51" s="1281">
        <v>96710.658538774194</v>
      </c>
    </row>
    <row r="52" spans="1:6">
      <c r="A52" s="1280" t="s">
        <v>41</v>
      </c>
      <c r="B52" s="1280" t="s">
        <v>28</v>
      </c>
      <c r="C52" s="1281">
        <v>8</v>
      </c>
      <c r="D52" s="1281">
        <v>129740.95807702999</v>
      </c>
      <c r="E52" s="1281">
        <v>8</v>
      </c>
      <c r="F52" s="1281">
        <v>609691.15844562103</v>
      </c>
    </row>
    <row r="53" spans="1:6">
      <c r="A53" s="1280" t="s">
        <v>43</v>
      </c>
      <c r="B53" s="1280" t="s">
        <v>44</v>
      </c>
      <c r="C53" s="1281">
        <v>399</v>
      </c>
      <c r="D53" s="1281">
        <v>12495838.937693899</v>
      </c>
      <c r="E53" s="1281">
        <v>612</v>
      </c>
      <c r="F53" s="1281">
        <v>11156079.4772224</v>
      </c>
    </row>
    <row r="54" spans="1:6">
      <c r="A54" s="1280" t="s">
        <v>45</v>
      </c>
      <c r="B54" s="1280" t="s">
        <v>46</v>
      </c>
      <c r="C54" s="1281">
        <v>0</v>
      </c>
      <c r="D54" s="1281">
        <v>0</v>
      </c>
      <c r="E54" s="1281">
        <v>2</v>
      </c>
      <c r="F54" s="1281">
        <v>2877377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43</v>
      </c>
      <c r="D57" s="1281">
        <v>2331288.7378946501</v>
      </c>
      <c r="E57" s="1281">
        <v>71</v>
      </c>
      <c r="F57" s="1281">
        <v>2138921.8139053802</v>
      </c>
    </row>
    <row r="58" spans="1:6">
      <c r="A58" s="1280" t="s">
        <v>48</v>
      </c>
      <c r="B58" s="1280" t="s">
        <v>50</v>
      </c>
      <c r="C58" s="1281">
        <v>0</v>
      </c>
      <c r="D58" s="1281">
        <v>0</v>
      </c>
      <c r="E58" s="1281">
        <v>17</v>
      </c>
      <c r="F58" s="1281">
        <v>134146.00656004099</v>
      </c>
    </row>
    <row r="59" spans="1:6">
      <c r="A59" s="1280" t="s">
        <v>48</v>
      </c>
      <c r="B59" s="1280" t="s">
        <v>51</v>
      </c>
      <c r="C59" s="1281">
        <v>213</v>
      </c>
      <c r="D59" s="1281">
        <v>25153007.3229151</v>
      </c>
      <c r="E59" s="1281">
        <v>431</v>
      </c>
      <c r="F59" s="1281">
        <v>44486875.146702901</v>
      </c>
    </row>
    <row r="60" spans="1:6">
      <c r="A60" s="1280" t="s">
        <v>48</v>
      </c>
      <c r="B60" s="1280" t="s">
        <v>52</v>
      </c>
      <c r="C60" s="1281">
        <v>107</v>
      </c>
      <c r="D60" s="1281">
        <v>5200805.8914471697</v>
      </c>
      <c r="E60" s="1281">
        <v>127</v>
      </c>
      <c r="F60" s="1281">
        <v>3748371.9327122499</v>
      </c>
    </row>
    <row r="61" spans="1:6">
      <c r="A61" s="1280" t="s">
        <v>48</v>
      </c>
      <c r="B61" s="1280" t="s">
        <v>53</v>
      </c>
      <c r="C61" s="1281">
        <v>599</v>
      </c>
      <c r="D61" s="1281">
        <v>67834121.049675599</v>
      </c>
      <c r="E61" s="1281">
        <v>1485</v>
      </c>
      <c r="F61" s="1281">
        <v>137256019.99351501</v>
      </c>
    </row>
    <row r="62" spans="1:6">
      <c r="A62" s="1280" t="s">
        <v>48</v>
      </c>
      <c r="B62" s="1280" t="s">
        <v>54</v>
      </c>
      <c r="C62" s="1281">
        <v>7</v>
      </c>
      <c r="D62" s="1281">
        <v>2254794.0029544299</v>
      </c>
      <c r="E62" s="1281">
        <v>6</v>
      </c>
      <c r="F62" s="1281">
        <v>609292.84407184797</v>
      </c>
    </row>
    <row r="63" spans="1:6">
      <c r="A63" s="1280" t="s">
        <v>48</v>
      </c>
      <c r="B63" s="1280" t="s">
        <v>28</v>
      </c>
      <c r="C63" s="1281">
        <v>236</v>
      </c>
      <c r="D63" s="1281">
        <v>23172693.347344901</v>
      </c>
      <c r="E63" s="1281">
        <v>254</v>
      </c>
      <c r="F63" s="1281">
        <v>35068013.830057196</v>
      </c>
    </row>
    <row r="64" spans="1:6">
      <c r="A64" s="1280" t="s">
        <v>55</v>
      </c>
      <c r="B64" s="1280" t="s">
        <v>56</v>
      </c>
      <c r="C64" s="1281">
        <v>0</v>
      </c>
      <c r="D64" s="1281">
        <v>0</v>
      </c>
      <c r="E64" s="1281">
        <v>0</v>
      </c>
      <c r="F64" s="1281">
        <v>0</v>
      </c>
    </row>
    <row r="65" spans="1:6">
      <c r="A65" s="1280" t="s">
        <v>55</v>
      </c>
      <c r="B65" s="1280" t="s">
        <v>28</v>
      </c>
      <c r="C65" s="1281">
        <v>4</v>
      </c>
      <c r="D65" s="1281">
        <v>823603.38864179503</v>
      </c>
      <c r="E65" s="1281">
        <v>9</v>
      </c>
      <c r="F65" s="1281">
        <v>85246.058603238605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14</v>
      </c>
      <c r="D68" s="1283">
        <v>343227.287674964</v>
      </c>
      <c r="E68" s="1283">
        <v>20</v>
      </c>
      <c r="F68" s="1283">
        <v>243997.168691308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86970085</v>
      </c>
      <c r="E73" s="445"/>
      <c r="F73" s="326"/>
    </row>
    <row r="74" spans="1:6">
      <c r="A74" s="1280" t="s">
        <v>63</v>
      </c>
      <c r="B74" s="1280" t="s">
        <v>754</v>
      </c>
      <c r="C74" s="1293" t="s">
        <v>755</v>
      </c>
      <c r="D74" s="1281">
        <v>1864467.7838601216</v>
      </c>
      <c r="E74" s="445"/>
      <c r="F74" s="326"/>
    </row>
    <row r="75" spans="1:6">
      <c r="A75" s="1280" t="s">
        <v>64</v>
      </c>
      <c r="B75" s="1280" t="s">
        <v>752</v>
      </c>
      <c r="C75" s="1293" t="s">
        <v>756</v>
      </c>
      <c r="D75" s="1281">
        <v>30295935</v>
      </c>
      <c r="E75" s="445"/>
      <c r="F75" s="326"/>
    </row>
    <row r="76" spans="1:6">
      <c r="A76" s="1280" t="s">
        <v>64</v>
      </c>
      <c r="B76" s="1280" t="s">
        <v>754</v>
      </c>
      <c r="C76" s="1293" t="s">
        <v>757</v>
      </c>
      <c r="D76" s="1281">
        <v>80990.200000000012</v>
      </c>
      <c r="E76" s="445"/>
      <c r="F76" s="326"/>
    </row>
    <row r="77" spans="1:6">
      <c r="A77" s="1280" t="s">
        <v>65</v>
      </c>
      <c r="B77" s="1280" t="s">
        <v>752</v>
      </c>
      <c r="C77" s="1293" t="s">
        <v>758</v>
      </c>
      <c r="D77" s="1281">
        <v>452502247</v>
      </c>
      <c r="E77" s="445"/>
      <c r="F77" s="326"/>
    </row>
    <row r="78" spans="1:6">
      <c r="A78" s="1275" t="s">
        <v>65</v>
      </c>
      <c r="B78" s="1275" t="s">
        <v>754</v>
      </c>
      <c r="C78" s="1275" t="s">
        <v>759</v>
      </c>
      <c r="D78" s="1283">
        <v>38933104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2807070.4322797568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828.34902911225834</v>
      </c>
      <c r="C91" s="326"/>
      <c r="D91" s="326"/>
      <c r="E91" s="326"/>
      <c r="F91" s="326"/>
    </row>
    <row r="92" spans="1:6">
      <c r="A92" s="1275" t="s">
        <v>68</v>
      </c>
      <c r="B92" s="1276">
        <v>999.52555160804354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7180</v>
      </c>
      <c r="C97" s="326"/>
      <c r="D97" s="326"/>
      <c r="E97" s="326"/>
      <c r="F97" s="326"/>
    </row>
    <row r="98" spans="1:6">
      <c r="A98" s="1280" t="s">
        <v>71</v>
      </c>
      <c r="B98" s="1281">
        <v>4</v>
      </c>
      <c r="C98" s="326"/>
      <c r="D98" s="326"/>
      <c r="E98" s="326"/>
      <c r="F98" s="326"/>
    </row>
    <row r="99" spans="1:6">
      <c r="A99" s="1280" t="s">
        <v>72</v>
      </c>
      <c r="B99" s="1281">
        <v>38</v>
      </c>
      <c r="C99" s="326"/>
      <c r="D99" s="326"/>
      <c r="E99" s="326"/>
      <c r="F99" s="326"/>
    </row>
    <row r="100" spans="1:6">
      <c r="A100" s="1280" t="s">
        <v>73</v>
      </c>
      <c r="B100" s="1281">
        <v>729</v>
      </c>
      <c r="C100" s="326"/>
      <c r="D100" s="326"/>
      <c r="E100" s="326"/>
      <c r="F100" s="326"/>
    </row>
    <row r="101" spans="1:6">
      <c r="A101" s="1280" t="s">
        <v>74</v>
      </c>
      <c r="B101" s="1281">
        <v>33</v>
      </c>
      <c r="C101" s="326"/>
      <c r="D101" s="326"/>
      <c r="E101" s="326"/>
      <c r="F101" s="326"/>
    </row>
    <row r="102" spans="1:6">
      <c r="A102" s="1280" t="s">
        <v>75</v>
      </c>
      <c r="B102" s="1281">
        <v>215</v>
      </c>
      <c r="C102" s="326"/>
      <c r="D102" s="326"/>
      <c r="E102" s="326"/>
      <c r="F102" s="326"/>
    </row>
    <row r="103" spans="1:6">
      <c r="A103" s="1280" t="s">
        <v>76</v>
      </c>
      <c r="B103" s="1281">
        <v>81</v>
      </c>
      <c r="C103" s="326"/>
      <c r="D103" s="326"/>
      <c r="E103" s="326"/>
      <c r="F103" s="326"/>
    </row>
    <row r="104" spans="1:6">
      <c r="A104" s="1280" t="s">
        <v>77</v>
      </c>
      <c r="B104" s="1281">
        <v>2411</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6</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327464.22618239821</v>
      </c>
      <c r="C3" s="43" t="s">
        <v>163</v>
      </c>
      <c r="D3" s="43"/>
      <c r="E3" s="156"/>
      <c r="F3" s="43"/>
      <c r="G3" s="43"/>
      <c r="H3" s="43"/>
      <c r="I3" s="43"/>
      <c r="J3" s="43"/>
      <c r="K3" s="96"/>
    </row>
    <row r="4" spans="1:11">
      <c r="A4" s="352" t="s">
        <v>164</v>
      </c>
      <c r="B4" s="49">
        <f>IF(ISERROR('SEAP template'!B78+'SEAP template'!C78),0,'SEAP template'!B78+'SEAP template'!C78)</f>
        <v>2094.8745807203018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63.451764705882361</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0.21977997202231558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90.645378151260516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381.42857142857144</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2877.377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2877.377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0.21977997202231558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632.38983655765435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50465.496258960215</v>
      </c>
      <c r="C5" s="17">
        <f>IF(ISERROR('Eigen informatie GS &amp; warmtenet'!B57),0,'Eigen informatie GS &amp; warmtenet'!B57)</f>
        <v>0</v>
      </c>
      <c r="D5" s="30">
        <f>(SUM(HH_hh_gas_kWh,HH_rest_gas_kWh)/1000)*0.902</f>
        <v>159498.10675120057</v>
      </c>
      <c r="E5" s="17">
        <f>B32*B41</f>
        <v>1683.5749170817321</v>
      </c>
      <c r="F5" s="17">
        <f>B36*B45</f>
        <v>57467.812311745016</v>
      </c>
      <c r="G5" s="18"/>
      <c r="H5" s="17"/>
      <c r="I5" s="17"/>
      <c r="J5" s="17">
        <f>B35*B44+C35*C44</f>
        <v>1294.0294358525098</v>
      </c>
      <c r="K5" s="17"/>
      <c r="L5" s="17"/>
      <c r="M5" s="17"/>
      <c r="N5" s="17">
        <f>B34*B43+C34*C43</f>
        <v>15097.71497507829</v>
      </c>
      <c r="O5" s="17">
        <f>B52*B53*B54</f>
        <v>54.716666666666669</v>
      </c>
      <c r="P5" s="17">
        <f>B60*B61*B62/1000-B60*B61*B62/1000/B63</f>
        <v>133.46666666666667</v>
      </c>
    </row>
    <row r="6" spans="1:16">
      <c r="A6" s="16" t="s">
        <v>615</v>
      </c>
      <c r="B6" s="766">
        <f>kWh_PV_kleiner_dan_10kW</f>
        <v>828.34902911225834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51293.845288072473</v>
      </c>
      <c r="C8" s="21">
        <f>C5</f>
        <v>0</v>
      </c>
      <c r="D8" s="21">
        <f>D5</f>
        <v>159498.10675120057</v>
      </c>
      <c r="E8" s="21">
        <f>E5</f>
        <v>1683.5749170817321</v>
      </c>
      <c r="F8" s="21">
        <f>F5</f>
        <v>57467.812311745016</v>
      </c>
      <c r="G8" s="21"/>
      <c r="H8" s="21"/>
      <c r="I8" s="21"/>
      <c r="J8" s="21">
        <f>J5</f>
        <v>1294.0294358525098</v>
      </c>
      <c r="K8" s="21"/>
      <c r="L8" s="21">
        <f>L5</f>
        <v>0</v>
      </c>
      <c r="M8" s="21">
        <f>M5</f>
        <v>0</v>
      </c>
      <c r="N8" s="21">
        <f>N5</f>
        <v>15097.71497507829</v>
      </c>
      <c r="O8" s="21">
        <f>O5</f>
        <v>54.716666666666669</v>
      </c>
      <c r="P8" s="21">
        <f>P5</f>
        <v>133.46666666666667</v>
      </c>
    </row>
    <row r="9" spans="1:16">
      <c r="B9" s="19"/>
      <c r="C9" s="19"/>
      <c r="D9" s="256"/>
      <c r="E9" s="19"/>
      <c r="F9" s="19"/>
      <c r="G9" s="19"/>
      <c r="H9" s="19"/>
      <c r="I9" s="19"/>
      <c r="J9" s="19"/>
      <c r="K9" s="19"/>
      <c r="L9" s="19"/>
      <c r="M9" s="19"/>
      <c r="N9" s="19"/>
      <c r="O9" s="19"/>
      <c r="P9" s="19"/>
    </row>
    <row r="10" spans="1:16">
      <c r="A10" s="24" t="s">
        <v>207</v>
      </c>
      <c r="B10" s="25">
        <f ca="1">'EF ele_warmte'!B12</f>
        <v>0.21977997202231558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11273.359882329552</v>
      </c>
      <c r="C12" s="23">
        <f ca="1">C10*C8</f>
        <v>0</v>
      </c>
      <c r="D12" s="23">
        <f>D8*D10</f>
        <v>32218.617563742519</v>
      </c>
      <c r="E12" s="23">
        <f>E10*E8</f>
        <v>382.17150617755323</v>
      </c>
      <c r="F12" s="23">
        <f>F10*F8</f>
        <v>15343.90588723592</v>
      </c>
      <c r="G12" s="23"/>
      <c r="H12" s="23"/>
      <c r="I12" s="23"/>
      <c r="J12" s="23">
        <f>J10*J8</f>
        <v>458.08642029178844</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13089</v>
      </c>
      <c r="C26" s="36"/>
      <c r="D26" s="226"/>
    </row>
    <row r="27" spans="1:5" s="15" customFormat="1">
      <c r="A27" s="228" t="s">
        <v>695</v>
      </c>
      <c r="B27" s="37">
        <f>SUM(HH_hh_gas_aantal,HH_rest_gas_aantal)</f>
        <v>10099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9594.0499999999993</v>
      </c>
      <c r="C31" s="34" t="s">
        <v>104</v>
      </c>
      <c r="D31" s="172"/>
    </row>
    <row r="32" spans="1:5">
      <c r="A32" s="169" t="s">
        <v>72</v>
      </c>
      <c r="B32" s="33">
        <f>IF((B21*($B$26-($B$27-0.05*$B$27)-$B$60))&lt;0,0,B21*($B$26-($B$27-0.05*$B$27)-$B$60))</f>
        <v>24.728060977364152</v>
      </c>
      <c r="C32" s="34" t="s">
        <v>104</v>
      </c>
      <c r="D32" s="172"/>
    </row>
    <row r="33" spans="1:6">
      <c r="A33" s="169" t="s">
        <v>73</v>
      </c>
      <c r="B33" s="33">
        <f>IF((B22*($B$26-($B$27-0.05*$B$27)-$B$60))&lt;0,0,B22*($B$26-($B$27-0.05*$B$27)-$B$60))</f>
        <v>708.70286324921892</v>
      </c>
      <c r="C33" s="34" t="s">
        <v>104</v>
      </c>
      <c r="D33" s="172"/>
    </row>
    <row r="34" spans="1:6">
      <c r="A34" s="169" t="s">
        <v>74</v>
      </c>
      <c r="B34" s="33">
        <f>IF((B24*($B$26-($B$27-0.05*$B$27)-$B$60))&lt;0,0,B24*($B$26-($B$27-0.05*$B$27)-$B$60))</f>
        <v>141.32284072990305</v>
      </c>
      <c r="C34" s="33">
        <f>B26*C24</f>
        <v>2676.40749920096</v>
      </c>
      <c r="D34" s="231"/>
    </row>
    <row r="35" spans="1:6">
      <c r="A35" s="169" t="s">
        <v>76</v>
      </c>
      <c r="B35" s="33">
        <f>IF((B19*($B$26-($B$27-0.05*$B$27)-$B$60))&lt;0,0,B19*($B$26-($B$27-0.05*$B$27)-$B$60))</f>
        <v>73.595419575488549</v>
      </c>
      <c r="C35" s="33">
        <f>B35/2</f>
        <v>36.797709787744274</v>
      </c>
      <c r="D35" s="231"/>
    </row>
    <row r="36" spans="1:6">
      <c r="A36" s="169" t="s">
        <v>77</v>
      </c>
      <c r="B36" s="33">
        <f>IF((B18*($B$26-($B$27-0.05*$B$27)-$B$60))&lt;0,0,B18*($B$26-($B$27-0.05*$B$27)-$B$60))</f>
        <v>2539.6008154680262</v>
      </c>
      <c r="C36" s="34" t="s">
        <v>104</v>
      </c>
      <c r="D36" s="172"/>
    </row>
    <row r="37" spans="1:6">
      <c r="A37" s="169" t="s">
        <v>78</v>
      </c>
      <c r="B37" s="33">
        <f>B60</f>
        <v>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223441.64156752461</v>
      </c>
      <c r="C5" s="17">
        <f>IF(ISERROR('Eigen informatie GS &amp; warmtenet'!B58),0,'Eigen informatie GS &amp; warmtenet'!B58)</f>
        <v>0</v>
      </c>
      <c r="D5" s="30">
        <f>SUM(D6:D12)</f>
        <v>113603.93273771313</v>
      </c>
      <c r="E5" s="17">
        <f>SUM(E6:E12)</f>
        <v>6010.0141562398912</v>
      </c>
      <c r="F5" s="17">
        <f>SUM(F6:F12)</f>
        <v>36283.690518885385</v>
      </c>
      <c r="G5" s="18"/>
      <c r="H5" s="17"/>
      <c r="I5" s="17"/>
      <c r="J5" s="17">
        <f>SUM(J6:J12)</f>
        <v>0</v>
      </c>
      <c r="K5" s="17"/>
      <c r="L5" s="17"/>
      <c r="M5" s="17"/>
      <c r="N5" s="17">
        <f>SUM(N6:N12)</f>
        <v>2572.307889233638</v>
      </c>
      <c r="O5" s="17">
        <f>B38*B39*B40</f>
        <v>1.5633333333333335</v>
      </c>
      <c r="P5" s="17">
        <f>B46*B47*B48/1000-B46*B47*B48/1000/B49</f>
        <v>38.133333333333333</v>
      </c>
      <c r="R5" s="32"/>
    </row>
    <row r="6" spans="1:18">
      <c r="A6" s="32" t="s">
        <v>53</v>
      </c>
      <c r="B6" s="37">
        <f>B26</f>
        <v>137256.01999351502</v>
      </c>
      <c r="C6" s="33"/>
      <c r="D6" s="37">
        <f>IF(ISERROR(TER_kantoor_gas_kWh/1000),0,TER_kantoor_gas_kWh/1000)*0.902</f>
        <v>61186.377186807389</v>
      </c>
      <c r="E6" s="33">
        <f>$C$26*'E Balans VL '!I12/100/3.6*1000000</f>
        <v>4804.5006301798421</v>
      </c>
      <c r="F6" s="33">
        <f>$C$26*('E Balans VL '!L12+'E Balans VL '!N12)/100/3.6*1000000</f>
        <v>20810.959488889577</v>
      </c>
      <c r="G6" s="34"/>
      <c r="H6" s="33"/>
      <c r="I6" s="33"/>
      <c r="J6" s="33">
        <f>$C$26*('E Balans VL '!D12+'E Balans VL '!E12)/100/3.6*1000000</f>
        <v>0</v>
      </c>
      <c r="K6" s="33"/>
      <c r="L6" s="33"/>
      <c r="M6" s="33"/>
      <c r="N6" s="33">
        <f>$C$26*'E Balans VL '!Y12/100/3.6*1000000</f>
        <v>1060.9460745979241</v>
      </c>
      <c r="O6" s="33"/>
      <c r="P6" s="33"/>
      <c r="R6" s="32"/>
    </row>
    <row r="7" spans="1:18">
      <c r="A7" s="32" t="s">
        <v>52</v>
      </c>
      <c r="B7" s="37">
        <f t="shared" ref="B7:B12" si="0">B27</f>
        <v>3748.3719327122499</v>
      </c>
      <c r="C7" s="33"/>
      <c r="D7" s="37">
        <f>IF(ISERROR(TER_horeca_gas_kWh/1000),0,TER_horeca_gas_kWh/1000)*0.902</f>
        <v>4691.1269140853474</v>
      </c>
      <c r="E7" s="33">
        <f>$C$27*'E Balans VL '!I9/100/3.6*1000000</f>
        <v>211.45801821328496</v>
      </c>
      <c r="F7" s="33">
        <f>$C$27*('E Balans VL '!L9+'E Balans VL '!N9)/100/3.6*1000000</f>
        <v>652.98713443508677</v>
      </c>
      <c r="G7" s="34"/>
      <c r="H7" s="33"/>
      <c r="I7" s="33"/>
      <c r="J7" s="33">
        <f>$C$27*('E Balans VL '!D9+'E Balans VL '!E9)/100/3.6*1000000</f>
        <v>0</v>
      </c>
      <c r="K7" s="33"/>
      <c r="L7" s="33"/>
      <c r="M7" s="33"/>
      <c r="N7" s="33">
        <f>$C$27*'E Balans VL '!Y9/100/3.6*1000000</f>
        <v>0</v>
      </c>
      <c r="O7" s="33"/>
      <c r="P7" s="33"/>
      <c r="R7" s="32"/>
    </row>
    <row r="8" spans="1:18">
      <c r="A8" s="6" t="s">
        <v>51</v>
      </c>
      <c r="B8" s="37">
        <f t="shared" si="0"/>
        <v>44486.8751467029</v>
      </c>
      <c r="C8" s="33"/>
      <c r="D8" s="37">
        <f>IF(ISERROR(TER_handel_gas_kWh/1000),0,TER_handel_gas_kWh/1000)*0.902</f>
        <v>22688.012605269418</v>
      </c>
      <c r="E8" s="33">
        <f>$C$28*'E Balans VL '!I13/100/3.6*1000000</f>
        <v>228.39109720221015</v>
      </c>
      <c r="F8" s="33">
        <f>$C$28*('E Balans VL '!L13+'E Balans VL '!N13)/100/3.6*1000000</f>
        <v>6859.1887548366194</v>
      </c>
      <c r="G8" s="34"/>
      <c r="H8" s="33"/>
      <c r="I8" s="33"/>
      <c r="J8" s="33">
        <f>$C$28*('E Balans VL '!D13+'E Balans VL '!E13)/100/3.6*1000000</f>
        <v>0</v>
      </c>
      <c r="K8" s="33"/>
      <c r="L8" s="33"/>
      <c r="M8" s="33"/>
      <c r="N8" s="33">
        <f>$C$28*'E Balans VL '!Y13/100/3.6*1000000</f>
        <v>20.807054541518713</v>
      </c>
      <c r="O8" s="33"/>
      <c r="P8" s="33"/>
      <c r="R8" s="32"/>
    </row>
    <row r="9" spans="1:18">
      <c r="A9" s="32" t="s">
        <v>50</v>
      </c>
      <c r="B9" s="37">
        <f t="shared" si="0"/>
        <v>134.14600656004097</v>
      </c>
      <c r="C9" s="33"/>
      <c r="D9" s="37">
        <f>IF(ISERROR(TER_gezond_gas_kWh/1000),0,TER_gezond_gas_kWh/1000)*0.902</f>
        <v>0</v>
      </c>
      <c r="E9" s="33">
        <f>$C$29*'E Balans VL '!I10/100/3.6*1000000</f>
        <v>5.5602564365517922E-2</v>
      </c>
      <c r="F9" s="33">
        <f>$C$29*('E Balans VL '!L10+'E Balans VL '!N10)/100/3.6*1000000</f>
        <v>33.038237505368755</v>
      </c>
      <c r="G9" s="34"/>
      <c r="H9" s="33"/>
      <c r="I9" s="33"/>
      <c r="J9" s="33">
        <f>$C$29*('E Balans VL '!D10+'E Balans VL '!E10)/100/3.6*1000000</f>
        <v>0</v>
      </c>
      <c r="K9" s="33"/>
      <c r="L9" s="33"/>
      <c r="M9" s="33"/>
      <c r="N9" s="33">
        <f>$C$29*'E Balans VL '!Y10/100/3.6*1000000</f>
        <v>1.1593535248290492</v>
      </c>
      <c r="O9" s="33"/>
      <c r="P9" s="33"/>
      <c r="R9" s="32"/>
    </row>
    <row r="10" spans="1:18">
      <c r="A10" s="32" t="s">
        <v>49</v>
      </c>
      <c r="B10" s="37">
        <f t="shared" si="0"/>
        <v>2138.9218139053801</v>
      </c>
      <c r="C10" s="33"/>
      <c r="D10" s="37">
        <f>IF(ISERROR(TER_ander_gas_kWh/1000),0,TER_ander_gas_kWh/1000)*0.902</f>
        <v>2102.8224415809746</v>
      </c>
      <c r="E10" s="33">
        <f>$C$30*'E Balans VL '!I14/100/3.6*1000000</f>
        <v>13.038920150537983</v>
      </c>
      <c r="F10" s="33">
        <f>$C$30*('E Balans VL '!L14+'E Balans VL '!N14)/100/3.6*1000000</f>
        <v>567.05747277153421</v>
      </c>
      <c r="G10" s="34"/>
      <c r="H10" s="33"/>
      <c r="I10" s="33"/>
      <c r="J10" s="33">
        <f>$C$30*('E Balans VL '!D14+'E Balans VL '!E14)/100/3.6*1000000</f>
        <v>0</v>
      </c>
      <c r="K10" s="33"/>
      <c r="L10" s="33"/>
      <c r="M10" s="33"/>
      <c r="N10" s="33">
        <f>$C$30*'E Balans VL '!Y14/100/3.6*1000000</f>
        <v>492.97525940668277</v>
      </c>
      <c r="O10" s="33"/>
      <c r="P10" s="33"/>
      <c r="R10" s="32"/>
    </row>
    <row r="11" spans="1:18">
      <c r="A11" s="32" t="s">
        <v>54</v>
      </c>
      <c r="B11" s="37">
        <f t="shared" si="0"/>
        <v>609.29284407184798</v>
      </c>
      <c r="C11" s="33"/>
      <c r="D11" s="37">
        <f>IF(ISERROR(TER_onderwijs_gas_kWh/1000),0,TER_onderwijs_gas_kWh/1000)*0.902</f>
        <v>2033.8241906648957</v>
      </c>
      <c r="E11" s="33">
        <f>$C$31*'E Balans VL '!I11/100/3.6*1000000</f>
        <v>0.46431287339630545</v>
      </c>
      <c r="F11" s="33">
        <f>$C$31*('E Balans VL '!L11+'E Balans VL '!N11)/100/3.6*1000000</f>
        <v>440.91769260755632</v>
      </c>
      <c r="G11" s="34"/>
      <c r="H11" s="33"/>
      <c r="I11" s="33"/>
      <c r="J11" s="33">
        <f>$C$31*('E Balans VL '!D11+'E Balans VL '!E11)/100/3.6*1000000</f>
        <v>0</v>
      </c>
      <c r="K11" s="33"/>
      <c r="L11" s="33"/>
      <c r="M11" s="33"/>
      <c r="N11" s="33">
        <f>$C$31*'E Balans VL '!Y11/100/3.6*1000000</f>
        <v>1.7957316298160171</v>
      </c>
      <c r="O11" s="33"/>
      <c r="P11" s="33"/>
      <c r="R11" s="32"/>
    </row>
    <row r="12" spans="1:18">
      <c r="A12" s="32" t="s">
        <v>249</v>
      </c>
      <c r="B12" s="37">
        <f t="shared" si="0"/>
        <v>35068.0138300572</v>
      </c>
      <c r="C12" s="33"/>
      <c r="D12" s="37">
        <f>IF(ISERROR(TER_rest_gas_kWh/1000),0,TER_rest_gas_kWh/1000)*0.902</f>
        <v>20901.769399305103</v>
      </c>
      <c r="E12" s="33">
        <f>$C$32*'E Balans VL '!I8/100/3.6*1000000</f>
        <v>752.10557505625468</v>
      </c>
      <c r="F12" s="33">
        <f>$C$32*('E Balans VL '!L8+'E Balans VL '!N8)/100/3.6*1000000</f>
        <v>6919.5417378396378</v>
      </c>
      <c r="G12" s="34"/>
      <c r="H12" s="33"/>
      <c r="I12" s="33"/>
      <c r="J12" s="33">
        <f>$C$32*('E Balans VL '!D8+'E Balans VL '!E8)/100/3.6*1000000</f>
        <v>0</v>
      </c>
      <c r="K12" s="33"/>
      <c r="L12" s="33"/>
      <c r="M12" s="33"/>
      <c r="N12" s="33">
        <f>$C$32*'E Balans VL '!Y8/100/3.6*1000000</f>
        <v>994.6244155328676</v>
      </c>
      <c r="O12" s="33"/>
      <c r="P12" s="33"/>
      <c r="R12" s="32"/>
    </row>
    <row r="13" spans="1:18">
      <c r="A13" s="16" t="s">
        <v>483</v>
      </c>
      <c r="B13" s="244">
        <f ca="1">'lokale energieproductie'!N38+'lokale energieproductie'!N31</f>
        <v>267</v>
      </c>
      <c r="C13" s="244">
        <f ca="1">'lokale energieproductie'!O38+'lokale energieproductie'!O31</f>
        <v>381.42857142857144</v>
      </c>
      <c r="D13" s="304">
        <f ca="1">('lokale energieproductie'!P31+'lokale energieproductie'!P38)*(-1)</f>
        <v>-762.85714285714289</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223708.64156752461</v>
      </c>
      <c r="C16" s="21">
        <f ca="1">C5+C13+C14</f>
        <v>381.42857142857144</v>
      </c>
      <c r="D16" s="21">
        <f t="shared" ref="D16:N16" ca="1" si="1">MAX((D5+D13+D14),0)</f>
        <v>112841.07559485598</v>
      </c>
      <c r="E16" s="21">
        <f t="shared" si="1"/>
        <v>6010.0141562398912</v>
      </c>
      <c r="F16" s="21">
        <f t="shared" ca="1" si="1"/>
        <v>36283.690518885385</v>
      </c>
      <c r="G16" s="21">
        <f t="shared" si="1"/>
        <v>0</v>
      </c>
      <c r="H16" s="21">
        <f t="shared" si="1"/>
        <v>0</v>
      </c>
      <c r="I16" s="21">
        <f t="shared" si="1"/>
        <v>0</v>
      </c>
      <c r="J16" s="21">
        <f t="shared" si="1"/>
        <v>0</v>
      </c>
      <c r="K16" s="21">
        <f t="shared" si="1"/>
        <v>0</v>
      </c>
      <c r="L16" s="21">
        <f t="shared" ca="1" si="1"/>
        <v>0</v>
      </c>
      <c r="M16" s="21">
        <f t="shared" si="1"/>
        <v>0</v>
      </c>
      <c r="N16" s="21">
        <f t="shared" ca="1" si="1"/>
        <v>2572.307889233638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0.21977997202231558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49166.67898486078</v>
      </c>
      <c r="C20" s="23">
        <f t="shared" ref="C20:P20" ca="1" si="2">C16*C18</f>
        <v>90.645378151260516</v>
      </c>
      <c r="D20" s="23">
        <f t="shared" ca="1" si="2"/>
        <v>22793.897270160909</v>
      </c>
      <c r="E20" s="23">
        <f t="shared" si="2"/>
        <v>1364.2732134664554</v>
      </c>
      <c r="F20" s="23">
        <f t="shared" ca="1" si="2"/>
        <v>9687.7453685423989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137256.01999351502</v>
      </c>
      <c r="C26" s="39">
        <f>IF(ISERROR(B26*3.6/1000000/'E Balans VL '!Z12*100),0,B26*3.6/1000000/'E Balans VL '!Z12*100)</f>
        <v>2.88832531878802</v>
      </c>
      <c r="D26" s="234" t="s">
        <v>700</v>
      </c>
      <c r="F26" s="6"/>
    </row>
    <row r="27" spans="1:18">
      <c r="A27" s="229" t="s">
        <v>52</v>
      </c>
      <c r="B27" s="33">
        <f>IF(ISERROR(TER_horeca_ele_kWh/1000),0,TER_horeca_ele_kWh/1000)</f>
        <v>3748.3719327122499</v>
      </c>
      <c r="C27" s="39">
        <f>IF(ISERROR(B27*3.6/1000000/'E Balans VL '!Z9*100),0,B27*3.6/1000000/'E Balans VL '!Z9*100)</f>
        <v>0.31736411871515585</v>
      </c>
      <c r="D27" s="234" t="s">
        <v>700</v>
      </c>
      <c r="F27" s="6"/>
    </row>
    <row r="28" spans="1:18">
      <c r="A28" s="169" t="s">
        <v>51</v>
      </c>
      <c r="B28" s="33">
        <f>IF(ISERROR(TER_handel_ele_kWh/1000),0,TER_handel_ele_kWh/1000)</f>
        <v>44486.8751467029</v>
      </c>
      <c r="C28" s="39">
        <f>IF(ISERROR(B28*3.6/1000000/'E Balans VL '!Z13*100),0,B28*3.6/1000000/'E Balans VL '!Z13*100)</f>
        <v>1.2316129868338279</v>
      </c>
      <c r="D28" s="234" t="s">
        <v>700</v>
      </c>
      <c r="F28" s="6"/>
    </row>
    <row r="29" spans="1:18">
      <c r="A29" s="229" t="s">
        <v>50</v>
      </c>
      <c r="B29" s="33">
        <f>IF(ISERROR(TER_gezond_ele_kWh/1000),0,TER_gezond_ele_kWh/1000)</f>
        <v>134.14600656004097</v>
      </c>
      <c r="C29" s="39">
        <f>IF(ISERROR(B29*3.6/1000000/'E Balans VL '!Z10*100),0,B29*3.6/1000000/'E Balans VL '!Z10*100)</f>
        <v>1.7437493670932488E-2</v>
      </c>
      <c r="D29" s="234" t="s">
        <v>700</v>
      </c>
      <c r="F29" s="6"/>
    </row>
    <row r="30" spans="1:18">
      <c r="A30" s="229" t="s">
        <v>49</v>
      </c>
      <c r="B30" s="33">
        <f>IF(ISERROR(TER_ander_ele_kWh/1000),0,TER_ander_ele_kWh/1000)</f>
        <v>2138.9218139053801</v>
      </c>
      <c r="C30" s="39">
        <f>IF(ISERROR(B30*3.6/1000000/'E Balans VL '!Z14*100),0,B30*3.6/1000000/'E Balans VL '!Z14*100)</f>
        <v>0.16578605598914173</v>
      </c>
      <c r="D30" s="234" t="s">
        <v>700</v>
      </c>
      <c r="F30" s="6"/>
    </row>
    <row r="31" spans="1:18">
      <c r="A31" s="229" t="s">
        <v>54</v>
      </c>
      <c r="B31" s="33">
        <f>IF(ISERROR(TER_onderwijs_ele_kWh/1000),0,TER_onderwijs_ele_kWh/1000)</f>
        <v>609.29284407184798</v>
      </c>
      <c r="C31" s="39">
        <f>IF(ISERROR(B31*3.6/1000000/'E Balans VL '!Z11*100),0,B31*3.6/1000000/'E Balans VL '!Z11*100)</f>
        <v>0.11656810320129939</v>
      </c>
      <c r="D31" s="234" t="s">
        <v>700</v>
      </c>
    </row>
    <row r="32" spans="1:18">
      <c r="A32" s="229" t="s">
        <v>249</v>
      </c>
      <c r="B32" s="33">
        <f>IF(ISERROR(TER_rest_ele_kWh/1000),0,TER_rest_ele_kWh/1000)</f>
        <v>35068.0138300572</v>
      </c>
      <c r="C32" s="39">
        <f>IF(ISERROR(B32*3.6/1000000/'E Balans VL '!Z8*100),0,B32*3.6/1000000/'E Balans VL '!Z8*100)</f>
        <v>0.28916270330241373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37668.453138775832</v>
      </c>
      <c r="C5" s="17">
        <f>IF(ISERROR('Eigen informatie GS &amp; warmtenet'!B59),0,'Eigen informatie GS &amp; warmtenet'!B59)</f>
        <v>0</v>
      </c>
      <c r="D5" s="30">
        <f>SUM(D6:D15)</f>
        <v>25697.836427754679</v>
      </c>
      <c r="E5" s="17">
        <f>SUM(E6:E15)</f>
        <v>422.45998660116499</v>
      </c>
      <c r="F5" s="17">
        <f>SUM(F6:F15)</f>
        <v>13247.901221103055</v>
      </c>
      <c r="G5" s="18"/>
      <c r="H5" s="17"/>
      <c r="I5" s="17"/>
      <c r="J5" s="17">
        <f>SUM(J6:J15)</f>
        <v>407.2254158394876</v>
      </c>
      <c r="K5" s="17"/>
      <c r="L5" s="17"/>
      <c r="M5" s="17"/>
      <c r="N5" s="17">
        <f>SUM(N6:N15)</f>
        <v>1113.9586816310975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17679.514902148803</v>
      </c>
      <c r="C8" s="33"/>
      <c r="D8" s="37">
        <f>IF( ISERROR(IND_metaal_Gas_kWH/1000),0,IND_metaal_Gas_kWH/1000)*0.902</f>
        <v>9624.3854537638599</v>
      </c>
      <c r="E8" s="33">
        <f>C30*'E Balans VL '!I18/100/3.6*1000000</f>
        <v>124.23005040937819</v>
      </c>
      <c r="F8" s="33">
        <f>C30*'E Balans VL '!L18/100/3.6*1000000+C30*'E Balans VL '!N18/100/3.6*1000000</f>
        <v>1941.1073009127717</v>
      </c>
      <c r="G8" s="34"/>
      <c r="H8" s="33"/>
      <c r="I8" s="33"/>
      <c r="J8" s="40">
        <f>C30*'E Balans VL '!D18/100/3.6*1000000+C30*'E Balans VL '!E18/100/3.6*1000000</f>
        <v>364.76649871229017</v>
      </c>
      <c r="K8" s="33"/>
      <c r="L8" s="33"/>
      <c r="M8" s="33"/>
      <c r="N8" s="33">
        <f>C30*'E Balans VL '!Y18/100/3.6*1000000</f>
        <v>66.26409513055124</v>
      </c>
      <c r="O8" s="33"/>
      <c r="P8" s="33"/>
      <c r="R8" s="32"/>
    </row>
    <row r="9" spans="1:18">
      <c r="A9" s="6" t="s">
        <v>32</v>
      </c>
      <c r="B9" s="37">
        <f t="shared" si="0"/>
        <v>12610.719916599301</v>
      </c>
      <c r="C9" s="33"/>
      <c r="D9" s="37">
        <f>IF( ISERROR(IND_andere_gas_kWh/1000),0,IND_andere_gas_kWh/1000)*0.902</f>
        <v>10863.851124505974</v>
      </c>
      <c r="E9" s="33">
        <f>C31*'E Balans VL '!I19/100/3.6*1000000</f>
        <v>211.81248962443027</v>
      </c>
      <c r="F9" s="33">
        <f>C31*'E Balans VL '!L19/100/3.6*1000000+C31*'E Balans VL '!N19/100/3.6*1000000</f>
        <v>9858.3425778210931</v>
      </c>
      <c r="G9" s="34"/>
      <c r="H9" s="33"/>
      <c r="I9" s="33"/>
      <c r="J9" s="40">
        <f>C31*'E Balans VL '!D19/100/3.6*1000000+C31*'E Balans VL '!E19/100/3.6*1000000</f>
        <v>1.1373756167985143</v>
      </c>
      <c r="K9" s="33"/>
      <c r="L9" s="33"/>
      <c r="M9" s="33"/>
      <c r="N9" s="33">
        <f>C31*'E Balans VL '!Y19/100/3.6*1000000</f>
        <v>934.65666700926533</v>
      </c>
      <c r="O9" s="33"/>
      <c r="P9" s="33"/>
      <c r="R9" s="32"/>
    </row>
    <row r="10" spans="1:18">
      <c r="A10" s="6" t="s">
        <v>40</v>
      </c>
      <c r="B10" s="37">
        <f t="shared" si="0"/>
        <v>627.064517719945</v>
      </c>
      <c r="C10" s="33"/>
      <c r="D10" s="37">
        <f>IF( ISERROR(IND_voed_gas_kWh/1000),0,IND_voed_gas_kWh/1000)*0.902</f>
        <v>953.51931077226425</v>
      </c>
      <c r="E10" s="33">
        <f>C32*'E Balans VL '!I20/100/3.6*1000000</f>
        <v>5.7210760830289678</v>
      </c>
      <c r="F10" s="33">
        <f>C32*'E Balans VL '!L20/100/3.6*1000000+C32*'E Balans VL '!N20/100/3.6*1000000</f>
        <v>101.16512013852352</v>
      </c>
      <c r="G10" s="34"/>
      <c r="H10" s="33"/>
      <c r="I10" s="33"/>
      <c r="J10" s="40">
        <f>C32*'E Balans VL '!D20/100/3.6*1000000+C32*'E Balans VL '!E20/100/3.6*1000000</f>
        <v>2.5826628073690125</v>
      </c>
      <c r="K10" s="33"/>
      <c r="L10" s="33"/>
      <c r="M10" s="33"/>
      <c r="N10" s="33">
        <f>C32*'E Balans VL '!Y20/100/3.6*1000000</f>
        <v>9.1734594399931879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927.46325115693003</v>
      </c>
      <c r="C13" s="33"/>
      <c r="D13" s="37">
        <f>IF( ISERROR(IND_papier_gas_kWh/1000),0,IND_papier_gas_kWh/1000)*0.902</f>
        <v>587.34173805903811</v>
      </c>
      <c r="E13" s="33">
        <f>C35*'E Balans VL '!I23/100/3.6*1000000</f>
        <v>28.535623774585751</v>
      </c>
      <c r="F13" s="33">
        <f>C35*'E Balans VL '!L23/100/3.6*1000000+C35*'E Balans VL '!N23/100/3.6*1000000</f>
        <v>196.93286114621114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70.407874016945797</v>
      </c>
      <c r="C14" s="33"/>
      <c r="D14" s="37">
        <f>IF( ISERROR(IND_chemie_gas_kWh/1000),0,IND_chemie_gas_kWh/1000)*0.902</f>
        <v>144.14515328982841</v>
      </c>
      <c r="E14" s="33">
        <f>C36*'E Balans VL '!I24/100/3.6*1000000</f>
        <v>0.23873118751612404</v>
      </c>
      <c r="F14" s="33">
        <f>C36*'E Balans VL '!L24/100/3.6*1000000+C36*'E Balans VL '!N24/100/3.6*1000000</f>
        <v>0.22595592656881885</v>
      </c>
      <c r="G14" s="34"/>
      <c r="H14" s="33"/>
      <c r="I14" s="33"/>
      <c r="J14" s="40">
        <f>C36*'E Balans VL '!D24/100/3.6*1000000+C36*'E Balans VL '!E24/100/3.6*1000000</f>
        <v>0</v>
      </c>
      <c r="K14" s="33"/>
      <c r="L14" s="33"/>
      <c r="M14" s="33"/>
      <c r="N14" s="33">
        <f>C36*'E Balans VL '!Y24/100/3.6*1000000</f>
        <v>0.32920813802987964</v>
      </c>
      <c r="O14" s="33"/>
      <c r="P14" s="33"/>
      <c r="R14" s="32"/>
    </row>
    <row r="15" spans="1:18">
      <c r="A15" s="6" t="s">
        <v>259</v>
      </c>
      <c r="B15" s="37">
        <f t="shared" si="0"/>
        <v>5753.2826771339105</v>
      </c>
      <c r="C15" s="33"/>
      <c r="D15" s="37">
        <f>IF( ISERROR(IND_rest_gas_kWh/1000),0,IND_rest_gas_kWh/1000)*0.902</f>
        <v>3524.5936473637194</v>
      </c>
      <c r="E15" s="33">
        <f>C37*'E Balans VL '!I15/100/3.6*1000000</f>
        <v>51.922015522225706</v>
      </c>
      <c r="F15" s="33">
        <f>C37*'E Balans VL '!L15/100/3.6*1000000+C37*'E Balans VL '!N15/100/3.6*1000000</f>
        <v>1150.1274051578851</v>
      </c>
      <c r="G15" s="34"/>
      <c r="H15" s="33"/>
      <c r="I15" s="33"/>
      <c r="J15" s="40">
        <f>C37*'E Balans VL '!D15/100/3.6*1000000+C37*'E Balans VL '!E15/100/3.6*1000000</f>
        <v>38.738878703029897</v>
      </c>
      <c r="K15" s="33"/>
      <c r="L15" s="33"/>
      <c r="M15" s="33"/>
      <c r="N15" s="33">
        <f>C37*'E Balans VL '!Y15/100/3.6*1000000</f>
        <v>103.53525191325797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37668.453138775832</v>
      </c>
      <c r="C18" s="21">
        <f>C5+C16</f>
        <v>0</v>
      </c>
      <c r="D18" s="21">
        <f>MAX((D5+D16),0)</f>
        <v>25697.836427754679</v>
      </c>
      <c r="E18" s="21">
        <f>MAX((E5+E16),0)</f>
        <v>422.45998660116499</v>
      </c>
      <c r="F18" s="21">
        <f>MAX((F5+F16),0)</f>
        <v>13247.901221103055</v>
      </c>
      <c r="G18" s="21"/>
      <c r="H18" s="21"/>
      <c r="I18" s="21"/>
      <c r="J18" s="21">
        <f>MAX((J5+J16),0)</f>
        <v>407.2254158394876</v>
      </c>
      <c r="K18" s="21"/>
      <c r="L18" s="21">
        <f>MAX((L5+L16),0)</f>
        <v>0</v>
      </c>
      <c r="M18" s="21"/>
      <c r="N18" s="21">
        <f>MAX((N5+N16),0)</f>
        <v>1113.9586816310975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0.21977997202231558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8278.7715769640581</v>
      </c>
      <c r="C22" s="23">
        <f ca="1">C18*C20</f>
        <v>0</v>
      </c>
      <c r="D22" s="23">
        <f>D18*D20</f>
        <v>5190.9629584064451</v>
      </c>
      <c r="E22" s="23">
        <f>E18*E20</f>
        <v>95.898416958464452</v>
      </c>
      <c r="F22" s="23">
        <f>F18*F20</f>
        <v>3537.1896260345156</v>
      </c>
      <c r="G22" s="23"/>
      <c r="H22" s="23"/>
      <c r="I22" s="23"/>
      <c r="J22" s="23">
        <f>J18*J20</f>
        <v>144.15779720717859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17679.514902148803</v>
      </c>
      <c r="C30" s="39">
        <f>IF(ISERROR(B30*3.6/1000000/'E Balans VL '!Z18*100),0,B30*3.6/1000000/'E Balans VL '!Z18*100)</f>
        <v>1.1769361030525323</v>
      </c>
      <c r="D30" s="234" t="s">
        <v>700</v>
      </c>
    </row>
    <row r="31" spans="1:18">
      <c r="A31" s="6" t="s">
        <v>32</v>
      </c>
      <c r="B31" s="37">
        <f>IF( ISERROR(IND_ander_ele_kWh/1000),0,IND_ander_ele_kWh/1000)</f>
        <v>12610.719916599301</v>
      </c>
      <c r="C31" s="39">
        <f>IF(ISERROR(B31*3.6/1000000/'E Balans VL '!Z19*100),0,B31*3.6/1000000/'E Balans VL '!Z19*100)</f>
        <v>0.55898323829005481</v>
      </c>
      <c r="D31" s="234" t="s">
        <v>700</v>
      </c>
    </row>
    <row r="32" spans="1:18">
      <c r="A32" s="169" t="s">
        <v>40</v>
      </c>
      <c r="B32" s="37">
        <f>IF( ISERROR(IND_voed_ele_kWh/1000),0,IND_voed_ele_kWh/1000)</f>
        <v>627.064517719945</v>
      </c>
      <c r="C32" s="39">
        <f>IF(ISERROR(B32*3.6/1000000/'E Balans VL '!Z20*100),0,B32*3.6/1000000/'E Balans VL '!Z20*100)</f>
        <v>2.0945753707135306E-2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927.46325115693003</v>
      </c>
      <c r="C35" s="39">
        <f>IF(ISERROR(B35*3.6/1000000/'E Balans VL '!Z22*100),0,B35*3.6/1000000/'E Balans VL '!Z22*100)</f>
        <v>0.18038141474530739</v>
      </c>
      <c r="D35" s="234" t="s">
        <v>700</v>
      </c>
    </row>
    <row r="36" spans="1:5">
      <c r="A36" s="169" t="s">
        <v>33</v>
      </c>
      <c r="B36" s="37">
        <f>IF( ISERROR(IND_chemie_ele_kWh/1000),0,IND_chemie_ele_kWh/1000)</f>
        <v>70.407874016945797</v>
      </c>
      <c r="C36" s="39">
        <f>IF(ISERROR(B36*3.6/1000000/'E Balans VL '!Z24*100),0,B36*3.6/1000000/'E Balans VL '!Z24*100)</f>
        <v>1.6533665183726997E-3</v>
      </c>
      <c r="D36" s="234" t="s">
        <v>700</v>
      </c>
    </row>
    <row r="37" spans="1:5">
      <c r="A37" s="169" t="s">
        <v>259</v>
      </c>
      <c r="B37" s="37">
        <f>IF( ISERROR(IND_rest_ele_kWh/1000),0,IND_rest_ele_kWh/1000)</f>
        <v>5753.2826771339105</v>
      </c>
      <c r="C37" s="39">
        <f>IF(ISERROR(B37*3.6/1000000/'E Balans VL '!Z15*100),0,B37*3.6/1000000/'E Balans VL '!Z15*100)</f>
        <v>4.2795050218644527E-2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706.40181698439528</v>
      </c>
      <c r="C5" s="17">
        <f>'Eigen informatie GS &amp; warmtenet'!B60</f>
        <v>0</v>
      </c>
      <c r="D5" s="30">
        <f>IF(ISERROR(SUM(LB_lb_gas_kWh,LB_rest_gas_kWh)/1000),0,SUM(LB_lb_gas_kWh,LB_rest_gas_kWh)/1000)*0.902</f>
        <v>259.58488145093207</v>
      </c>
      <c r="E5" s="17">
        <f>B17*'E Balans VL '!I25/3.6*1000000/100</f>
        <v>7.3975927572175246</v>
      </c>
      <c r="F5" s="17">
        <f>B17*('E Balans VL '!L25/3.6*1000000+'E Balans VL '!N25/3.6*1000000)/100</f>
        <v>3023.936528079234</v>
      </c>
      <c r="G5" s="18"/>
      <c r="H5" s="17"/>
      <c r="I5" s="17"/>
      <c r="J5" s="17">
        <f>('E Balans VL '!D25+'E Balans VL '!E25)/3.6*1000000*landbouw!B17/100</f>
        <v>63.088013844206863</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706.40181698439528</v>
      </c>
      <c r="C8" s="21">
        <f>C5+C6</f>
        <v>0</v>
      </c>
      <c r="D8" s="21">
        <f>MAX((D5+D6),0)</f>
        <v>259.58488145093207</v>
      </c>
      <c r="E8" s="21">
        <f>MAX((E5+E6),0)</f>
        <v>7.3975927572175246</v>
      </c>
      <c r="F8" s="21">
        <f>MAX((F5+F6),0)</f>
        <v>3023.936528079234</v>
      </c>
      <c r="G8" s="21"/>
      <c r="H8" s="21"/>
      <c r="I8" s="21"/>
      <c r="J8" s="21">
        <f>MAX((J5+J6),0)</f>
        <v>63.088013844206863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0.21977997202231558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155.2529715733433</v>
      </c>
      <c r="C12" s="23">
        <f ca="1">C8*C10</f>
        <v>0</v>
      </c>
      <c r="D12" s="23">
        <f>D8*D10</f>
        <v>52.436146053088279</v>
      </c>
      <c r="E12" s="23">
        <f>E8*E10</f>
        <v>1.6792535558883781</v>
      </c>
      <c r="F12" s="23">
        <f>F8*F10</f>
        <v>807.3910529971555</v>
      </c>
      <c r="G12" s="23"/>
      <c r="H12" s="23"/>
      <c r="I12" s="23"/>
      <c r="J12" s="23">
        <f>J8*J10</f>
        <v>22.333156900849229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0.10872887570889159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1.576861664210949</v>
      </c>
      <c r="C26" s="244">
        <f>B26*'GWP N2O_CH4'!B5</f>
        <v>33.11409494842993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0.11812821248839414</v>
      </c>
      <c r="C27" s="244">
        <f>B27*'GWP N2O_CH4'!B5</f>
        <v>2.4806924622562772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2.0378125347591813E-2</v>
      </c>
      <c r="C28" s="244">
        <f>B28*'GWP N2O_CH4'!B4</f>
        <v>6.3172188577534625</v>
      </c>
      <c r="D28" s="50"/>
    </row>
    <row r="29" spans="1:4">
      <c r="A29" s="41" t="s">
        <v>266</v>
      </c>
      <c r="B29" s="244">
        <f>B34*'ha_N2O bodem landbouw'!B4</f>
        <v>6.5408643399430222</v>
      </c>
      <c r="C29" s="244">
        <f>B29*'GWP N2O_CH4'!B4</f>
        <v>2027.6679453823369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1.080963737904209E-3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2.2502141097141243E-5</v>
      </c>
      <c r="C5" s="433" t="s">
        <v>204</v>
      </c>
      <c r="D5" s="418">
        <f>SUM(D6:D11)</f>
        <v>7.0326332852720461E-5</v>
      </c>
      <c r="E5" s="418">
        <f>SUM(E6:E11)</f>
        <v>8.5704460169647775E-3</v>
      </c>
      <c r="F5" s="431" t="s">
        <v>204</v>
      </c>
      <c r="G5" s="418">
        <f>SUM(G6:G11)</f>
        <v>1.4522215528405493</v>
      </c>
      <c r="H5" s="418">
        <f>SUM(H6:H11)</f>
        <v>0.24453229713350455</v>
      </c>
      <c r="I5" s="433" t="s">
        <v>204</v>
      </c>
      <c r="J5" s="433" t="s">
        <v>204</v>
      </c>
      <c r="K5" s="433" t="s">
        <v>204</v>
      </c>
      <c r="L5" s="433" t="s">
        <v>204</v>
      </c>
      <c r="M5" s="418">
        <f>SUM(M6:M11)</f>
        <v>7.381512328411953E-2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3.304993630075129E-6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1.0464340148481623E-5</v>
      </c>
      <c r="E6" s="421">
        <f>vkm_GW_PW*SUMIFS(TableVerdeelsleutelVkm[LPG],TableVerdeelsleutelVkm[Voertuigtype],"Lichte voertuigen")*SUMIFS(TableECFTransport[EnergieConsumptieFactor (PJ per km)],TableECFTransport[Index],CONCATENATE($A6,"_LPG_LPG"))</f>
        <v>1.0904752374909293E-3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0.14525157348104692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3.4845538842561703E-2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7.8610867546462758E-3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3.877265490367246E-8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1.7477827389020886E-2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4.7321185008506808E-7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7.5295207186080483E-4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1.151290954725066E-6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6.1950419963570416E-6</v>
      </c>
      <c r="E8" s="421">
        <f>vkm_NGW_PW*SUMIFS(TableVerdeelsleutelVkm[LPG],TableVerdeelsleutelVkm[Voertuigtype],"Lichte voertuigen")*SUMIFS(TableECFTransport[EnergieConsumptieFactor (PJ per km)],TableECFTransport[Index],CONCATENATE($A8,"_LPG_LPG"))</f>
        <v>6.0924293409918685E-4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7.6835241582321426E-2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1.9506479926002449E-2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4.2077861907764058E-3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1.6842367040947502E-9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1.0516326230907477E-3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2.4811307184445191E-8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4.5304602184635576E-5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1.7195763852934979E-5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5.3666950707881788E-5</v>
      </c>
      <c r="E10" s="421">
        <f>vkm_SW_PW*SUMIFS(TableVerdeelsleutelVkm[LPG],TableVerdeelsleutelVkm[Voertuigtype],"Lichte voertuigen")*SUMIFS(TableECFTransport[EnergieConsumptieFactor (PJ per km)],TableECFTransport[Index],CONCATENATE($A10,"_LPG_LPG"))</f>
        <v>6.870727845374661E-3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0.85944417632724346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0.19016960965693694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4.5776717704075744E-2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8.0963576779830302E-7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0.35216110143782592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1.017068484618028E-5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1.5171275960575671E-2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6.2505947492059013</v>
      </c>
      <c r="C14" s="21"/>
      <c r="D14" s="21">
        <f t="shared" ref="D14:M14" si="0">((D5)*10^9/3600)+D12</f>
        <v>19.535092459089014</v>
      </c>
      <c r="E14" s="21">
        <f t="shared" si="0"/>
        <v>2380.679449156883</v>
      </c>
      <c r="F14" s="21"/>
      <c r="G14" s="21">
        <f t="shared" si="0"/>
        <v>403394.87578904146</v>
      </c>
      <c r="H14" s="21">
        <f t="shared" si="0"/>
        <v>67925.638092640147</v>
      </c>
      <c r="I14" s="21"/>
      <c r="J14" s="21"/>
      <c r="K14" s="21"/>
      <c r="L14" s="21"/>
      <c r="M14" s="21">
        <f t="shared" si="0"/>
        <v>20504.200912255426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0.21977997202231558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1.3737555391033056</v>
      </c>
      <c r="C18" s="23"/>
      <c r="D18" s="23">
        <f t="shared" ref="D18:M18" si="1">D14*D16</f>
        <v>3.9460886767359811</v>
      </c>
      <c r="E18" s="23">
        <f t="shared" si="1"/>
        <v>540.4142349586125</v>
      </c>
      <c r="F18" s="23"/>
      <c r="G18" s="23">
        <f t="shared" si="1"/>
        <v>107706.43183567407</v>
      </c>
      <c r="H18" s="23">
        <f t="shared" si="1"/>
        <v>16913.483885067395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1.6983827664929484E-4</v>
      </c>
      <c r="C50" s="315">
        <f t="shared" ref="C50:P50" si="2">SUM(C51:C52)</f>
        <v>0</v>
      </c>
      <c r="D50" s="315">
        <f t="shared" si="2"/>
        <v>0</v>
      </c>
      <c r="E50" s="315">
        <f t="shared" si="2"/>
        <v>0</v>
      </c>
      <c r="F50" s="315">
        <f t="shared" si="2"/>
        <v>0</v>
      </c>
      <c r="G50" s="315">
        <f t="shared" si="2"/>
        <v>3.6844708966823833E-2</v>
      </c>
      <c r="H50" s="315">
        <f t="shared" si="2"/>
        <v>0</v>
      </c>
      <c r="I50" s="315">
        <f t="shared" si="2"/>
        <v>0</v>
      </c>
      <c r="J50" s="315">
        <f t="shared" si="2"/>
        <v>0</v>
      </c>
      <c r="K50" s="315">
        <f t="shared" si="2"/>
        <v>0</v>
      </c>
      <c r="L50" s="315">
        <f t="shared" si="2"/>
        <v>0</v>
      </c>
      <c r="M50" s="315">
        <f t="shared" si="2"/>
        <v>1.5775489082569007E-3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1.6983827664929484E-4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3.6844708966823833E-2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1.5775489082569007E-3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47.177299069248569</v>
      </c>
      <c r="C54" s="21">
        <f t="shared" ref="C54:P54" si="3">(C50)*10^9/3600</f>
        <v>0</v>
      </c>
      <c r="D54" s="21">
        <f t="shared" si="3"/>
        <v>0</v>
      </c>
      <c r="E54" s="21">
        <f t="shared" si="3"/>
        <v>0</v>
      </c>
      <c r="F54" s="21">
        <f t="shared" si="3"/>
        <v>0</v>
      </c>
      <c r="G54" s="21">
        <f t="shared" si="3"/>
        <v>10234.641379673287</v>
      </c>
      <c r="H54" s="21">
        <f t="shared" si="3"/>
        <v>0</v>
      </c>
      <c r="I54" s="21">
        <f t="shared" si="3"/>
        <v>0</v>
      </c>
      <c r="J54" s="21">
        <f t="shared" si="3"/>
        <v>0</v>
      </c>
      <c r="K54" s="21">
        <f t="shared" si="3"/>
        <v>0</v>
      </c>
      <c r="L54" s="21">
        <f t="shared" si="3"/>
        <v>0</v>
      </c>
      <c r="M54" s="21">
        <f t="shared" si="3"/>
        <v>438.20803007136129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0.21977997202231558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10.368625469527865</v>
      </c>
      <c r="C58" s="23">
        <f t="shared" ref="C58:P58" ca="1" si="4">C54*C56</f>
        <v>0</v>
      </c>
      <c r="D58" s="23">
        <f t="shared" si="4"/>
        <v>0</v>
      </c>
      <c r="E58" s="23">
        <f t="shared" si="4"/>
        <v>0</v>
      </c>
      <c r="F58" s="23">
        <f t="shared" si="4"/>
        <v>0</v>
      </c>
      <c r="G58" s="23">
        <f t="shared" si="4"/>
        <v>2732.6492483727679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1827.8745807203018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267</v>
      </c>
      <c r="C8" s="544">
        <f>B48</f>
        <v>314.11764705882354</v>
      </c>
      <c r="D8" s="963"/>
      <c r="E8" s="963">
        <f>E48</f>
        <v>0</v>
      </c>
      <c r="F8" s="964"/>
      <c r="G8" s="545"/>
      <c r="H8" s="963">
        <f>I48</f>
        <v>0</v>
      </c>
      <c r="I8" s="963">
        <f>G48+F48</f>
        <v>0</v>
      </c>
      <c r="J8" s="963">
        <f>H48+D48+C48</f>
        <v>0</v>
      </c>
      <c r="K8" s="963"/>
      <c r="L8" s="963"/>
      <c r="M8" s="963"/>
      <c r="N8" s="546"/>
      <c r="O8" s="547">
        <f>C8*$C$12+D8*$D$12+E8*$E$12+F8*$F$12+G8*$G$12+H8*$H$12+I8*$I$12+J8*$J$12</f>
        <v>63.451764705882361</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2094.8745807203018</v>
      </c>
      <c r="C10" s="556">
        <f t="shared" ref="C10:L10" si="0">SUM(C8:C9)</f>
        <v>314.11764705882354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63.451764705882361</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381.42857142857144</v>
      </c>
      <c r="C17" s="568">
        <f>B49</f>
        <v>448.73949579831935</v>
      </c>
      <c r="D17" s="569"/>
      <c r="E17" s="569">
        <f>E49</f>
        <v>0</v>
      </c>
      <c r="F17" s="570"/>
      <c r="G17" s="571"/>
      <c r="H17" s="568">
        <f>I49</f>
        <v>0</v>
      </c>
      <c r="I17" s="569">
        <f>G49+F49</f>
        <v>0</v>
      </c>
      <c r="J17" s="569">
        <f>H49+D49+C49</f>
        <v>0</v>
      </c>
      <c r="K17" s="569"/>
      <c r="L17" s="569"/>
      <c r="M17" s="569"/>
      <c r="N17" s="959"/>
      <c r="O17" s="572">
        <f>C17*$C$22+E17*$E$22+H17*$H$22+I17*$I$22+J17*$J$22+D17*$D$22+F17*$F$22+G17*$G$22+K17*$K$22+L17*$L$22</f>
        <v>90.645378151260516</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381.42857142857144</v>
      </c>
      <c r="C20" s="555">
        <f>SUM(C17:C19)</f>
        <v>448.73949579831935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90.645378151260516</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23094</v>
      </c>
      <c r="C28" s="775">
        <v>1932</v>
      </c>
      <c r="D28" s="628"/>
      <c r="E28" s="627"/>
      <c r="F28" s="627"/>
      <c r="G28" s="627" t="s">
        <v>977</v>
      </c>
      <c r="H28" s="627" t="s">
        <v>978</v>
      </c>
      <c r="I28" s="627"/>
      <c r="J28" s="774"/>
      <c r="K28" s="774"/>
      <c r="L28" s="627" t="s">
        <v>979</v>
      </c>
      <c r="M28" s="627">
        <v>178</v>
      </c>
      <c r="N28" s="627">
        <v>267</v>
      </c>
      <c r="O28" s="627">
        <v>381.42857142857144</v>
      </c>
      <c r="P28" s="627">
        <v>762.85714285714289</v>
      </c>
      <c r="Q28" s="627">
        <v>0</v>
      </c>
      <c r="R28" s="627">
        <v>0</v>
      </c>
      <c r="S28" s="627">
        <v>0</v>
      </c>
      <c r="T28" s="627">
        <v>0</v>
      </c>
      <c r="U28" s="627">
        <v>0</v>
      </c>
      <c r="V28" s="627">
        <v>0</v>
      </c>
      <c r="W28" s="627">
        <v>0</v>
      </c>
      <c r="X28" s="627">
        <v>1100</v>
      </c>
      <c r="Y28" s="627" t="s">
        <v>51</v>
      </c>
      <c r="Z28" s="629" t="s">
        <v>149</v>
      </c>
    </row>
    <row r="29" spans="1:26" s="563" customFormat="1" hidden="1">
      <c r="A29" s="583" t="s">
        <v>269</v>
      </c>
      <c r="B29" s="584"/>
      <c r="C29" s="584"/>
      <c r="D29" s="584"/>
      <c r="E29" s="584"/>
      <c r="F29" s="584"/>
      <c r="G29" s="584"/>
      <c r="H29" s="584"/>
      <c r="I29" s="584"/>
      <c r="J29" s="584"/>
      <c r="K29" s="584"/>
      <c r="L29" s="585"/>
      <c r="M29" s="585">
        <f>SUM(M28:M28)</f>
        <v>178</v>
      </c>
      <c r="N29" s="585">
        <f>SUM(N28:N28)</f>
        <v>267</v>
      </c>
      <c r="O29" s="585">
        <f>SUM(O28:O28)</f>
        <v>381.42857142857144</v>
      </c>
      <c r="P29" s="585">
        <f>SUM(P28:P28)</f>
        <v>762.85714285714289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178</v>
      </c>
      <c r="N31" s="585">
        <f ca="1">SUMIF($Z$28:AD28,"tertiair",N28:N28)</f>
        <v>267</v>
      </c>
      <c r="O31" s="585">
        <f ca="1">SUMIF($Z$28:AE28,"tertiair",O28:O28)</f>
        <v>381.42857142857144</v>
      </c>
      <c r="P31" s="585">
        <f ca="1">SUMIF($Z$28:AF28,"tertiair",P28:P28)</f>
        <v>762.85714285714289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314.11764705882354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448.73949579831935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2021-11-11T13:43:14Z</dcterms:modified>
</cp:coreProperties>
</file>