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72646E8-96D8-4B76-B8A3-2525F3DBF8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5" i="13"/>
  <c r="C35" i="13" s="1"/>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<sst xmlns="http://schemas.openxmlformats.org/spreadsheetml/2006/main" count="2569" uniqueCount="977">
  <si>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</si>
  <si>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</si>
  <si>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</si>
  <si>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</si>
  <si>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</si>
  <si>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</si>
  <si>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</si>
  <si>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</si>
  <si>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</si>
  <si>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</si>
  <si>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</si>
  <si>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</si>
  <si>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</si>
  <si>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</si>
  <si>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</si>
  <si>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</si>
  <si>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</si>
  <si>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</si>
  <si>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</si>
  <si>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</si>
  <si>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</si>
  <si>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</si>
  <si>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</si>
  <si>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</si>
  <si>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</si>
  <si>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</si>
  <si>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</si>
  <si>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</si>
  <si>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</si>
  <si>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</si>
  <si>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</si>
  <si>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</si>
  <si>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</si>
  <si>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</si>
  <si>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</si>
  <si>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</si>
  <si>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</si>
  <si>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</si>
  <si>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</si>
  <si>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</si>
  <si>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</si>
  <si>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</si>
  <si>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</si>
  <si>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</si>
  <si>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</si>
  <si>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</si>
  <si>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</si>
  <si>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</si>
  <si>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</si>
  <si>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</si>
  <si>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</si>
  <si>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</si>
  <si>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</si>
  <si>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</si>
  <si>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</si>
  <si>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</si>
  <si>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</si>
  <si>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</si>
  <si>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</si>
  <si>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</si>
  <si>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</si>
  <si>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</si>
  <si>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</si>
  <si>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</si>
  <si>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</si>
  <si>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</si>
  <si>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</si>
  <si>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</si>
  <si>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</si>
  <si>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</si>
  <si>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</si>
  <si>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</si>
  <si>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</si>
  <si>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</si>
  <si>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</si>
  <si>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</si>
  <si>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</si>
  <si>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</si>
  <si>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</si>
  <si>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</si>
  <si>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</si>
  <si>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</si>
  <si>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</si>
  <si>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</si>
  <si>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</si>
  <si>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</si>
  <si>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</si>
  <si>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</si>
  <si>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</si>
  <si>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</si>
  <si>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</si>
  <si>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</si>
  <si>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</si>
  <si>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</si>
  <si>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</si>
  <si>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</si>
  <si>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</si>
  <si>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</si>
  <si>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</si>
  <si>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</si>
  <si>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</si>
  <si>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</si>
  <si>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</si>
  <si>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</si>
  <si>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</si>
  <si>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</si>
  <si>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</si>
  <si>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</si>
  <si>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</si>
  <si>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</si>
  <si>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</si>
  <si>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</si>
  <si>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</si>
  <si>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</si>
  <si>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</si>
  <si>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</si>
  <si>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</si>
  <si>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</si>
  <si>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</si>
  <si>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</si>
  <si>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</si>
  <si>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</si>
  <si>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</si>
  <si>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</si>
  <si>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</si>
  <si>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</si>
  <si>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</si>
  <si>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</si>
  <si>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</si>
  <si>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</si>
  <si>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</si>
  <si>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</si>
  <si>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</si>
  <si>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</si>
  <si>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</si>
  <si>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</si>
  <si>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</si>
  <si>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</si>
  <si>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</si>
  <si>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</si>
  <si>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</si>
  <si>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</si>
  <si>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</si>
  <si>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</si>
  <si>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</si>
  <si>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</si>
  <si>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</si>
  <si>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</si>
  <si>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</si>
  <si>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</si>
  <si>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</si>
  <si>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</si>
  <si>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</si>
  <si>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</si>
  <si>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</si>
  <si>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</si>
  <si>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</si>
  <si>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</si>
  <si>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</si>
  <si>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</si>
  <si>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</si>
  <si>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</si>
  <si>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</si>
  <si>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</si>
  <si>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</si>
  <si>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</si>
  <si>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</si>
  <si>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</si>
  <si>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</si>
  <si>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</si>
  <si>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</si>
  <si>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</si>
  <si>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</si>
  <si>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</si>
  <si>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</si>
  <si>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</si>
  <si>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</si>
  <si>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</si>
  <si>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</si>
  <si>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</si>
  <si>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</si>
  <si>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</si>
  <si>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</si>
  <si>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</si>
  <si>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</si>
  <si>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</si>
  <si>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</si>
  <si>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</si>
  <si>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</si>
  <si>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</si>
  <si>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</si>
  <si>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</si>
  <si>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</si>
  <si>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</si>
  <si>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</si>
  <si>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</si>
  <si>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</si>
  <si>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</si>
  <si>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</si>
  <si>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</si>
  <si>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</si>
  <si>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</si>
  <si>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</si>
  <si>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</si>
  <si>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</si>
  <si>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</si>
  <si>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</si>
  <si>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</si>
  <si>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</si>
  <si>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</si>
  <si>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</si>
  <si>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</si>
  <si>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</si>
  <si>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</si>
  <si>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</si>
  <si>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</si>
  <si>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</si>
  <si>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</si>
  <si>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</si>
  <si>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</si>
  <si>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</si>
  <si>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</si>
  <si>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</si>
  <si>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</si>
  <si>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</si>
  <si>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</si>
  <si>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</si>
  <si>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</si>
  <si>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</si>
  <si>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</si>
  <si>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</si>
  <si>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</si>
  <si>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</si>
  <si>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</si>
  <si>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</si>
  <si>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</si>
  <si>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</si>
  <si>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</si>
  <si>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</si>
  <si>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</si>
  <si>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</si>
  <si>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</si>
  <si>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</si>
  <si>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</si>
  <si>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</si>
  <si>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</si>
  <si>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</si>
  <si>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</si>
  <si>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</si>
  <si>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</si>
  <si>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</si>
  <si>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</si>
  <si>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</si>
  <si>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</si>
  <si>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</si>
  <si>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</si>
  <si>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</si>
  <si>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</si>
  <si>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</si>
  <si>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</si>
  <si>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</si>
  <si>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</si>
  <si>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</si>
  <si>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</si>
  <si>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</si>
  <si>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</si>
  <si>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</si>
  <si>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</si>
  <si>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</si>
  <si>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</si>
  <si>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</si>
  <si>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</si>
  <si>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</si>
  <si>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</si>
  <si>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</si>
  <si>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</si>
  <si>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</si>
  <si>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</si>
  <si>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</si>
  <si>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</si>
  <si>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</si>
  <si>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</si>
  <si>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</si>
  <si>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</si>
  <si>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</si>
  <si>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</si>
  <si>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</si>
  <si>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</si>
  <si>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</si>
  <si>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</si>
  <si>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</si>
  <si>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</si>
  <si>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</si>
  <si>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</si>
  <si>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</si>
  <si>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</si>
  <si>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</si>
  <si>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</si>
  <si>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</si>
  <si>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</si>
  <si>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</si>
  <si>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</si>
  <si>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</si>
  <si>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</si>
  <si>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</si>
  <si>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</si>
  <si>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</si>
  <si>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</si>
  <si>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</si>
  <si>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</si>
  <si>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</si>
  <si>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</si>
  <si>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</si>
  <si>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</si>
  <si>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</si>
  <si>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</si>
  <si>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</si>
  <si>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</si>
  <si>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</si>
  <si>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</si>
  <si>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</si>
  <si>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</si>
  <si>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</si>
  <si>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</si>
  <si>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</si>
  <si>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</si>
  <si>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</si>
  <si>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</si>
  <si>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</si>
  <si>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</si>
  <si>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</si>
  <si>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</si>
  <si>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</si>
  <si>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</si>
  <si>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</si>
  <si>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</si>
  <si>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</si>
  <si>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</si>
  <si>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</si>
  <si>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</si>
  <si>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</si>
  <si>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</si>
  <si>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</si>
  <si>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</si>
  <si>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</si>
  <si>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</si>
  <si>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</si>
  <si>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</si>
  <si>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</si>
  <si>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</si>
  <si>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</si>
  <si>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</si>
  <si>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</si>
  <si>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</si>
  <si>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</si>
  <si>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</si>
  <si>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</si>
  <si>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</si>
  <si>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</si>
  <si>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</si>
  <si>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</si>
  <si>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</si>
  <si>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</si>
  <si>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</si>
  <si>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</si>
  <si>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</si>
  <si>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</si>
  <si>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</si>
  <si>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</si>
  <si>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</si>
  <si>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</si>
  <si>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</si>
  <si>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</si>
  <si>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</si>
  <si>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</si>
  <si>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</si>
  <si>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</si>
  <si>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</si>
  <si>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</si>
  <si>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</si>
  <si>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</si>
  <si>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</si>
  <si>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</si>
  <si>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</si>
  <si>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</si>
  <si>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</si>
  <si>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</si>
  <si>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</si>
  <si>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</si>
  <si>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</si>
  <si>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</si>
  <si>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</si>
  <si>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</si>
  <si>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</si>
  <si>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</si>
  <si>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</si>
  <si>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</si>
  <si>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</si>
  <si>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</si>
  <si>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</si>
  <si>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</si>
  <si>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</si>
  <si>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</si>
  <si>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</si>
  <si>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</si>
  <si>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</si>
  <si>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</si>
  <si>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</si>
  <si>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</si>
  <si>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</si>
  <si>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</si>
  <si>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</si>
  <si>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</si>
  <si>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</si>
  <si>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</si>
  <si>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</si>
  <si>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</si>
  <si>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</si>
  <si>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</si>
  <si>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</si>
  <si>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</si>
  <si>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</si>
  <si>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</si>
  <si>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</si>
  <si>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</si>
  <si>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</si>
  <si>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</si>
  <si>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</si>
  <si>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</si>
  <si>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</si>
  <si>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</si>
  <si>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</si>
  <si>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</si>
  <si>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</si>
  <si>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</si>
  <si>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</si>
  <si>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</si>
  <si>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</si>
  <si>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</si>
  <si>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</si>
  <si>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</si>
  <si>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</si>
  <si>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</si>
  <si>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</si>
  <si>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</si>
  <si>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</si>
  <si>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</si>
  <si>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</si>
  <si>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</si>
  <si>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</si>
  <si>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</si>
  <si>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</si>
  <si>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</si>
  <si>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</si>
  <si>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</si>
  <si>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</si>
  <si>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</si>
  <si>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</si>
  <si>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</si>
  <si>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</si>
  <si>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</si>
  <si>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</si>
  <si>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</si>
  <si>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</si>
  <si>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</si>
  <si>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</si>
  <si>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</si>
  <si>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</si>
  <si>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</si>
  <si>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</si>
  <si>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</si>
  <si>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</si>
  <si>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</si>
  <si>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</si>
  <si>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</si>
  <si>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</si>
  <si>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</si>
  <si>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</si>
  <si>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</si>
  <si>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</si>
  <si>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</si>
  <si>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</si>
  <si>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</si>
  <si>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</si>
  <si>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</si>
  <si>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</si>
  <si>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</si>
  <si>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</si>
  <si>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</si>
  <si>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</si>
  <si>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</si>
  <si>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</si>
  <si>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</si>
  <si>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</si>
  <si>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</si>
  <si>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</si>
  <si>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</si>
  <si>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</si>
  <si>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</si>
  <si>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</si>
  <si>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</si>
  <si>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</si>
  <si>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</si>
  <si>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</si>
  <si>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</si>
  <si>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</si>
  <si>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</si>
  <si>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</si>
  <si>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</si>
  <si>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</si>
  <si>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</si>
  <si>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</si>
  <si>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</si>
  <si>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</si>
  <si>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</si>
  <si>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</si>
  <si>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</si>
  <si>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</si>
  <si>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</si>
  <si>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</si>
  <si>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</si>
  <si>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</si>
  <si>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</si>
  <si>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</si>
  <si>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</si>
  <si>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</si>
  <si>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</si>
  <si>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</si>
  <si>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</si>
  <si>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</si>
  <si>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</si>
  <si>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</si>
  <si>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</si>
  <si>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</si>
  <si>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</si>
  <si>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</si>
  <si>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</si>
  <si>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</si>
  <si>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</si>
  <si>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</si>
  <si>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</si>
  <si>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</si>
  <si>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</si>
  <si>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</si>
  <si>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</si>
  <si>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</si>
  <si>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</si>
  <si>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</si>
  <si>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</si>
  <si>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</si>
  <si>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</si>
  <si>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</si>
  <si>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</si>
  <si>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</si>
  <si>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</si>
  <si>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</si>
  <si>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</si>
  <si>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</si>
  <si>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</si>
  <si>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</si>
  <si>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</si>
  <si>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</si>
  <si>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</si>
  <si>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</si>
  <si>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</si>
  <si>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</si>
  <si>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</si>
  <si>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</si>
  <si>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</si>
  <si>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</si>
  <si>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</si>
  <si>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</si>
  <si>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</si>
  <si>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</si>
  <si>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</si>
  <si>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</si>
  <si>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</si>
  <si>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</si>
  <si>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</si>
  <si>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</si>
  <si>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</si>
  <si>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</si>
  <si>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</si>
  <si>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</si>
  <si>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</si>
  <si>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</si>
  <si>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</si>
  <si>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</si>
  <si>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</si>
  <si>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</si>
  <si>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</si>
  <si>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</si>
  <si>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</si>
  <si>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</si>
  <si>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</si>
  <si>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</si>
  <si>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</si>
  <si>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</si>
  <si>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</si>
  <si>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</si>
  <si>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</si>
  <si>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</si>
  <si>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</si>
  <si>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</si>
  <si>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</si>
  <si>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</si>
  <si>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</si>
  <si>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</si>
  <si>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</si>
  <si>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</si>
  <si>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</si>
  <si>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</si>
  <si>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</si>
  <si>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</si>
  <si>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</si>
  <si>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</si>
  <si>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</si>
  <si>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</si>
  <si>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</si>
  <si>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</si>
  <si>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</si>
  <si>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</si>
  <si>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</si>
  <si>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</si>
  <si>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</si>
  <si>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</si>
  <si>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</si>
  <si>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</si>
  <si>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</si>
  <si>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</si>
  <si>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</si>
  <si>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</si>
  <si>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</si>
  <si>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</si>
  <si>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</si>
  <si>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</si>
  <si>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</si>
  <si>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</si>
  <si>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</si>
  <si>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</si>
  <si>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</si>
  <si>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</si>
  <si>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</si>
  <si>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</si>
  <si>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</si>
  <si>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</si>
  <si>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</si>
  <si>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</si>
  <si>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</si>
  <si>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</si>
  <si>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</si>
  <si>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</si>
  <si>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</si>
  <si>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</si>
  <si>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</si>
  <si>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</si>
  <si>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</si>
  <si>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</si>
  <si>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</si>
  <si>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</si>
  <si>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</si>
  <si>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</si>
  <si>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</si>
  <si>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</si>
  <si>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</si>
  <si>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</si>
  <si>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</si>
  <si>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</si>
  <si>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</si>
  <si>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</si>
  <si>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</si>
  <si>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</si>
  <si>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</si>
  <si>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</si>
  <si>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</si>
  <si>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</si>
  <si>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</si>
  <si>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</si>
  <si>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</si>
  <si>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</si>
  <si>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</si>
  <si>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</si>
  <si>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</si>
  <si>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</si>
  <si>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</si>
  <si>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</si>
  <si>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</si>
  <si>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</si>
  <si>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</si>
  <si>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</si>
  <si>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</si>
  <si>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</si>
  <si>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</si>
  <si>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</si>
  <si>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</si>
  <si>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</si>
  <si>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</si>
  <si>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</si>
  <si>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</si>
  <si>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</si>
  <si>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</si>
  <si>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</si>
  <si>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</si>
  <si>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</si>
  <si>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</si>
  <si>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</si>
  <si>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</si>
  <si>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</si>
  <si>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</si>
  <si>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</si>
  <si>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</si>
  <si>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</si>
  <si>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</si>
  <si>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</si>
  <si>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</si>
  <si>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</si>
  <si>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</si>
  <si>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</si>
  <si>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</si>
  <si>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</si>
  <si>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</si>
  <si>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</si>
  <si>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</si>
  <si>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</si>
  <si>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</si>
  <si>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</si>
  <si>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</si>
  <si>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</si>
  <si>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</si>
  <si>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</si>
  <si>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</si>
  <si>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</si>
  <si>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</si>
  <si>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</si>
  <si>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</si>
  <si>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</si>
  <si>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</si>
  <si>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</si>
  <si>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</si>
  <si>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</si>
  <si>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</si>
  <si>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</si>
  <si>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</si>
  <si>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</si>
  <si>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</si>
  <si>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</si>
  <si>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</si>
  <si>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</si>
  <si>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</si>
  <si>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</si>
  <si>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</si>
  <si>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</si>
  <si>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</si>
  <si>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</si>
  <si>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</si>
  <si>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</si>
  <si>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</si>
  <si>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</si>
  <si>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</si>
  <si>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</si>
  <si>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</si>
  <si>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</si>
  <si>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</si>
  <si>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</si>
  <si>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</si>
  <si>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</si>
  <si>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</si>
  <si>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</si>
  <si>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</si>
  <si>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</si>
  <si>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</si>
  <si>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</si>
  <si>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</si>
  <si>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</si>
  <si>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</si>
  <si>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</si>
  <si>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</si>
  <si>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</si>
  <si>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</si>
  <si>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</si>
  <si>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</si>
  <si>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</si>
  <si>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</si>
  <si>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</si>
  <si>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</si>
  <si>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</si>
  <si>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</si>
  <si>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</si>
  <si>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</si>
  <si>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</si>
  <si>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</si>
  <si>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</si>
  <si>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</si>
  <si>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</si>
  <si>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</si>
  <si>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</si>
  <si>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</si>
  <si>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</si>
  <si>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</si>
  <si>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</si>
  <si>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</si>
  <si>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</si>
  <si>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</si>
  <si>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</si>
  <si>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</si>
  <si>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</si>
  <si>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</si>
  <si>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</si>
  <si>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</si>
  <si>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</si>
  <si>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</si>
  <si>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</si>
  <si>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</si>
  <si>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</si>
  <si>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</si>
  <si>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</si>
  <si>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</si>
  <si>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</si>
  <si>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</si>
  <si>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</si>
  <si>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</si>
  <si>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</si>
  <si>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</si>
  <si>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</si>
  <si>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</si>
  <si>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</si>
  <si>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</si>
  <si>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</si>
  <si>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</si>
  <si>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</si>
  <si>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</si>
  <si>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</si>
  <si>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</si>
  <si>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</si>
  <si>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</si>
  <si>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</si>
  <si>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</si>
  <si>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</si>
  <si>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</si>
  <si>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</si>
  <si>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</si>
  <si>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</si>
  <si>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</si>
  <si>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</si>
  <si>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</si>
  <si>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</si>
  <si>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</si>
  <si>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</si>
  <si>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</si>
  <si>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</si>
  <si>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</si>
  <si>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</si>
  <si>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</si>
  <si>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</si>
  <si>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</si>
  <si>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</si>
  <si>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</si>
  <si>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</si>
  <si>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</si>
  <si>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</si>
  <si>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</si>
  <si>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</si>
  <si>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</si>
  <si>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</si>
  <si>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</si>
  <si>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</si>
  <si>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</si>
  <si>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</si>
  <si>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</si>
  <si>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</si>
  <si>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</si>
  <si>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</si>
  <si>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</si>
  <si>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</si>
  <si>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</si>
  <si>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</si>
  <si>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</si>
  <si>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</si>
  <si>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</si>
  <si>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</si>
  <si>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</si>
  <si>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</si>
  <si>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</si>
  <si>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</si>
  <si>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</si>
  <si>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</si>
  <si>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</si>
  <si>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</si>
  <si>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</si>
  <si>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</si>
  <si>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</si>
  <si>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</si>
  <si>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</si>
  <si>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</si>
  <si>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</si>
  <si>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</si>
  <si>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</si>
  <si>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</si>
  <si>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</si>
  <si>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</si>
  <si>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</si>
  <si>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</si>
  <si>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</si>
  <si>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</si>
  <si>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</si>
  <si>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</si>
  <si>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</si>
  <si>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</si>
  <si>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</si>
  <si>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</si>
  <si>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</si>
  <si>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</si>
  <si>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</si>
  <si>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</si>
  <si>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</si>
  <si>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</si>
  <si>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</si>
  <si>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</si>
  <si>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</si>
  <si>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</si>
  <si>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</si>
  <si>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</si>
  <si>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</si>
  <si>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</si>
  <si>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</si>
  <si>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</si>
  <si>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</si>
  <si>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</si>
  <si>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</si>
  <si>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</si>
  <si>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</si>
  <si>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</si>
  <si>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</si>
  <si>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</si>
  <si>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</si>
  <si>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</si>
  <si>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</si>
  <si>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</si>
  <si>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</si>
  <si>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</si>
  <si>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</si>
  <si>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</si>
  <si>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</si>
  <si>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</si>
  <si>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</si>
  <si>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</si>
  <si>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</si>
  <si>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</si>
  <si>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</si>
  <si>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</si>
  <si>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</si>
  <si>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</si>
  <si>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</si>
  <si>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</si>
  <si>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</si>
  <si>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</si>
  <si>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</si>
  <si>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</si>
  <si>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</si>
  <si>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</si>
  <si>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</si>
  <si>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</si>
  <si>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</si>
  <si>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</si>
  <si>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</si>
  <si>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</si>
  <si>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</si>
  <si>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</si>
  <si>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</si>
  <si>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</si>
  <si>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23033</t>
  </si>
  <si>
    <t>HOEILAART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</si>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</sst>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2AC0274-FBAE-4723-8FF5-9CDFB3A058A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23033</v>
      </c>
      <c r="B6" s="384"/>
      <c r="C6" s="385"/>
    </row>
    <row r="7" spans="1:7" s="382" customFormat="1" ht="15.75" customHeight="1">
      <c r="A7" s="386" t="str">
        <f>txtMunicipality</f>
        <v>HOEILAART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11430.340807669094</v>
      </c>
      <c r="D10" s="674">
        <f ca="1">tertiair!C16</f>
        <v>0</v>
      </c>
      <c r="E10" s="674">
        <f ca="1">tertiair!D16</f>
        <v>15410.452959359558</v>
      </c>
      <c r="F10" s="674">
        <f>tertiair!E16</f>
        <v>273.06864429318711</v>
      </c>
      <c r="G10" s="674">
        <f ca="1">tertiair!F16</f>
        <v>1843.8736252763333</v>
      </c>
      <c r="H10" s="674">
        <f>tertiair!G16</f>
        <v>0</v>
      </c>
      <c r="I10" s="674">
        <f>tertiair!H16</f>
        <v>0</v>
      </c>
      <c r="J10" s="674">
        <f>tertiair!I16</f>
        <v>0</v>
      </c>
      <c r="K10" s="674">
        <f>tertiair!J16</f>
        <v>0</v>
      </c>
      <c r="L10" s="674">
        <f>tertiair!K16</f>
        <v>0</v>
      </c>
      <c r="M10" s="674">
        <f ca="1">tertiair!L16</f>
        <v>0</v>
      </c>
      <c r="N10" s="674">
        <f>tertiair!M16</f>
        <v>0</v>
      </c>
      <c r="O10" s="674">
        <f ca="1">tertiair!N16</f>
        <v>364.94157846478413</v>
      </c>
      <c r="P10" s="674">
        <f>tertiair!O16</f>
        <v>0</v>
      </c>
      <c r="Q10" s="675">
        <f>tertiair!P16</f>
        <v>38.133333333333333</v>
      </c>
      <c r="R10" s="677">
        <f ca="1">SUM(C10:Q10)</f>
        <v>29360.810948396291</v>
      </c>
      <c r="S10" s="67"/>
    </row>
    <row r="11" spans="1:19" s="443" customFormat="1">
      <c r="A11" s="789" t="s">
        <v>214</v>
      </c>
      <c r="B11" s="794"/>
      <c r="C11" s="674">
        <f>huishoudens!B8</f>
        <v>19144.802323092663</v>
      </c>
      <c r="D11" s="674">
        <f>huishoudens!C8</f>
        <v>0</v>
      </c>
      <c r="E11" s="674">
        <f>huishoudens!D8</f>
        <v>55432.271343777335</v>
      </c>
      <c r="F11" s="674">
        <f>huishoudens!E8</f>
        <v>792.44516696596372</v>
      </c>
      <c r="G11" s="674">
        <f>huishoudens!F8</f>
        <v>27049.636853397369</v>
      </c>
      <c r="H11" s="674">
        <f>huishoudens!G8</f>
        <v>0</v>
      </c>
      <c r="I11" s="674">
        <f>huishoudens!H8</f>
        <v>0</v>
      </c>
      <c r="J11" s="674">
        <f>huishoudens!I8</f>
        <v>0</v>
      </c>
      <c r="K11" s="674">
        <f>huishoudens!J8</f>
        <v>609.08924334089011</v>
      </c>
      <c r="L11" s="674">
        <f>huishoudens!K8</f>
        <v>0</v>
      </c>
      <c r="M11" s="674">
        <f>huishoudens!L8</f>
        <v>0</v>
      </c>
      <c r="N11" s="674">
        <f>huishoudens!M8</f>
        <v>0</v>
      </c>
      <c r="O11" s="674">
        <f>huishoudens!N8</f>
        <v>5017.6459653327456</v>
      </c>
      <c r="P11" s="674">
        <f>huishoudens!O8</f>
        <v>79.73</v>
      </c>
      <c r="Q11" s="675">
        <f>huishoudens!P8</f>
        <v>114.4</v>
      </c>
      <c r="R11" s="677">
        <f>SUM(C11:Q11)</f>
        <v>108240.02089590696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677.90976678455718</v>
      </c>
      <c r="D13" s="674">
        <f>industrie!C18</f>
        <v>0</v>
      </c>
      <c r="E13" s="674">
        <f>industrie!D18</f>
        <v>992.54612743410235</v>
      </c>
      <c r="F13" s="674">
        <f>industrie!E18</f>
        <v>10.932301859676505</v>
      </c>
      <c r="G13" s="674">
        <f>industrie!F18</f>
        <v>364.23559525591997</v>
      </c>
      <c r="H13" s="674">
        <f>industrie!G18</f>
        <v>0</v>
      </c>
      <c r="I13" s="674">
        <f>industrie!H18</f>
        <v>0</v>
      </c>
      <c r="J13" s="674">
        <f>industrie!I18</f>
        <v>0</v>
      </c>
      <c r="K13" s="674">
        <f>industrie!J18</f>
        <v>1.4157333546842108</v>
      </c>
      <c r="L13" s="674">
        <f>industrie!K18</f>
        <v>0</v>
      </c>
      <c r="M13" s="674">
        <f>industrie!L18</f>
        <v>0</v>
      </c>
      <c r="N13" s="674">
        <f>industrie!M18</f>
        <v>0</v>
      </c>
      <c r="O13" s="674">
        <f>industrie!N18</f>
        <v>32.694926243442879</v>
      </c>
      <c r="P13" s="674">
        <f>industrie!O18</f>
        <v>0</v>
      </c>
      <c r="Q13" s="675">
        <f>industrie!P18</f>
        <v>0</v>
      </c>
      <c r="R13" s="677">
        <f>SUM(C13:Q13)</f>
        <v>2079.734450932383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31253.052897546313</v>
      </c>
      <c r="D16" s="707">
        <f t="shared" ref="D16:R16" ca="1" si="0">SUM(D9:D15)</f>
        <v>0</v>
      </c>
      <c r="E16" s="707">
        <f t="shared" ca="1" si="0"/>
        <v>71835.270430571007</v>
      </c>
      <c r="F16" s="707">
        <f t="shared" si="0"/>
        <v>1076.4461131188273</v>
      </c>
      <c r="G16" s="707">
        <f t="shared" ca="1" si="0"/>
        <v>29257.746073929622</v>
      </c>
      <c r="H16" s="707">
        <f t="shared" si="0"/>
        <v>0</v>
      </c>
      <c r="I16" s="707">
        <f t="shared" si="0"/>
        <v>0</v>
      </c>
      <c r="J16" s="707">
        <f t="shared" si="0"/>
        <v>0</v>
      </c>
      <c r="K16" s="707">
        <f t="shared" si="0"/>
        <v>610.50497669557433</v>
      </c>
      <c r="L16" s="707">
        <f t="shared" si="0"/>
        <v>0</v>
      </c>
      <c r="M16" s="707">
        <f t="shared" ca="1" si="0"/>
        <v>0</v>
      </c>
      <c r="N16" s="707">
        <f t="shared" si="0"/>
        <v>0</v>
      </c>
      <c r="O16" s="707">
        <f t="shared" ca="1" si="0"/>
        <v>5415.2824700409728</v>
      </c>
      <c r="P16" s="707">
        <f t="shared" si="0"/>
        <v>79.73</v>
      </c>
      <c r="Q16" s="707">
        <f t="shared" si="0"/>
        <v>152.53333333333333</v>
      </c>
      <c r="R16" s="707">
        <f t="shared" ca="1" si="0"/>
        <v>139680.56629523562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5.8442599982981633</v>
      </c>
      <c r="D19" s="674">
        <f>transport!C54</f>
        <v>0</v>
      </c>
      <c r="E19" s="674">
        <f>transport!D54</f>
        <v>0</v>
      </c>
      <c r="F19" s="674">
        <f>transport!E54</f>
        <v>0</v>
      </c>
      <c r="G19" s="674">
        <f>transport!F54</f>
        <v>0</v>
      </c>
      <c r="H19" s="674">
        <f>transport!G54</f>
        <v>1267.8535310882182</v>
      </c>
      <c r="I19" s="674">
        <f>transport!H54</f>
        <v>0</v>
      </c>
      <c r="J19" s="674">
        <f>transport!I54</f>
        <v>0</v>
      </c>
      <c r="K19" s="674">
        <f>transport!J54</f>
        <v>0</v>
      </c>
      <c r="L19" s="674">
        <f>transport!K54</f>
        <v>0</v>
      </c>
      <c r="M19" s="674">
        <f>transport!L54</f>
        <v>0</v>
      </c>
      <c r="N19" s="674">
        <f>transport!M54</f>
        <v>54.284618060053909</v>
      </c>
      <c r="O19" s="674">
        <f>transport!N54</f>
        <v>0</v>
      </c>
      <c r="P19" s="674">
        <f>transport!O54</f>
        <v>0</v>
      </c>
      <c r="Q19" s="675">
        <f>transport!P54</f>
        <v>0</v>
      </c>
      <c r="R19" s="677">
        <f>SUM(C19:Q19)</f>
        <v>1327.9824091465703</v>
      </c>
      <c r="S19" s="67"/>
    </row>
    <row r="20" spans="1:19" s="443" customFormat="1">
      <c r="A20" s="789" t="s">
        <v>296</v>
      </c>
      <c r="B20" s="794"/>
      <c r="C20" s="674">
        <f>transport!B14</f>
        <v>2.4137787583209023</v>
      </c>
      <c r="D20" s="674">
        <f>transport!C14</f>
        <v>0</v>
      </c>
      <c r="E20" s="674">
        <f>transport!D14</f>
        <v>8.1918184985833413</v>
      </c>
      <c r="F20" s="674">
        <f>transport!E14</f>
        <v>965.1900244021042</v>
      </c>
      <c r="G20" s="674">
        <f>transport!F14</f>
        <v>0</v>
      </c>
      <c r="H20" s="674">
        <f>transport!G14</f>
        <v>156458.4301453644</v>
      </c>
      <c r="I20" s="674">
        <f>transport!H14</f>
        <v>28007.904389791238</v>
      </c>
      <c r="J20" s="674">
        <f>transport!I14</f>
        <v>0</v>
      </c>
      <c r="K20" s="674">
        <f>transport!J14</f>
        <v>0</v>
      </c>
      <c r="L20" s="674">
        <f>transport!K14</f>
        <v>0</v>
      </c>
      <c r="M20" s="674">
        <f>transport!L14</f>
        <v>0</v>
      </c>
      <c r="N20" s="674">
        <f>transport!M14</f>
        <v>8029.1659938701432</v>
      </c>
      <c r="O20" s="674">
        <f>transport!N14</f>
        <v>0</v>
      </c>
      <c r="P20" s="674">
        <f>transport!O14</f>
        <v>0</v>
      </c>
      <c r="Q20" s="675">
        <f>transport!P14</f>
        <v>0</v>
      </c>
      <c r="R20" s="677">
        <f>SUM(C20:Q20)</f>
        <v>193471.29615068479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8.2580387566190652</v>
      </c>
      <c r="D22" s="792">
        <f t="shared" ref="D22:R22" si="1">SUM(D18:D21)</f>
        <v>0</v>
      </c>
      <c r="E22" s="792">
        <f t="shared" si="1"/>
        <v>8.1918184985833413</v>
      </c>
      <c r="F22" s="792">
        <f t="shared" si="1"/>
        <v>965.1900244021042</v>
      </c>
      <c r="G22" s="792">
        <f t="shared" si="1"/>
        <v>0</v>
      </c>
      <c r="H22" s="792">
        <f t="shared" si="1"/>
        <v>157726.28367645261</v>
      </c>
      <c r="I22" s="792">
        <f t="shared" si="1"/>
        <v>28007.904389791238</v>
      </c>
      <c r="J22" s="792">
        <f t="shared" si="1"/>
        <v>0</v>
      </c>
      <c r="K22" s="792">
        <f t="shared" si="1"/>
        <v>0</v>
      </c>
      <c r="L22" s="792">
        <f t="shared" si="1"/>
        <v>0</v>
      </c>
      <c r="M22" s="792">
        <f t="shared" si="1"/>
        <v>0</v>
      </c>
      <c r="N22" s="792">
        <f t="shared" si="1"/>
        <v>8083.4506119301968</v>
      </c>
      <c r="O22" s="792">
        <f t="shared" si="1"/>
        <v>0</v>
      </c>
      <c r="P22" s="792">
        <f t="shared" si="1"/>
        <v>0</v>
      </c>
      <c r="Q22" s="792">
        <f t="shared" si="1"/>
        <v>0</v>
      </c>
      <c r="R22" s="792">
        <f t="shared" si="1"/>
        <v>194799.27855983135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151.7325946939967</v>
      </c>
      <c r="D24" s="674">
        <f>+landbouw!C8</f>
        <v>0</v>
      </c>
      <c r="E24" s="674">
        <f>+landbouw!D8</f>
        <v>305.93860715514677</v>
      </c>
      <c r="F24" s="674">
        <f>+landbouw!E8</f>
        <v>1.5889765804027198</v>
      </c>
      <c r="G24" s="674">
        <f>+landbouw!F8</f>
        <v>649.53079757657781</v>
      </c>
      <c r="H24" s="674">
        <f>+landbouw!G8</f>
        <v>0</v>
      </c>
      <c r="I24" s="674">
        <f>+landbouw!H8</f>
        <v>0</v>
      </c>
      <c r="J24" s="674">
        <f>+landbouw!I8</f>
        <v>0</v>
      </c>
      <c r="K24" s="674">
        <f>+landbouw!J8</f>
        <v>13.551080708621328</v>
      </c>
      <c r="L24" s="674">
        <f>+landbouw!K8</f>
        <v>0</v>
      </c>
      <c r="M24" s="674">
        <f>+landbouw!L8</f>
        <v>0</v>
      </c>
      <c r="N24" s="674">
        <f>+landbouw!M8</f>
        <v>0</v>
      </c>
      <c r="O24" s="674">
        <f>+landbouw!N8</f>
        <v>0</v>
      </c>
      <c r="P24" s="674">
        <f>+landbouw!O8</f>
        <v>0</v>
      </c>
      <c r="Q24" s="675">
        <f>+landbouw!P8</f>
        <v>0</v>
      </c>
      <c r="R24" s="677">
        <f>SUM(C24:Q24)</f>
        <v>1122.3420567147455</v>
      </c>
      <c r="S24" s="67"/>
    </row>
    <row r="25" spans="1:19" s="443" customFormat="1" ht="15" thickBot="1">
      <c r="A25" s="811" t="s">
        <v>889</v>
      </c>
      <c r="B25" s="966"/>
      <c r="C25" s="967">
        <f>IF(Onbekend_ele_kWh="---",0,Onbekend_ele_kWh)/1000+IF(REST_rest_ele_kWh="---",0,REST_rest_ele_kWh)/1000</f>
        <v>871.93624655681197</v>
      </c>
      <c r="D25" s="967"/>
      <c r="E25" s="967">
        <f>IF(onbekend_gas_kWh="---",0,onbekend_gas_kWh)/1000+IF(REST_rest_gas_kWh="---",0,REST_rest_gas_kWh)/1000</f>
        <v>1624.22603200252</v>
      </c>
      <c r="F25" s="967"/>
      <c r="G25" s="967"/>
      <c r="H25" s="967"/>
      <c r="I25" s="967"/>
      <c r="J25" s="967"/>
      <c r="K25" s="967"/>
      <c r="L25" s="967"/>
      <c r="M25" s="967"/>
      <c r="N25" s="967"/>
      <c r="O25" s="967"/>
      <c r="P25" s="967"/>
      <c r="Q25" s="968"/>
      <c r="R25" s="677">
        <f>SUM(C25:Q25)</f>
        <v>2496.1622785593318</v>
      </c>
      <c r="S25" s="67"/>
    </row>
    <row r="26" spans="1:19" s="443" customFormat="1" ht="15.75" thickBot="1">
      <c r="A26" s="680" t="s">
        <v>890</v>
      </c>
      <c r="B26" s="797"/>
      <c r="C26" s="792">
        <f>SUM(C24:C25)</f>
        <v>1023.6688412508087</v>
      </c>
      <c r="D26" s="792">
        <f t="shared" ref="D26:R26" si="2">SUM(D24:D25)</f>
        <v>0</v>
      </c>
      <c r="E26" s="792">
        <f t="shared" si="2"/>
        <v>1930.1646391576669</v>
      </c>
      <c r="F26" s="792">
        <f t="shared" si="2"/>
        <v>1.5889765804027198</v>
      </c>
      <c r="G26" s="792">
        <f t="shared" si="2"/>
        <v>649.53079757657781</v>
      </c>
      <c r="H26" s="792">
        <f t="shared" si="2"/>
        <v>0</v>
      </c>
      <c r="I26" s="792">
        <f t="shared" si="2"/>
        <v>0</v>
      </c>
      <c r="J26" s="792">
        <f t="shared" si="2"/>
        <v>0</v>
      </c>
      <c r="K26" s="792">
        <f t="shared" si="2"/>
        <v>13.551080708621328</v>
      </c>
      <c r="L26" s="792">
        <f t="shared" si="2"/>
        <v>0</v>
      </c>
      <c r="M26" s="792">
        <f t="shared" si="2"/>
        <v>0</v>
      </c>
      <c r="N26" s="792">
        <f t="shared" si="2"/>
        <v>0</v>
      </c>
      <c r="O26" s="792">
        <f t="shared" si="2"/>
        <v>0</v>
      </c>
      <c r="P26" s="792">
        <f t="shared" si="2"/>
        <v>0</v>
      </c>
      <c r="Q26" s="792">
        <f t="shared" si="2"/>
        <v>0</v>
      </c>
      <c r="R26" s="792">
        <f t="shared" si="2"/>
        <v>3618.5043352740772</v>
      </c>
      <c r="S26" s="67"/>
    </row>
    <row r="27" spans="1:19" s="443" customFormat="1" ht="17.25" thickTop="1" thickBot="1">
      <c r="A27" s="681" t="s">
        <v>109</v>
      </c>
      <c r="B27" s="784"/>
      <c r="C27" s="682">
        <f ca="1">C22+C16+C26</f>
        <v>32284.979777553741</v>
      </c>
      <c r="D27" s="682">
        <f t="shared" ref="D27:R27" ca="1" si="3">D22+D16+D26</f>
        <v>0</v>
      </c>
      <c r="E27" s="682">
        <f t="shared" ca="1" si="3"/>
        <v>73773.626888227256</v>
      </c>
      <c r="F27" s="682">
        <f t="shared" si="3"/>
        <v>2043.2251141013342</v>
      </c>
      <c r="G27" s="682">
        <f t="shared" ca="1" si="3"/>
        <v>29907.276871506201</v>
      </c>
      <c r="H27" s="682">
        <f t="shared" si="3"/>
        <v>157726.28367645261</v>
      </c>
      <c r="I27" s="682">
        <f t="shared" si="3"/>
        <v>28007.904389791238</v>
      </c>
      <c r="J27" s="682">
        <f t="shared" si="3"/>
        <v>0</v>
      </c>
      <c r="K27" s="682">
        <f t="shared" si="3"/>
        <v>624.0560574041956</v>
      </c>
      <c r="L27" s="682">
        <f t="shared" si="3"/>
        <v>0</v>
      </c>
      <c r="M27" s="682">
        <f t="shared" ca="1" si="3"/>
        <v>0</v>
      </c>
      <c r="N27" s="682">
        <f t="shared" si="3"/>
        <v>8083.4506119301968</v>
      </c>
      <c r="O27" s="682">
        <f t="shared" ca="1" si="3"/>
        <v>5415.2824700409728</v>
      </c>
      <c r="P27" s="682">
        <f t="shared" si="3"/>
        <v>79.73</v>
      </c>
      <c r="Q27" s="682">
        <f t="shared" si="3"/>
        <v>152.53333333333333</v>
      </c>
      <c r="R27" s="682">
        <f t="shared" ca="1" si="3"/>
        <v>338098.34919034108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2482.9455197885445</v>
      </c>
      <c r="D40" s="674">
        <f ca="1">tertiair!C20</f>
        <v>0</v>
      </c>
      <c r="E40" s="674">
        <f ca="1">tertiair!D20</f>
        <v>3112.9114977906311</v>
      </c>
      <c r="F40" s="674">
        <f>tertiair!E20</f>
        <v>61.986582254553475</v>
      </c>
      <c r="G40" s="674">
        <f ca="1">tertiair!F20</f>
        <v>492.31425794878101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6150.1578577825103</v>
      </c>
    </row>
    <row r="41" spans="1:18">
      <c r="A41" s="802" t="s">
        <v>214</v>
      </c>
      <c r="B41" s="809"/>
      <c r="C41" s="674">
        <f ca="1">huishoudens!B12</f>
        <v>4158.7124964346376</v>
      </c>
      <c r="D41" s="674">
        <f ca="1">huishoudens!C12</f>
        <v>0</v>
      </c>
      <c r="E41" s="674">
        <f>huishoudens!D12</f>
        <v>11197.318811443023</v>
      </c>
      <c r="F41" s="674">
        <f>huishoudens!E12</f>
        <v>179.88505290127378</v>
      </c>
      <c r="G41" s="674">
        <f>huishoudens!F12</f>
        <v>7222.253039857098</v>
      </c>
      <c r="H41" s="674">
        <f>huishoudens!G12</f>
        <v>0</v>
      </c>
      <c r="I41" s="674">
        <f>huishoudens!H12</f>
        <v>0</v>
      </c>
      <c r="J41" s="674">
        <f>huishoudens!I12</f>
        <v>0</v>
      </c>
      <c r="K41" s="674">
        <f>huishoudens!J12</f>
        <v>215.61759214267508</v>
      </c>
      <c r="L41" s="674">
        <f>huishoudens!K12</f>
        <v>0</v>
      </c>
      <c r="M41" s="674">
        <f>huishoudens!L12</f>
        <v>0</v>
      </c>
      <c r="N41" s="674">
        <f>huishoudens!M12</f>
        <v>0</v>
      </c>
      <c r="O41" s="674">
        <f>huishoudens!N12</f>
        <v>0</v>
      </c>
      <c r="P41" s="674">
        <f>huishoudens!O12</f>
        <v>0</v>
      </c>
      <c r="Q41" s="749">
        <f>huishoudens!P12</f>
        <v>0</v>
      </c>
      <c r="R41" s="830">
        <f t="shared" ca="1" si="4"/>
        <v>22973.786992778711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147.25834046254118</v>
      </c>
      <c r="D43" s="674">
        <f ca="1">industrie!C22</f>
        <v>0</v>
      </c>
      <c r="E43" s="674">
        <f>industrie!D22</f>
        <v>200.49431774168869</v>
      </c>
      <c r="F43" s="674">
        <f>industrie!E22</f>
        <v>2.4816325221465667</v>
      </c>
      <c r="G43" s="674">
        <f>industrie!F22</f>
        <v>97.250903933330633</v>
      </c>
      <c r="H43" s="674">
        <f>industrie!G22</f>
        <v>0</v>
      </c>
      <c r="I43" s="674">
        <f>industrie!H22</f>
        <v>0</v>
      </c>
      <c r="J43" s="674">
        <f>industrie!I22</f>
        <v>0</v>
      </c>
      <c r="K43" s="674">
        <f>industrie!J22</f>
        <v>0.50116960755821061</v>
      </c>
      <c r="L43" s="674">
        <f>industrie!K22</f>
        <v>0</v>
      </c>
      <c r="M43" s="674">
        <f>industrie!L22</f>
        <v>0</v>
      </c>
      <c r="N43" s="674">
        <f>industrie!M22</f>
        <v>0</v>
      </c>
      <c r="O43" s="674">
        <f>industrie!N22</f>
        <v>0</v>
      </c>
      <c r="P43" s="674">
        <f>industrie!O22</f>
        <v>0</v>
      </c>
      <c r="Q43" s="749">
        <f>industrie!P22</f>
        <v>0</v>
      </c>
      <c r="R43" s="829">
        <f t="shared" ca="1" si="4"/>
        <v>447.98636426726529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6788.9163566857233</v>
      </c>
      <c r="D46" s="707">
        <f t="shared" ref="D46:Q46" ca="1" si="5">SUM(D39:D45)</f>
        <v>0</v>
      </c>
      <c r="E46" s="707">
        <f t="shared" ca="1" si="5"/>
        <v>14510.724626975343</v>
      </c>
      <c r="F46" s="707">
        <f t="shared" si="5"/>
        <v>244.3532676779738</v>
      </c>
      <c r="G46" s="707">
        <f t="shared" ca="1" si="5"/>
        <v>7811.8182017392101</v>
      </c>
      <c r="H46" s="707">
        <f t="shared" si="5"/>
        <v>0</v>
      </c>
      <c r="I46" s="707">
        <f t="shared" si="5"/>
        <v>0</v>
      </c>
      <c r="J46" s="707">
        <f t="shared" si="5"/>
        <v>0</v>
      </c>
      <c r="K46" s="707">
        <f t="shared" si="5"/>
        <v>216.11876175023329</v>
      </c>
      <c r="L46" s="707">
        <f t="shared" si="5"/>
        <v>0</v>
      </c>
      <c r="M46" s="707">
        <f t="shared" ca="1" si="5"/>
        <v>0</v>
      </c>
      <c r="N46" s="707">
        <f t="shared" si="5"/>
        <v>0</v>
      </c>
      <c r="O46" s="707">
        <f t="shared" ca="1" si="5"/>
        <v>0</v>
      </c>
      <c r="P46" s="707">
        <f t="shared" si="5"/>
        <v>0</v>
      </c>
      <c r="Q46" s="707">
        <f t="shared" si="5"/>
        <v>0</v>
      </c>
      <c r="R46" s="707">
        <f ca="1">SUM(R39:R45)</f>
        <v>29571.931214828484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1.2695141311550229</v>
      </c>
      <c r="D49" s="674">
        <f ca="1">transport!C58</f>
        <v>0</v>
      </c>
      <c r="E49" s="674">
        <f>transport!D58</f>
        <v>0</v>
      </c>
      <c r="F49" s="674">
        <f>transport!E58</f>
        <v>0</v>
      </c>
      <c r="G49" s="674">
        <f>transport!F58</f>
        <v>0</v>
      </c>
      <c r="H49" s="674">
        <f>transport!G58</f>
        <v>338.51689280055427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339.78640693170928</v>
      </c>
    </row>
    <row r="50" spans="1:18">
      <c r="A50" s="805" t="s">
        <v>296</v>
      </c>
      <c r="B50" s="815"/>
      <c r="C50" s="973">
        <f ca="1">transport!B18</f>
        <v>0.52433092368623846</v>
      </c>
      <c r="D50" s="973">
        <f>transport!C18</f>
        <v>0</v>
      </c>
      <c r="E50" s="973">
        <f>transport!D18</f>
        <v>1.654747336713835</v>
      </c>
      <c r="F50" s="973">
        <f>transport!E18</f>
        <v>219.09813553927765</v>
      </c>
      <c r="G50" s="973">
        <f>transport!F18</f>
        <v>0</v>
      </c>
      <c r="H50" s="973">
        <f>transport!G18</f>
        <v>41774.4008488123</v>
      </c>
      <c r="I50" s="973">
        <f>transport!H18</f>
        <v>6973.9681930580182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48969.646255669999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1.7938450548412614</v>
      </c>
      <c r="D52" s="707">
        <f t="shared" ref="D52:Q52" ca="1" si="6">SUM(D48:D51)</f>
        <v>0</v>
      </c>
      <c r="E52" s="707">
        <f t="shared" si="6"/>
        <v>1.654747336713835</v>
      </c>
      <c r="F52" s="707">
        <f t="shared" si="6"/>
        <v>219.09813553927765</v>
      </c>
      <c r="G52" s="707">
        <f t="shared" si="6"/>
        <v>0</v>
      </c>
      <c r="H52" s="707">
        <f t="shared" si="6"/>
        <v>42112.917741612851</v>
      </c>
      <c r="I52" s="707">
        <f t="shared" si="6"/>
        <v>6973.9681930580182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49309.432662601706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32.959976656914471</v>
      </c>
      <c r="D54" s="973">
        <f ca="1">+landbouw!C12</f>
        <v>0</v>
      </c>
      <c r="E54" s="973">
        <f>+landbouw!D12</f>
        <v>61.79959864533965</v>
      </c>
      <c r="F54" s="973">
        <f>+landbouw!E12</f>
        <v>0.36069768375141742</v>
      </c>
      <c r="G54" s="973">
        <f>+landbouw!F12</f>
        <v>173.4247229529463</v>
      </c>
      <c r="H54" s="973">
        <f>+landbouw!G12</f>
        <v>0</v>
      </c>
      <c r="I54" s="973">
        <f>+landbouw!H12</f>
        <v>0</v>
      </c>
      <c r="J54" s="973">
        <f>+landbouw!I12</f>
        <v>0</v>
      </c>
      <c r="K54" s="973">
        <f>+landbouw!J12</f>
        <v>4.7970825708519493</v>
      </c>
      <c r="L54" s="973">
        <f>+landbouw!K12</f>
        <v>0</v>
      </c>
      <c r="M54" s="973">
        <f>+landbouw!L12</f>
        <v>0</v>
      </c>
      <c r="N54" s="973">
        <f>+landbouw!M12</f>
        <v>0</v>
      </c>
      <c r="O54" s="973">
        <f>+landbouw!N12</f>
        <v>0</v>
      </c>
      <c r="P54" s="973">
        <f>+landbouw!O12</f>
        <v>0</v>
      </c>
      <c r="Q54" s="974">
        <f>+landbouw!P12</f>
        <v>0</v>
      </c>
      <c r="R54" s="706">
        <f ca="1">SUM(C54:Q54)</f>
        <v>273.3420785098038</v>
      </c>
    </row>
    <row r="55" spans="1:18" ht="15" thickBot="1">
      <c r="A55" s="805" t="s">
        <v>889</v>
      </c>
      <c r="B55" s="815"/>
      <c r="C55" s="973">
        <f ca="1">C25*'EF ele_warmte'!B12</f>
        <v>189.40556833413987</v>
      </c>
      <c r="D55" s="973"/>
      <c r="E55" s="973">
        <f>E25*EF_CO2_aardgas</f>
        <v>328.09365846450908</v>
      </c>
      <c r="F55" s="973"/>
      <c r="G55" s="973"/>
      <c r="H55" s="973"/>
      <c r="I55" s="973"/>
      <c r="J55" s="973"/>
      <c r="K55" s="973"/>
      <c r="L55" s="973"/>
      <c r="M55" s="973"/>
      <c r="N55" s="973"/>
      <c r="O55" s="973"/>
      <c r="P55" s="973"/>
      <c r="Q55" s="974"/>
      <c r="R55" s="706">
        <f ca="1">SUM(C55:Q55)</f>
        <v>517.49922679864892</v>
      </c>
    </row>
    <row r="56" spans="1:18" ht="15.75" thickBot="1">
      <c r="A56" s="803" t="s">
        <v>890</v>
      </c>
      <c r="B56" s="816"/>
      <c r="C56" s="707">
        <f ca="1">SUM(C54:C55)</f>
        <v>222.36554499105435</v>
      </c>
      <c r="D56" s="707">
        <f t="shared" ref="D56:Q56" ca="1" si="7">SUM(D54:D55)</f>
        <v>0</v>
      </c>
      <c r="E56" s="707">
        <f t="shared" si="7"/>
        <v>389.89325710984872</v>
      </c>
      <c r="F56" s="707">
        <f t="shared" si="7"/>
        <v>0.36069768375141742</v>
      </c>
      <c r="G56" s="707">
        <f t="shared" si="7"/>
        <v>173.4247229529463</v>
      </c>
      <c r="H56" s="707">
        <f t="shared" si="7"/>
        <v>0</v>
      </c>
      <c r="I56" s="707">
        <f t="shared" si="7"/>
        <v>0</v>
      </c>
      <c r="J56" s="707">
        <f t="shared" si="7"/>
        <v>0</v>
      </c>
      <c r="K56" s="707">
        <f t="shared" si="7"/>
        <v>4.7970825708519493</v>
      </c>
      <c r="L56" s="707">
        <f t="shared" si="7"/>
        <v>0</v>
      </c>
      <c r="M56" s="707">
        <f t="shared" si="7"/>
        <v>0</v>
      </c>
      <c r="N56" s="707">
        <f t="shared" si="7"/>
        <v>0</v>
      </c>
      <c r="O56" s="707">
        <f t="shared" si="7"/>
        <v>0</v>
      </c>
      <c r="P56" s="707">
        <f t="shared" si="7"/>
        <v>0</v>
      </c>
      <c r="Q56" s="708">
        <f t="shared" si="7"/>
        <v>0</v>
      </c>
      <c r="R56" s="709">
        <f ca="1">SUM(R54:R55)</f>
        <v>790.84130530845277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7013.0757467316189</v>
      </c>
      <c r="D61" s="715">
        <f t="shared" ref="D61:Q61" ca="1" si="8">D46+D52+D56</f>
        <v>0</v>
      </c>
      <c r="E61" s="715">
        <f t="shared" ca="1" si="8"/>
        <v>14902.272631421905</v>
      </c>
      <c r="F61" s="715">
        <f t="shared" si="8"/>
        <v>463.81210090100291</v>
      </c>
      <c r="G61" s="715">
        <f t="shared" ca="1" si="8"/>
        <v>7985.2429246921565</v>
      </c>
      <c r="H61" s="715">
        <f t="shared" si="8"/>
        <v>42112.917741612851</v>
      </c>
      <c r="I61" s="715">
        <f t="shared" si="8"/>
        <v>6973.9681930580182</v>
      </c>
      <c r="J61" s="715">
        <f t="shared" si="8"/>
        <v>0</v>
      </c>
      <c r="K61" s="715">
        <f t="shared" si="8"/>
        <v>220.91584432108525</v>
      </c>
      <c r="L61" s="715">
        <f t="shared" si="8"/>
        <v>0</v>
      </c>
      <c r="M61" s="715">
        <f t="shared" ca="1" si="8"/>
        <v>0</v>
      </c>
      <c r="N61" s="715">
        <f t="shared" si="8"/>
        <v>0</v>
      </c>
      <c r="O61" s="715">
        <f t="shared" ca="1" si="8"/>
        <v>0</v>
      </c>
      <c r="P61" s="715">
        <f t="shared" si="8"/>
        <v>0</v>
      </c>
      <c r="Q61" s="715">
        <f t="shared" si="8"/>
        <v>0</v>
      </c>
      <c r="R61" s="715">
        <f ca="1">R46+R52+R56</f>
        <v>79672.205182738646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0.21722410220022773</v>
      </c>
      <c r="D63" s="759">
        <f t="shared" ca="1" si="9"/>
        <v>0</v>
      </c>
      <c r="E63" s="975">
        <f t="shared" ca="1" si="9"/>
        <v>0.20199999999999999</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551.60535795365831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551.60535795365831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19144.802323092663</v>
      </c>
      <c r="C4" s="447">
        <f>huishoudens!C8</f>
        <v>0</v>
      </c>
      <c r="D4" s="447">
        <f>huishoudens!D8</f>
        <v>55432.271343777335</v>
      </c>
      <c r="E4" s="447">
        <f>huishoudens!E8</f>
        <v>792.44516696596372</v>
      </c>
      <c r="F4" s="447">
        <f>huishoudens!F8</f>
        <v>27049.636853397369</v>
      </c>
      <c r="G4" s="447">
        <f>huishoudens!G8</f>
        <v>0</v>
      </c>
      <c r="H4" s="447">
        <f>huishoudens!H8</f>
        <v>0</v>
      </c>
      <c r="I4" s="447">
        <f>huishoudens!I8</f>
        <v>0</v>
      </c>
      <c r="J4" s="447">
        <f>huishoudens!J8</f>
        <v>609.08924334089011</v>
      </c>
      <c r="K4" s="447">
        <f>huishoudens!K8</f>
        <v>0</v>
      </c>
      <c r="L4" s="447">
        <f>huishoudens!L8</f>
        <v>0</v>
      </c>
      <c r="M4" s="447">
        <f>huishoudens!M8</f>
        <v>0</v>
      </c>
      <c r="N4" s="447">
        <f>huishoudens!N8</f>
        <v>5017.6459653327456</v>
      </c>
      <c r="O4" s="447">
        <f>huishoudens!O8</f>
        <v>79.73</v>
      </c>
      <c r="P4" s="448">
        <f>huishoudens!P8</f>
        <v>114.4</v>
      </c>
      <c r="Q4" s="449">
        <f>SUM(B4:P4)</f>
        <v>108240.02089590696</v>
      </c>
    </row>
    <row r="5" spans="1:17">
      <c r="A5" s="446" t="s">
        <v>149</v>
      </c>
      <c r="B5" s="447">
        <f ca="1">tertiair!B16</f>
        <v>10737.935807669093</v>
      </c>
      <c r="C5" s="447">
        <f ca="1">tertiair!C16</f>
        <v>0</v>
      </c>
      <c r="D5" s="447">
        <f ca="1">tertiair!D16</f>
        <v>15410.452959359558</v>
      </c>
      <c r="E5" s="447">
        <f>tertiair!E16</f>
        <v>273.06864429318711</v>
      </c>
      <c r="F5" s="447">
        <f ca="1">tertiair!F16</f>
        <v>1843.8736252763333</v>
      </c>
      <c r="G5" s="447">
        <f>tertiair!G16</f>
        <v>0</v>
      </c>
      <c r="H5" s="447">
        <f>tertiair!H16</f>
        <v>0</v>
      </c>
      <c r="I5" s="447">
        <f>tertiair!I16</f>
        <v>0</v>
      </c>
      <c r="J5" s="447">
        <f>tertiair!J16</f>
        <v>0</v>
      </c>
      <c r="K5" s="447">
        <f>tertiair!K16</f>
        <v>0</v>
      </c>
      <c r="L5" s="447">
        <f ca="1">tertiair!L16</f>
        <v>0</v>
      </c>
      <c r="M5" s="447">
        <f>tertiair!M16</f>
        <v>0</v>
      </c>
      <c r="N5" s="447">
        <f ca="1">tertiair!N16</f>
        <v>364.94157846478413</v>
      </c>
      <c r="O5" s="447">
        <f>tertiair!O16</f>
        <v>0</v>
      </c>
      <c r="P5" s="448">
        <f>tertiair!P16</f>
        <v>38.133333333333333</v>
      </c>
      <c r="Q5" s="446">
        <f t="shared" ref="Q5:Q14" ca="1" si="0">SUM(B5:P5)</f>
        <v>28668.405948396288</v>
      </c>
    </row>
    <row r="6" spans="1:17">
      <c r="A6" s="446" t="s">
        <v>187</v>
      </c>
      <c r="B6" s="447">
        <f>'openbare verlichting'!B8</f>
        <v>692.40499999999997</v>
      </c>
      <c r="C6" s="447"/>
      <c r="D6" s="447"/>
      <c r="E6" s="447"/>
      <c r="F6" s="447"/>
      <c r="G6" s="447"/>
      <c r="H6" s="447"/>
      <c r="I6" s="447"/>
      <c r="J6" s="447"/>
      <c r="K6" s="447"/>
      <c r="L6" s="447"/>
      <c r="M6" s="447"/>
      <c r="N6" s="447"/>
      <c r="O6" s="447"/>
      <c r="P6" s="448"/>
      <c r="Q6" s="446">
        <f t="shared" si="0"/>
        <v>692.40499999999997</v>
      </c>
    </row>
    <row r="7" spans="1:17">
      <c r="A7" s="446" t="s">
        <v>105</v>
      </c>
      <c r="B7" s="447">
        <f>landbouw!B8</f>
        <v>151.7325946939967</v>
      </c>
      <c r="C7" s="447">
        <f>landbouw!C8</f>
        <v>0</v>
      </c>
      <c r="D7" s="447">
        <f>landbouw!D8</f>
        <v>305.93860715514677</v>
      </c>
      <c r="E7" s="447">
        <f>landbouw!E8</f>
        <v>1.5889765804027198</v>
      </c>
      <c r="F7" s="447">
        <f>landbouw!F8</f>
        <v>649.53079757657781</v>
      </c>
      <c r="G7" s="447">
        <f>landbouw!G8</f>
        <v>0</v>
      </c>
      <c r="H7" s="447">
        <f>landbouw!H8</f>
        <v>0</v>
      </c>
      <c r="I7" s="447">
        <f>landbouw!I8</f>
        <v>0</v>
      </c>
      <c r="J7" s="447">
        <f>landbouw!J8</f>
        <v>13.551080708621328</v>
      </c>
      <c r="K7" s="447">
        <f>landbouw!K8</f>
        <v>0</v>
      </c>
      <c r="L7" s="447">
        <f>landbouw!L8</f>
        <v>0</v>
      </c>
      <c r="M7" s="447">
        <f>landbouw!M8</f>
        <v>0</v>
      </c>
      <c r="N7" s="447">
        <f>landbouw!N8</f>
        <v>0</v>
      </c>
      <c r="O7" s="447">
        <f>landbouw!O8</f>
        <v>0</v>
      </c>
      <c r="P7" s="448">
        <f>landbouw!P8</f>
        <v>0</v>
      </c>
      <c r="Q7" s="446">
        <f t="shared" si="0"/>
        <v>1122.3420567147455</v>
      </c>
    </row>
    <row r="8" spans="1:17">
      <c r="A8" s="446" t="s">
        <v>637</v>
      </c>
      <c r="B8" s="447">
        <f>industrie!B18</f>
        <v>677.90976678455718</v>
      </c>
      <c r="C8" s="447">
        <f>industrie!C18</f>
        <v>0</v>
      </c>
      <c r="D8" s="447">
        <f>industrie!D18</f>
        <v>992.54612743410235</v>
      </c>
      <c r="E8" s="447">
        <f>industrie!E18</f>
        <v>10.932301859676505</v>
      </c>
      <c r="F8" s="447">
        <f>industrie!F18</f>
        <v>364.23559525591997</v>
      </c>
      <c r="G8" s="447">
        <f>industrie!G18</f>
        <v>0</v>
      </c>
      <c r="H8" s="447">
        <f>industrie!H18</f>
        <v>0</v>
      </c>
      <c r="I8" s="447">
        <f>industrie!I18</f>
        <v>0</v>
      </c>
      <c r="J8" s="447">
        <f>industrie!J18</f>
        <v>1.4157333546842108</v>
      </c>
      <c r="K8" s="447">
        <f>industrie!K18</f>
        <v>0</v>
      </c>
      <c r="L8" s="447">
        <f>industrie!L18</f>
        <v>0</v>
      </c>
      <c r="M8" s="447">
        <f>industrie!M18</f>
        <v>0</v>
      </c>
      <c r="N8" s="447">
        <f>industrie!N18</f>
        <v>32.694926243442879</v>
      </c>
      <c r="O8" s="447">
        <f>industrie!O18</f>
        <v>0</v>
      </c>
      <c r="P8" s="448">
        <f>industrie!P18</f>
        <v>0</v>
      </c>
      <c r="Q8" s="446">
        <f t="shared" si="0"/>
        <v>2079.734450932383</v>
      </c>
    </row>
    <row r="9" spans="1:17" s="452" customFormat="1">
      <c r="A9" s="450" t="s">
        <v>556</v>
      </c>
      <c r="B9" s="451">
        <f>transport!B14</f>
        <v>2.4137787583209023</v>
      </c>
      <c r="C9" s="451">
        <f>transport!C14</f>
        <v>0</v>
      </c>
      <c r="D9" s="451">
        <f>transport!D14</f>
        <v>8.1918184985833413</v>
      </c>
      <c r="E9" s="451">
        <f>transport!E14</f>
        <v>965.1900244021042</v>
      </c>
      <c r="F9" s="451">
        <f>transport!F14</f>
        <v>0</v>
      </c>
      <c r="G9" s="451">
        <f>transport!G14</f>
        <v>156458.4301453644</v>
      </c>
      <c r="H9" s="451">
        <f>transport!H14</f>
        <v>28007.904389791238</v>
      </c>
      <c r="I9" s="451">
        <f>transport!I14</f>
        <v>0</v>
      </c>
      <c r="J9" s="451">
        <f>transport!J14</f>
        <v>0</v>
      </c>
      <c r="K9" s="451">
        <f>transport!K14</f>
        <v>0</v>
      </c>
      <c r="L9" s="451">
        <f>transport!L14</f>
        <v>0</v>
      </c>
      <c r="M9" s="451">
        <f>transport!M14</f>
        <v>8029.1659938701432</v>
      </c>
      <c r="N9" s="451">
        <f>transport!N14</f>
        <v>0</v>
      </c>
      <c r="O9" s="451">
        <f>transport!O14</f>
        <v>0</v>
      </c>
      <c r="P9" s="451">
        <f>transport!P14</f>
        <v>0</v>
      </c>
      <c r="Q9" s="450">
        <f>SUM(B9:P9)</f>
        <v>193471.29615068479</v>
      </c>
    </row>
    <row r="10" spans="1:17">
      <c r="A10" s="446" t="s">
        <v>546</v>
      </c>
      <c r="B10" s="447">
        <f>transport!B54</f>
        <v>5.8442599982981633</v>
      </c>
      <c r="C10" s="447">
        <f>transport!C54</f>
        <v>0</v>
      </c>
      <c r="D10" s="447">
        <f>transport!D54</f>
        <v>0</v>
      </c>
      <c r="E10" s="447">
        <f>transport!E54</f>
        <v>0</v>
      </c>
      <c r="F10" s="447">
        <f>transport!F54</f>
        <v>0</v>
      </c>
      <c r="G10" s="447">
        <f>transport!G54</f>
        <v>1267.8535310882182</v>
      </c>
      <c r="H10" s="447">
        <f>transport!H54</f>
        <v>0</v>
      </c>
      <c r="I10" s="447">
        <f>transport!I54</f>
        <v>0</v>
      </c>
      <c r="J10" s="447">
        <f>transport!J54</f>
        <v>0</v>
      </c>
      <c r="K10" s="447">
        <f>transport!K54</f>
        <v>0</v>
      </c>
      <c r="L10" s="447">
        <f>transport!L54</f>
        <v>0</v>
      </c>
      <c r="M10" s="447">
        <f>transport!M54</f>
        <v>54.284618060053909</v>
      </c>
      <c r="N10" s="447">
        <f>transport!N54</f>
        <v>0</v>
      </c>
      <c r="O10" s="447">
        <f>transport!O54</f>
        <v>0</v>
      </c>
      <c r="P10" s="448">
        <f>transport!P54</f>
        <v>0</v>
      </c>
      <c r="Q10" s="446">
        <f t="shared" si="0"/>
        <v>1327.9824091465703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871.93624655681197</v>
      </c>
      <c r="C14" s="454"/>
      <c r="D14" s="454">
        <f>'SEAP template'!E25</f>
        <v>1624.22603200252</v>
      </c>
      <c r="E14" s="454"/>
      <c r="F14" s="454"/>
      <c r="G14" s="454"/>
      <c r="H14" s="454"/>
      <c r="I14" s="454"/>
      <c r="J14" s="454"/>
      <c r="K14" s="454"/>
      <c r="L14" s="454"/>
      <c r="M14" s="454"/>
      <c r="N14" s="454"/>
      <c r="O14" s="454"/>
      <c r="P14" s="455"/>
      <c r="Q14" s="446">
        <f t="shared" si="0"/>
        <v>2496.1622785593318</v>
      </c>
    </row>
    <row r="15" spans="1:17" s="459" customFormat="1">
      <c r="A15" s="456" t="s">
        <v>550</v>
      </c>
      <c r="B15" s="457">
        <f ca="1">SUM(B4:B14)</f>
        <v>32284.979777553737</v>
      </c>
      <c r="C15" s="457">
        <f t="shared" ref="C15:Q15" ca="1" si="1">SUM(C4:C14)</f>
        <v>0</v>
      </c>
      <c r="D15" s="457">
        <f t="shared" ca="1" si="1"/>
        <v>73773.626888227256</v>
      </c>
      <c r="E15" s="457">
        <f t="shared" si="1"/>
        <v>2043.2251141013342</v>
      </c>
      <c r="F15" s="457">
        <f t="shared" ca="1" si="1"/>
        <v>29907.276871506201</v>
      </c>
      <c r="G15" s="457">
        <f t="shared" si="1"/>
        <v>157726.28367645261</v>
      </c>
      <c r="H15" s="457">
        <f t="shared" si="1"/>
        <v>28007.904389791238</v>
      </c>
      <c r="I15" s="457">
        <f t="shared" si="1"/>
        <v>0</v>
      </c>
      <c r="J15" s="457">
        <f t="shared" si="1"/>
        <v>624.05605740419571</v>
      </c>
      <c r="K15" s="457">
        <f t="shared" si="1"/>
        <v>0</v>
      </c>
      <c r="L15" s="457">
        <f t="shared" ca="1" si="1"/>
        <v>0</v>
      </c>
      <c r="M15" s="457">
        <f t="shared" si="1"/>
        <v>8083.4506119301968</v>
      </c>
      <c r="N15" s="457">
        <f t="shared" ca="1" si="1"/>
        <v>5415.2824700409728</v>
      </c>
      <c r="O15" s="457">
        <f t="shared" si="1"/>
        <v>79.73</v>
      </c>
      <c r="P15" s="457">
        <f t="shared" si="1"/>
        <v>152.53333333333333</v>
      </c>
      <c r="Q15" s="457">
        <f t="shared" ca="1" si="1"/>
        <v>338098.34919034108</v>
      </c>
    </row>
    <row r="17" spans="1:17">
      <c r="A17" s="460" t="s">
        <v>551</v>
      </c>
      <c r="B17" s="764">
        <f ca="1">huishoudens!B10</f>
        <v>0.21722410220022773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4158.7124964346376</v>
      </c>
      <c r="C22" s="447">
        <f t="shared" ref="C22:C32" ca="1" si="3">C4*$C$17</f>
        <v>0</v>
      </c>
      <c r="D22" s="447">
        <f t="shared" ref="D22:D32" si="4">D4*$D$17</f>
        <v>11197.318811443023</v>
      </c>
      <c r="E22" s="447">
        <f t="shared" ref="E22:E32" si="5">E4*$E$17</f>
        <v>179.88505290127378</v>
      </c>
      <c r="F22" s="447">
        <f t="shared" ref="F22:F32" si="6">F4*$F$17</f>
        <v>7222.253039857098</v>
      </c>
      <c r="G22" s="447">
        <f t="shared" ref="G22:G32" si="7">G4*$G$17</f>
        <v>0</v>
      </c>
      <c r="H22" s="447">
        <f t="shared" ref="H22:H32" si="8">H4*$H$17</f>
        <v>0</v>
      </c>
      <c r="I22" s="447">
        <f t="shared" ref="I22:I32" si="9">I4*$I$17</f>
        <v>0</v>
      </c>
      <c r="J22" s="447">
        <f t="shared" ref="J22:J32" si="10">J4*$J$17</f>
        <v>215.61759214267508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22973.786992778711</v>
      </c>
    </row>
    <row r="23" spans="1:17">
      <c r="A23" s="446" t="s">
        <v>149</v>
      </c>
      <c r="B23" s="447">
        <f t="shared" ca="1" si="2"/>
        <v>2332.5384653045958</v>
      </c>
      <c r="C23" s="447">
        <f t="shared" ca="1" si="3"/>
        <v>0</v>
      </c>
      <c r="D23" s="447">
        <f t="shared" ca="1" si="4"/>
        <v>3112.9114977906311</v>
      </c>
      <c r="E23" s="447">
        <f t="shared" si="5"/>
        <v>61.986582254553475</v>
      </c>
      <c r="F23" s="447">
        <f t="shared" ca="1" si="6"/>
        <v>492.31425794878101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5999.7508032985616</v>
      </c>
    </row>
    <row r="24" spans="1:17">
      <c r="A24" s="446" t="s">
        <v>187</v>
      </c>
      <c r="B24" s="447">
        <f t="shared" ca="1" si="2"/>
        <v>150.40705448394868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150.40705448394868</v>
      </c>
    </row>
    <row r="25" spans="1:17">
      <c r="A25" s="446" t="s">
        <v>105</v>
      </c>
      <c r="B25" s="447">
        <f t="shared" ca="1" si="2"/>
        <v>32.959976656914471</v>
      </c>
      <c r="C25" s="447">
        <f t="shared" ca="1" si="3"/>
        <v>0</v>
      </c>
      <c r="D25" s="447">
        <f t="shared" si="4"/>
        <v>61.79959864533965</v>
      </c>
      <c r="E25" s="447">
        <f t="shared" si="5"/>
        <v>0.36069768375141742</v>
      </c>
      <c r="F25" s="447">
        <f t="shared" si="6"/>
        <v>173.4247229529463</v>
      </c>
      <c r="G25" s="447">
        <f t="shared" si="7"/>
        <v>0</v>
      </c>
      <c r="H25" s="447">
        <f t="shared" si="8"/>
        <v>0</v>
      </c>
      <c r="I25" s="447">
        <f t="shared" si="9"/>
        <v>0</v>
      </c>
      <c r="J25" s="447">
        <f t="shared" si="10"/>
        <v>4.7970825708519493</v>
      </c>
      <c r="K25" s="447">
        <f t="shared" si="11"/>
        <v>0</v>
      </c>
      <c r="L25" s="447">
        <f t="shared" si="12"/>
        <v>0</v>
      </c>
      <c r="M25" s="447">
        <f t="shared" si="13"/>
        <v>0</v>
      </c>
      <c r="N25" s="447">
        <f t="shared" si="14"/>
        <v>0</v>
      </c>
      <c r="O25" s="447">
        <f t="shared" si="15"/>
        <v>0</v>
      </c>
      <c r="P25" s="448">
        <f t="shared" si="16"/>
        <v>0</v>
      </c>
      <c r="Q25" s="446">
        <f t="shared" ca="1" si="17"/>
        <v>273.3420785098038</v>
      </c>
    </row>
    <row r="26" spans="1:17">
      <c r="A26" s="446" t="s">
        <v>637</v>
      </c>
      <c r="B26" s="447">
        <f t="shared" ca="1" si="2"/>
        <v>147.25834046254118</v>
      </c>
      <c r="C26" s="447">
        <f t="shared" ca="1" si="3"/>
        <v>0</v>
      </c>
      <c r="D26" s="447">
        <f t="shared" si="4"/>
        <v>200.49431774168869</v>
      </c>
      <c r="E26" s="447">
        <f t="shared" si="5"/>
        <v>2.4816325221465667</v>
      </c>
      <c r="F26" s="447">
        <f t="shared" si="6"/>
        <v>97.250903933330633</v>
      </c>
      <c r="G26" s="447">
        <f t="shared" si="7"/>
        <v>0</v>
      </c>
      <c r="H26" s="447">
        <f t="shared" si="8"/>
        <v>0</v>
      </c>
      <c r="I26" s="447">
        <f t="shared" si="9"/>
        <v>0</v>
      </c>
      <c r="J26" s="447">
        <f t="shared" si="10"/>
        <v>0.50116960755821061</v>
      </c>
      <c r="K26" s="447">
        <f t="shared" si="11"/>
        <v>0</v>
      </c>
      <c r="L26" s="447">
        <f t="shared" si="12"/>
        <v>0</v>
      </c>
      <c r="M26" s="447">
        <f t="shared" si="13"/>
        <v>0</v>
      </c>
      <c r="N26" s="447">
        <f t="shared" si="14"/>
        <v>0</v>
      </c>
      <c r="O26" s="447">
        <f t="shared" si="15"/>
        <v>0</v>
      </c>
      <c r="P26" s="448">
        <f t="shared" si="16"/>
        <v>0</v>
      </c>
      <c r="Q26" s="446">
        <f t="shared" ca="1" si="17"/>
        <v>447.98636426726529</v>
      </c>
    </row>
    <row r="27" spans="1:17" s="452" customFormat="1">
      <c r="A27" s="450" t="s">
        <v>556</v>
      </c>
      <c r="B27" s="758">
        <f t="shared" ca="1" si="2"/>
        <v>0.52433092368623846</v>
      </c>
      <c r="C27" s="451">
        <f t="shared" ca="1" si="3"/>
        <v>0</v>
      </c>
      <c r="D27" s="451">
        <f t="shared" si="4"/>
        <v>1.654747336713835</v>
      </c>
      <c r="E27" s="451">
        <f t="shared" si="5"/>
        <v>219.09813553927765</v>
      </c>
      <c r="F27" s="451">
        <f t="shared" si="6"/>
        <v>0</v>
      </c>
      <c r="G27" s="451">
        <f t="shared" si="7"/>
        <v>41774.4008488123</v>
      </c>
      <c r="H27" s="451">
        <f t="shared" si="8"/>
        <v>6973.9681930580182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48969.646255669999</v>
      </c>
    </row>
    <row r="28" spans="1:17">
      <c r="A28" s="446" t="s">
        <v>546</v>
      </c>
      <c r="B28" s="447">
        <f t="shared" ca="1" si="2"/>
        <v>1.2695141311550229</v>
      </c>
      <c r="C28" s="447">
        <f t="shared" ca="1" si="3"/>
        <v>0</v>
      </c>
      <c r="D28" s="447">
        <f t="shared" si="4"/>
        <v>0</v>
      </c>
      <c r="E28" s="447">
        <f t="shared" si="5"/>
        <v>0</v>
      </c>
      <c r="F28" s="447">
        <f t="shared" si="6"/>
        <v>0</v>
      </c>
      <c r="G28" s="447">
        <f t="shared" si="7"/>
        <v>338.51689280055427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339.78640693170928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189.40556833413987</v>
      </c>
      <c r="C32" s="447">
        <f t="shared" ca="1" si="3"/>
        <v>0</v>
      </c>
      <c r="D32" s="447">
        <f t="shared" si="4"/>
        <v>328.09365846450908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517.49922679864892</v>
      </c>
    </row>
    <row r="33" spans="1:17" s="459" customFormat="1">
      <c r="A33" s="456" t="s">
        <v>550</v>
      </c>
      <c r="B33" s="457">
        <f ca="1">SUM(B22:B32)</f>
        <v>7013.0757467316198</v>
      </c>
      <c r="C33" s="457">
        <f t="shared" ref="C33:Q33" ca="1" si="19">SUM(C22:C32)</f>
        <v>0</v>
      </c>
      <c r="D33" s="457">
        <f t="shared" ca="1" si="19"/>
        <v>14902.272631421905</v>
      </c>
      <c r="E33" s="457">
        <f t="shared" si="19"/>
        <v>463.81210090100285</v>
      </c>
      <c r="F33" s="457">
        <f t="shared" ca="1" si="19"/>
        <v>7985.2429246921565</v>
      </c>
      <c r="G33" s="457">
        <f t="shared" si="19"/>
        <v>42112.917741612851</v>
      </c>
      <c r="H33" s="457">
        <f t="shared" si="19"/>
        <v>6973.9681930580182</v>
      </c>
      <c r="I33" s="457">
        <f t="shared" si="19"/>
        <v>0</v>
      </c>
      <c r="J33" s="457">
        <f t="shared" si="19"/>
        <v>220.91584432108525</v>
      </c>
      <c r="K33" s="457">
        <f t="shared" si="19"/>
        <v>0</v>
      </c>
      <c r="L33" s="457">
        <f t="shared" ca="1" si="19"/>
        <v>0</v>
      </c>
      <c r="M33" s="457">
        <f t="shared" si="19"/>
        <v>0</v>
      </c>
      <c r="N33" s="457">
        <f t="shared" ca="1" si="19"/>
        <v>0</v>
      </c>
      <c r="O33" s="457">
        <f t="shared" si="19"/>
        <v>0</v>
      </c>
      <c r="P33" s="457">
        <f t="shared" si="19"/>
        <v>0</v>
      </c>
      <c r="Q33" s="457">
        <f t="shared" ca="1" si="19"/>
        <v>79672.205182738646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551.60535795365831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551.60535795365831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0.21722410220022773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0.21722410220022773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0.21722410220022773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0.21722410220022773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4189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91</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27</v>
      </c>
      <c r="C17" s="326"/>
      <c r="D17" s="326"/>
      <c r="E17" s="326"/>
      <c r="F17" s="326"/>
    </row>
    <row r="18" spans="1:6">
      <c r="A18" s="1280" t="s">
        <v>8</v>
      </c>
      <c r="B18" s="1281">
        <v>30</v>
      </c>
      <c r="C18" s="326"/>
      <c r="D18" s="326"/>
      <c r="E18" s="326"/>
      <c r="F18" s="326"/>
    </row>
    <row r="19" spans="1:6">
      <c r="A19" s="1280" t="s">
        <v>9</v>
      </c>
      <c r="B19" s="1281">
        <v>24</v>
      </c>
      <c r="C19" s="326"/>
      <c r="D19" s="326"/>
      <c r="E19" s="326"/>
      <c r="F19" s="326"/>
    </row>
    <row r="20" spans="1:6">
      <c r="A20" s="1280" t="s">
        <v>10</v>
      </c>
      <c r="B20" s="1281">
        <v>11</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178</v>
      </c>
      <c r="C29" s="326"/>
      <c r="D29" s="326"/>
      <c r="E29" s="326"/>
      <c r="F29" s="326"/>
    </row>
    <row r="30" spans="1:6">
      <c r="A30" s="1275" t="s">
        <v>973</v>
      </c>
      <c r="B30" s="1283">
        <v>12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4</v>
      </c>
      <c r="F36" s="1281">
        <v>20701</v>
      </c>
    </row>
    <row r="37" spans="1:6">
      <c r="A37" s="1280" t="s">
        <v>24</v>
      </c>
      <c r="B37" s="1280" t="s">
        <v>27</v>
      </c>
      <c r="C37" s="1281">
        <v>0</v>
      </c>
      <c r="D37" s="1281">
        <v>0</v>
      </c>
      <c r="E37" s="1281">
        <v>0</v>
      </c>
      <c r="F37" s="1281">
        <v>0</v>
      </c>
    </row>
    <row r="38" spans="1:6">
      <c r="A38" s="1280" t="s">
        <v>24</v>
      </c>
      <c r="B38" s="1280" t="s">
        <v>28</v>
      </c>
      <c r="C38" s="1281">
        <v>1</v>
      </c>
      <c r="D38" s="1281">
        <v>31326.2207063358</v>
      </c>
      <c r="E38" s="1281">
        <v>0</v>
      </c>
      <c r="F38" s="1281">
        <v>0</v>
      </c>
    </row>
    <row r="39" spans="1:6">
      <c r="A39" s="1280" t="s">
        <v>29</v>
      </c>
      <c r="B39" s="1280" t="s">
        <v>30</v>
      </c>
      <c r="C39" s="1281">
        <v>2675</v>
      </c>
      <c r="D39" s="1281">
        <v>61454846.279132299</v>
      </c>
      <c r="E39" s="1281">
        <v>4085</v>
      </c>
      <c r="F39" s="1281">
        <v>18593196.965139002</v>
      </c>
    </row>
    <row r="40" spans="1:6">
      <c r="A40" s="1280" t="s">
        <v>29</v>
      </c>
      <c r="B40" s="1280" t="s">
        <v>28</v>
      </c>
      <c r="C40" s="1281">
        <v>0</v>
      </c>
      <c r="D40" s="1281">
        <v>0</v>
      </c>
      <c r="E40" s="1281">
        <v>0</v>
      </c>
      <c r="F40" s="1281">
        <v>0</v>
      </c>
    </row>
    <row r="41" spans="1:6">
      <c r="A41" s="1280" t="s">
        <v>31</v>
      </c>
      <c r="B41" s="1280" t="s">
        <v>32</v>
      </c>
      <c r="C41" s="1281">
        <v>11</v>
      </c>
      <c r="D41" s="1281">
        <v>261239.03915524701</v>
      </c>
      <c r="E41" s="1281">
        <v>42</v>
      </c>
      <c r="F41" s="1281">
        <v>391352.64089226897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4</v>
      </c>
      <c r="D47" s="1281">
        <v>218212.024865165</v>
      </c>
      <c r="E47" s="1281">
        <v>4</v>
      </c>
      <c r="F47" s="1281">
        <v>81542.3345373872</v>
      </c>
    </row>
    <row r="48" spans="1:6">
      <c r="A48" s="1280" t="s">
        <v>31</v>
      </c>
      <c r="B48" s="1280" t="s">
        <v>28</v>
      </c>
      <c r="C48" s="1281">
        <v>19</v>
      </c>
      <c r="D48" s="1281">
        <v>620932.66927681898</v>
      </c>
      <c r="E48" s="1281">
        <v>23</v>
      </c>
      <c r="F48" s="1281">
        <v>205014.79135490101</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10</v>
      </c>
      <c r="D51" s="1281">
        <v>236929.08925078</v>
      </c>
      <c r="E51" s="1281">
        <v>32</v>
      </c>
      <c r="F51" s="1281">
        <v>97347.734609461593</v>
      </c>
    </row>
    <row r="52" spans="1:6">
      <c r="A52" s="1280" t="s">
        <v>41</v>
      </c>
      <c r="B52" s="1280" t="s">
        <v>28</v>
      </c>
      <c r="C52" s="1281">
        <v>4</v>
      </c>
      <c r="D52" s="1281">
        <v>102248.967462243</v>
      </c>
      <c r="E52" s="1281">
        <v>6</v>
      </c>
      <c r="F52" s="1281">
        <v>54384.860084535103</v>
      </c>
    </row>
    <row r="53" spans="1:6">
      <c r="A53" s="1280" t="s">
        <v>43</v>
      </c>
      <c r="B53" s="1280" t="s">
        <v>44</v>
      </c>
      <c r="C53" s="1281">
        <v>58</v>
      </c>
      <c r="D53" s="1281">
        <v>1624226.03200252</v>
      </c>
      <c r="E53" s="1281">
        <v>127</v>
      </c>
      <c r="F53" s="1281">
        <v>871936.24655681197</v>
      </c>
    </row>
    <row r="54" spans="1:6">
      <c r="A54" s="1280" t="s">
        <v>45</v>
      </c>
      <c r="B54" s="1280" t="s">
        <v>46</v>
      </c>
      <c r="C54" s="1281">
        <v>0</v>
      </c>
      <c r="D54" s="1281">
        <v>0</v>
      </c>
      <c r="E54" s="1281">
        <v>1</v>
      </c>
      <c r="F54" s="1281">
        <v>692405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17</v>
      </c>
      <c r="D57" s="1281">
        <v>846603.11058055004</v>
      </c>
      <c r="E57" s="1281">
        <v>67</v>
      </c>
      <c r="F57" s="1281">
        <v>1232383.6501337499</v>
      </c>
    </row>
    <row r="58" spans="1:6">
      <c r="A58" s="1280" t="s">
        <v>48</v>
      </c>
      <c r="B58" s="1280" t="s">
        <v>50</v>
      </c>
      <c r="C58" s="1281">
        <v>0</v>
      </c>
      <c r="D58" s="1281">
        <v>0</v>
      </c>
      <c r="E58" s="1281">
        <v>5</v>
      </c>
      <c r="F58" s="1281">
        <v>46972.378056550202</v>
      </c>
    </row>
    <row r="59" spans="1:6">
      <c r="A59" s="1280" t="s">
        <v>48</v>
      </c>
      <c r="B59" s="1280" t="s">
        <v>51</v>
      </c>
      <c r="C59" s="1281">
        <v>29</v>
      </c>
      <c r="D59" s="1281">
        <v>1324667.5432158399</v>
      </c>
      <c r="E59" s="1281">
        <v>82</v>
      </c>
      <c r="F59" s="1281">
        <v>1970226.4652347199</v>
      </c>
    </row>
    <row r="60" spans="1:6">
      <c r="A60" s="1280" t="s">
        <v>48</v>
      </c>
      <c r="B60" s="1280" t="s">
        <v>52</v>
      </c>
      <c r="C60" s="1281">
        <v>19</v>
      </c>
      <c r="D60" s="1281">
        <v>895815.35260910296</v>
      </c>
      <c r="E60" s="1281">
        <v>25</v>
      </c>
      <c r="F60" s="1281">
        <v>462539.73932770197</v>
      </c>
    </row>
    <row r="61" spans="1:6">
      <c r="A61" s="1280" t="s">
        <v>48</v>
      </c>
      <c r="B61" s="1280" t="s">
        <v>53</v>
      </c>
      <c r="C61" s="1281">
        <v>139</v>
      </c>
      <c r="D61" s="1281">
        <v>10687490.6037146</v>
      </c>
      <c r="E61" s="1281">
        <v>247</v>
      </c>
      <c r="F61" s="1281">
        <v>5801128.1421094304</v>
      </c>
    </row>
    <row r="62" spans="1:6">
      <c r="A62" s="1280" t="s">
        <v>48</v>
      </c>
      <c r="B62" s="1280" t="s">
        <v>54</v>
      </c>
      <c r="C62" s="1281">
        <v>3</v>
      </c>
      <c r="D62" s="1281">
        <v>392009.27413510898</v>
      </c>
      <c r="E62" s="1281">
        <v>0</v>
      </c>
      <c r="F62" s="1281">
        <v>0</v>
      </c>
    </row>
    <row r="63" spans="1:6">
      <c r="A63" s="1280" t="s">
        <v>48</v>
      </c>
      <c r="B63" s="1280" t="s">
        <v>28</v>
      </c>
      <c r="C63" s="1281">
        <v>72</v>
      </c>
      <c r="D63" s="1281">
        <v>2938173.4941921998</v>
      </c>
      <c r="E63" s="1281">
        <v>87</v>
      </c>
      <c r="F63" s="1281">
        <v>1224685.4328069401</v>
      </c>
    </row>
    <row r="64" spans="1:6">
      <c r="A64" s="1280" t="s">
        <v>55</v>
      </c>
      <c r="B64" s="1280" t="s">
        <v>56</v>
      </c>
      <c r="C64" s="1281">
        <v>0</v>
      </c>
      <c r="D64" s="1281">
        <v>0</v>
      </c>
      <c r="E64" s="1281">
        <v>0</v>
      </c>
      <c r="F64" s="1281">
        <v>0</v>
      </c>
    </row>
    <row r="65" spans="1:6">
      <c r="A65" s="1280" t="s">
        <v>55</v>
      </c>
      <c r="B65" s="1280" t="s">
        <v>28</v>
      </c>
      <c r="C65" s="1281">
        <v>2</v>
      </c>
      <c r="D65" s="1281">
        <v>108638.13432944501</v>
      </c>
      <c r="E65" s="1281">
        <v>1</v>
      </c>
      <c r="F65" s="1281">
        <v>3479.8402863820002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29807.739958478702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26281311</v>
      </c>
      <c r="E73" s="445"/>
      <c r="F73" s="326"/>
    </row>
    <row r="74" spans="1:6">
      <c r="A74" s="1280" t="s">
        <v>63</v>
      </c>
      <c r="B74" s="1280" t="s">
        <v>754</v>
      </c>
      <c r="C74" s="1293" t="s">
        <v>755</v>
      </c>
      <c r="D74" s="1281">
        <v>1070171.9557982972</v>
      </c>
      <c r="E74" s="445"/>
      <c r="F74" s="326"/>
    </row>
    <row r="75" spans="1:6">
      <c r="A75" s="1280" t="s">
        <v>64</v>
      </c>
      <c r="B75" s="1280" t="s">
        <v>752</v>
      </c>
      <c r="C75" s="1293" t="s">
        <v>756</v>
      </c>
      <c r="D75" s="1281">
        <v>37159860</v>
      </c>
      <c r="E75" s="445"/>
      <c r="F75" s="326"/>
    </row>
    <row r="76" spans="1:6">
      <c r="A76" s="1280" t="s">
        <v>64</v>
      </c>
      <c r="B76" s="1280" t="s">
        <v>754</v>
      </c>
      <c r="C76" s="1293" t="s">
        <v>757</v>
      </c>
      <c r="D76" s="1281">
        <v>1052119.9557982972</v>
      </c>
      <c r="E76" s="445"/>
      <c r="F76" s="326"/>
    </row>
    <row r="77" spans="1:6">
      <c r="A77" s="1280" t="s">
        <v>65</v>
      </c>
      <c r="B77" s="1280" t="s">
        <v>752</v>
      </c>
      <c r="C77" s="1293" t="s">
        <v>758</v>
      </c>
      <c r="D77" s="1281">
        <v>157923088</v>
      </c>
      <c r="E77" s="445"/>
      <c r="F77" s="326"/>
    </row>
    <row r="78" spans="1:6">
      <c r="A78" s="1275" t="s">
        <v>65</v>
      </c>
      <c r="B78" s="1275" t="s">
        <v>754</v>
      </c>
      <c r="C78" s="1275" t="s">
        <v>759</v>
      </c>
      <c r="D78" s="1283">
        <v>11218525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347736.08840340539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551.60535795365831</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1825</v>
      </c>
      <c r="C97" s="326"/>
      <c r="D97" s="326"/>
      <c r="E97" s="326"/>
      <c r="F97" s="326"/>
    </row>
    <row r="98" spans="1:6">
      <c r="A98" s="1280" t="s">
        <v>71</v>
      </c>
      <c r="B98" s="1281">
        <v>3</v>
      </c>
      <c r="C98" s="326"/>
      <c r="D98" s="326"/>
      <c r="E98" s="326"/>
      <c r="F98" s="326"/>
    </row>
    <row r="99" spans="1:6">
      <c r="A99" s="1280" t="s">
        <v>72</v>
      </c>
      <c r="B99" s="1281">
        <v>27</v>
      </c>
      <c r="C99" s="326"/>
      <c r="D99" s="326"/>
      <c r="E99" s="326"/>
      <c r="F99" s="326"/>
    </row>
    <row r="100" spans="1:6">
      <c r="A100" s="1280" t="s">
        <v>73</v>
      </c>
      <c r="B100" s="1281">
        <v>215</v>
      </c>
      <c r="C100" s="326"/>
      <c r="D100" s="326"/>
      <c r="E100" s="326"/>
      <c r="F100" s="326"/>
    </row>
    <row r="101" spans="1:6">
      <c r="A101" s="1280" t="s">
        <v>74</v>
      </c>
      <c r="B101" s="1281">
        <v>32</v>
      </c>
      <c r="C101" s="326"/>
      <c r="D101" s="326"/>
      <c r="E101" s="326"/>
      <c r="F101" s="326"/>
    </row>
    <row r="102" spans="1:6">
      <c r="A102" s="1280" t="s">
        <v>75</v>
      </c>
      <c r="B102" s="1281">
        <v>57</v>
      </c>
      <c r="C102" s="326"/>
      <c r="D102" s="326"/>
      <c r="E102" s="326"/>
      <c r="F102" s="326"/>
    </row>
    <row r="103" spans="1:6">
      <c r="A103" s="1280" t="s">
        <v>76</v>
      </c>
      <c r="B103" s="1281">
        <v>75</v>
      </c>
      <c r="C103" s="326"/>
      <c r="D103" s="326"/>
      <c r="E103" s="326"/>
      <c r="F103" s="326"/>
    </row>
    <row r="104" spans="1:6">
      <c r="A104" s="1280" t="s">
        <v>77</v>
      </c>
      <c r="B104" s="1281">
        <v>1529</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42</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32284.979777553741</v>
      </c>
      <c r="C3" s="43" t="s">
        <v>163</v>
      </c>
      <c r="D3" s="43"/>
      <c r="E3" s="156"/>
      <c r="F3" s="43"/>
      <c r="G3" s="43"/>
      <c r="H3" s="43"/>
      <c r="I3" s="43"/>
      <c r="J3" s="43"/>
      <c r="K3" s="96"/>
    </row>
    <row r="4" spans="1:11">
      <c r="A4" s="352" t="s">
        <v>164</v>
      </c>
      <c r="B4" s="49">
        <f>IF(ISERROR('SEAP template'!B78+'SEAP template'!C78),0,'SEAP template'!B78+'SEAP template'!C78)</f>
        <v>551.60535795365831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0.21722410220022773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692.40499999999997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692.40499999999997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0.21722410220022773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150.40705448394868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18593.196965139003</v>
      </c>
      <c r="C5" s="17">
        <f>IF(ISERROR('Eigen informatie GS &amp; warmtenet'!B57),0,'Eigen informatie GS &amp; warmtenet'!B57)</f>
        <v>0</v>
      </c>
      <c r="D5" s="30">
        <f>(SUM(HH_hh_gas_kWh,HH_rest_gas_kWh)/1000)*0.902</f>
        <v>55432.271343777335</v>
      </c>
      <c r="E5" s="17">
        <f>B32*B41</f>
        <v>792.44516696596372</v>
      </c>
      <c r="F5" s="17">
        <f>B36*B45</f>
        <v>27049.636853397369</v>
      </c>
      <c r="G5" s="18"/>
      <c r="H5" s="17"/>
      <c r="I5" s="17"/>
      <c r="J5" s="17">
        <f>B35*B44+C35*C44</f>
        <v>609.08924334089011</v>
      </c>
      <c r="K5" s="17"/>
      <c r="L5" s="17"/>
      <c r="M5" s="17"/>
      <c r="N5" s="17">
        <f>B34*B43+C34*C43</f>
        <v>5017.6459653327456</v>
      </c>
      <c r="O5" s="17">
        <f>B52*B53*B54</f>
        <v>79.73</v>
      </c>
      <c r="P5" s="17">
        <f>B60*B61*B62/1000-B60*B61*B62/1000/B63</f>
        <v>114.4</v>
      </c>
    </row>
    <row r="6" spans="1:16">
      <c r="A6" s="16" t="s">
        <v>615</v>
      </c>
      <c r="B6" s="766">
        <f>kWh_PV_kleiner_dan_10kW</f>
        <v>551.60535795365831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19144.802323092663</v>
      </c>
      <c r="C8" s="21">
        <f>C5</f>
        <v>0</v>
      </c>
      <c r="D8" s="21">
        <f>D5</f>
        <v>55432.271343777335</v>
      </c>
      <c r="E8" s="21">
        <f>E5</f>
        <v>792.44516696596372</v>
      </c>
      <c r="F8" s="21">
        <f>F5</f>
        <v>27049.636853397369</v>
      </c>
      <c r="G8" s="21"/>
      <c r="H8" s="21"/>
      <c r="I8" s="21"/>
      <c r="J8" s="21">
        <f>J5</f>
        <v>609.08924334089011</v>
      </c>
      <c r="K8" s="21"/>
      <c r="L8" s="21">
        <f>L5</f>
        <v>0</v>
      </c>
      <c r="M8" s="21">
        <f>M5</f>
        <v>0</v>
      </c>
      <c r="N8" s="21">
        <f>N5</f>
        <v>5017.6459653327456</v>
      </c>
      <c r="O8" s="21">
        <f>O5</f>
        <v>79.73</v>
      </c>
      <c r="P8" s="21">
        <f>P5</f>
        <v>114.4</v>
      </c>
    </row>
    <row r="9" spans="1:16">
      <c r="B9" s="19"/>
      <c r="C9" s="19"/>
      <c r="D9" s="256"/>
      <c r="E9" s="19"/>
      <c r="F9" s="19"/>
      <c r="G9" s="19"/>
      <c r="H9" s="19"/>
      <c r="I9" s="19"/>
      <c r="J9" s="19"/>
      <c r="K9" s="19"/>
      <c r="L9" s="19"/>
      <c r="M9" s="19"/>
      <c r="N9" s="19"/>
      <c r="O9" s="19"/>
      <c r="P9" s="19"/>
    </row>
    <row r="10" spans="1:16">
      <c r="A10" s="24" t="s">
        <v>207</v>
      </c>
      <c r="B10" s="25">
        <f ca="1">'EF ele_warmte'!B12</f>
        <v>0.21722410220022773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4158.7124964346376</v>
      </c>
      <c r="C12" s="23">
        <f ca="1">C10*C8</f>
        <v>0</v>
      </c>
      <c r="D12" s="23">
        <f>D8*D10</f>
        <v>11197.318811443023</v>
      </c>
      <c r="E12" s="23">
        <f>E10*E8</f>
        <v>179.88505290127378</v>
      </c>
      <c r="F12" s="23">
        <f>F10*F8</f>
        <v>7222.253039857098</v>
      </c>
      <c r="G12" s="23"/>
      <c r="H12" s="23"/>
      <c r="I12" s="23"/>
      <c r="J12" s="23">
        <f>J10*J8</f>
        <v>215.61759214267508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4189</v>
      </c>
      <c r="C26" s="36"/>
      <c r="D26" s="226"/>
    </row>
    <row r="27" spans="1:5" s="15" customFormat="1">
      <c r="A27" s="228" t="s">
        <v>695</v>
      </c>
      <c r="B27" s="37">
        <f>SUM(HH_hh_gas_aantal,HH_rest_gas_aantal)</f>
        <v>2675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2541.25</v>
      </c>
      <c r="C31" s="34" t="s">
        <v>104</v>
      </c>
      <c r="D31" s="172"/>
    </row>
    <row r="32" spans="1:5">
      <c r="A32" s="169" t="s">
        <v>72</v>
      </c>
      <c r="B32" s="33">
        <f>IF((B21*($B$26-($B$27-0.05*$B$27)-$B$60))&lt;0,0,B21*($B$26-($B$27-0.05*$B$27)-$B$60))</f>
        <v>11.639299333301103</v>
      </c>
      <c r="C32" s="34" t="s">
        <v>104</v>
      </c>
      <c r="D32" s="172"/>
    </row>
    <row r="33" spans="1:6">
      <c r="A33" s="169" t="s">
        <v>73</v>
      </c>
      <c r="B33" s="33">
        <f>IF((B22*($B$26-($B$27-0.05*$B$27)-$B$60))&lt;0,0,B22*($B$26-($B$27-0.05*$B$27)-$B$60))</f>
        <v>333.58073531426913</v>
      </c>
      <c r="C33" s="34" t="s">
        <v>104</v>
      </c>
      <c r="D33" s="172"/>
    </row>
    <row r="34" spans="1:6">
      <c r="A34" s="169" t="s">
        <v>74</v>
      </c>
      <c r="B34" s="33">
        <f>IF((B24*($B$26-($B$27-0.05*$B$27)-$B$60))&lt;0,0,B24*($B$26-($B$27-0.05*$B$27)-$B$60))</f>
        <v>66.519524009323035</v>
      </c>
      <c r="C34" s="33">
        <f>B26*C24</f>
        <v>856.55672810396675</v>
      </c>
      <c r="D34" s="231"/>
    </row>
    <row r="35" spans="1:6">
      <c r="A35" s="169" t="s">
        <v>76</v>
      </c>
      <c r="B35" s="33">
        <f>IF((B19*($B$26-($B$27-0.05*$B$27)-$B$60))&lt;0,0,B19*($B$26-($B$27-0.05*$B$27)-$B$60))</f>
        <v>34.640771825300909</v>
      </c>
      <c r="C35" s="33">
        <f>B35/2</f>
        <v>17.320385912650455</v>
      </c>
      <c r="D35" s="231"/>
    </row>
    <row r="36" spans="1:6">
      <c r="A36" s="169" t="s">
        <v>77</v>
      </c>
      <c r="B36" s="33">
        <f>IF((B18*($B$26-($B$27-0.05*$B$27)-$B$60))&lt;0,0,B18*($B$26-($B$27-0.05*$B$27)-$B$60))</f>
        <v>1195.3696695178057</v>
      </c>
      <c r="C36" s="34" t="s">
        <v>104</v>
      </c>
      <c r="D36" s="172"/>
    </row>
    <row r="37" spans="1:6">
      <c r="A37" s="169" t="s">
        <v>78</v>
      </c>
      <c r="B37" s="33">
        <f>B60</f>
        <v>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10737.935807669093</v>
      </c>
      <c r="C5" s="17">
        <f>IF(ISERROR('Eigen informatie GS &amp; warmtenet'!B58),0,'Eigen informatie GS &amp; warmtenet'!B58)</f>
        <v>0</v>
      </c>
      <c r="D5" s="30">
        <f>SUM(D6:D12)</f>
        <v>15410.452959359558</v>
      </c>
      <c r="E5" s="17">
        <f>SUM(E6:E12)</f>
        <v>273.06864429318711</v>
      </c>
      <c r="F5" s="17">
        <f>SUM(F6:F12)</f>
        <v>1843.8736252763333</v>
      </c>
      <c r="G5" s="18"/>
      <c r="H5" s="17"/>
      <c r="I5" s="17"/>
      <c r="J5" s="17">
        <f>SUM(J6:J12)</f>
        <v>0</v>
      </c>
      <c r="K5" s="17"/>
      <c r="L5" s="17"/>
      <c r="M5" s="17"/>
      <c r="N5" s="17">
        <f>SUM(N6:N12)</f>
        <v>364.94157846478413</v>
      </c>
      <c r="O5" s="17">
        <f>B38*B39*B40</f>
        <v>0</v>
      </c>
      <c r="P5" s="17">
        <f>B46*B47*B48/1000-B46*B47*B48/1000/B49</f>
        <v>38.133333333333333</v>
      </c>
      <c r="R5" s="32"/>
    </row>
    <row r="6" spans="1:18">
      <c r="A6" s="32" t="s">
        <v>53</v>
      </c>
      <c r="B6" s="37">
        <f>B26</f>
        <v>5801.12814210943</v>
      </c>
      <c r="C6" s="33"/>
      <c r="D6" s="37">
        <f>IF(ISERROR(TER_kantoor_gas_kWh/1000),0,TER_kantoor_gas_kWh/1000)*0.902</f>
        <v>9640.1165245505708</v>
      </c>
      <c r="E6" s="33">
        <f>$C$26*'E Balans VL '!I12/100/3.6*1000000</f>
        <v>203.06230514213968</v>
      </c>
      <c r="F6" s="33">
        <f>$C$26*('E Balans VL '!L12+'E Balans VL '!N12)/100/3.6*1000000</f>
        <v>879.57557534453224</v>
      </c>
      <c r="G6" s="34"/>
      <c r="H6" s="33"/>
      <c r="I6" s="33"/>
      <c r="J6" s="33">
        <f>$C$26*('E Balans VL '!D12+'E Balans VL '!E12)/100/3.6*1000000</f>
        <v>0</v>
      </c>
      <c r="K6" s="33"/>
      <c r="L6" s="33"/>
      <c r="M6" s="33"/>
      <c r="N6" s="33">
        <f>$C$26*'E Balans VL '!Y12/100/3.6*1000000</f>
        <v>44.840904835367802</v>
      </c>
      <c r="O6" s="33"/>
      <c r="P6" s="33"/>
      <c r="R6" s="32"/>
    </row>
    <row r="7" spans="1:18">
      <c r="A7" s="32" t="s">
        <v>52</v>
      </c>
      <c r="B7" s="37">
        <f t="shared" ref="B7:B12" si="0">B27</f>
        <v>462.53973932770197</v>
      </c>
      <c r="C7" s="33"/>
      <c r="D7" s="37">
        <f>IF(ISERROR(TER_horeca_gas_kWh/1000),0,TER_horeca_gas_kWh/1000)*0.902</f>
        <v>808.02544805341097</v>
      </c>
      <c r="E7" s="33">
        <f>$C$27*'E Balans VL '!I9/100/3.6*1000000</f>
        <v>26.093391578768308</v>
      </c>
      <c r="F7" s="33">
        <f>$C$27*('E Balans VL '!L9+'E Balans VL '!N9)/100/3.6*1000000</f>
        <v>80.576982318668485</v>
      </c>
      <c r="G7" s="34"/>
      <c r="H7" s="33"/>
      <c r="I7" s="33"/>
      <c r="J7" s="33">
        <f>$C$27*('E Balans VL '!D9+'E Balans VL '!E9)/100/3.6*1000000</f>
        <v>0</v>
      </c>
      <c r="K7" s="33"/>
      <c r="L7" s="33"/>
      <c r="M7" s="33"/>
      <c r="N7" s="33">
        <f>$C$27*'E Balans VL '!Y9/100/3.6*1000000</f>
        <v>0</v>
      </c>
      <c r="O7" s="33"/>
      <c r="P7" s="33"/>
      <c r="R7" s="32"/>
    </row>
    <row r="8" spans="1:18">
      <c r="A8" s="6" t="s">
        <v>51</v>
      </c>
      <c r="B8" s="37">
        <f t="shared" si="0"/>
        <v>1970.2264652347199</v>
      </c>
      <c r="C8" s="33"/>
      <c r="D8" s="37">
        <f>IF(ISERROR(TER_handel_gas_kWh/1000),0,TER_handel_gas_kWh/1000)*0.902</f>
        <v>1194.8501239806876</v>
      </c>
      <c r="E8" s="33">
        <f>$C$28*'E Balans VL '!I13/100/3.6*1000000</f>
        <v>10.114942500409352</v>
      </c>
      <c r="F8" s="33">
        <f>$C$28*('E Balans VL '!L13+'E Balans VL '!N13)/100/3.6*1000000</f>
        <v>303.77847781518278</v>
      </c>
      <c r="G8" s="34"/>
      <c r="H8" s="33"/>
      <c r="I8" s="33"/>
      <c r="J8" s="33">
        <f>$C$28*('E Balans VL '!D13+'E Balans VL '!E13)/100/3.6*1000000</f>
        <v>0</v>
      </c>
      <c r="K8" s="33"/>
      <c r="L8" s="33"/>
      <c r="M8" s="33"/>
      <c r="N8" s="33">
        <f>$C$28*'E Balans VL '!Y13/100/3.6*1000000</f>
        <v>0.92149896764148675</v>
      </c>
      <c r="O8" s="33"/>
      <c r="P8" s="33"/>
      <c r="R8" s="32"/>
    </row>
    <row r="9" spans="1:18">
      <c r="A9" s="32" t="s">
        <v>50</v>
      </c>
      <c r="B9" s="37">
        <f t="shared" si="0"/>
        <v>46.972378056550205</v>
      </c>
      <c r="C9" s="33"/>
      <c r="D9" s="37">
        <f>IF(ISERROR(TER_gezond_gas_kWh/1000),0,TER_gezond_gas_kWh/1000)*0.902</f>
        <v>0</v>
      </c>
      <c r="E9" s="33">
        <f>$C$29*'E Balans VL '!I10/100/3.6*1000000</f>
        <v>1.9469716179152857E-2</v>
      </c>
      <c r="F9" s="33">
        <f>$C$29*('E Balans VL '!L10+'E Balans VL '!N10)/100/3.6*1000000</f>
        <v>11.568623041563942</v>
      </c>
      <c r="G9" s="34"/>
      <c r="H9" s="33"/>
      <c r="I9" s="33"/>
      <c r="J9" s="33">
        <f>$C$29*('E Balans VL '!D10+'E Balans VL '!E10)/100/3.6*1000000</f>
        <v>0</v>
      </c>
      <c r="K9" s="33"/>
      <c r="L9" s="33"/>
      <c r="M9" s="33"/>
      <c r="N9" s="33">
        <f>$C$29*'E Balans VL '!Y10/100/3.6*1000000</f>
        <v>0.40595760892136656</v>
      </c>
      <c r="O9" s="33"/>
      <c r="P9" s="33"/>
      <c r="R9" s="32"/>
    </row>
    <row r="10" spans="1:18">
      <c r="A10" s="32" t="s">
        <v>49</v>
      </c>
      <c r="B10" s="37">
        <f t="shared" si="0"/>
        <v>1232.3836501337498</v>
      </c>
      <c r="C10" s="33"/>
      <c r="D10" s="37">
        <f>IF(ISERROR(TER_ander_gas_kWh/1000),0,TER_ander_gas_kWh/1000)*0.902</f>
        <v>763.63600574365614</v>
      </c>
      <c r="E10" s="33">
        <f>$C$30*'E Balans VL '!I14/100/3.6*1000000</f>
        <v>7.5126411374442821</v>
      </c>
      <c r="F10" s="33">
        <f>$C$30*('E Balans VL '!L14+'E Balans VL '!N14)/100/3.6*1000000</f>
        <v>326.72178739148478</v>
      </c>
      <c r="G10" s="34"/>
      <c r="H10" s="33"/>
      <c r="I10" s="33"/>
      <c r="J10" s="33">
        <f>$C$30*('E Balans VL '!D14+'E Balans VL '!E14)/100/3.6*1000000</f>
        <v>0</v>
      </c>
      <c r="K10" s="33"/>
      <c r="L10" s="33"/>
      <c r="M10" s="33"/>
      <c r="N10" s="33">
        <f>$C$30*'E Balans VL '!Y14/100/3.6*1000000</f>
        <v>284.03780150521925</v>
      </c>
      <c r="O10" s="33"/>
      <c r="P10" s="33"/>
      <c r="R10" s="32"/>
    </row>
    <row r="11" spans="1:18">
      <c r="A11" s="32" t="s">
        <v>54</v>
      </c>
      <c r="B11" s="37">
        <f t="shared" si="0"/>
        <v>0</v>
      </c>
      <c r="C11" s="33"/>
      <c r="D11" s="37">
        <f>IF(ISERROR(TER_onderwijs_gas_kWh/1000),0,TER_onderwijs_gas_kWh/1000)*0.902</f>
        <v>353.59236526986831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1224.6854328069401</v>
      </c>
      <c r="C12" s="33"/>
      <c r="D12" s="37">
        <f>IF(ISERROR(TER_rest_gas_kWh/1000),0,TER_rest_gas_kWh/1000)*0.902</f>
        <v>2650.2324917613646</v>
      </c>
      <c r="E12" s="33">
        <f>$C$32*'E Balans VL '!I8/100/3.6*1000000</f>
        <v>26.265894218246331</v>
      </c>
      <c r="F12" s="33">
        <f>$C$32*('E Balans VL '!L8+'E Balans VL '!N8)/100/3.6*1000000</f>
        <v>241.65217936490137</v>
      </c>
      <c r="G12" s="34"/>
      <c r="H12" s="33"/>
      <c r="I12" s="33"/>
      <c r="J12" s="33">
        <f>$C$32*('E Balans VL '!D8+'E Balans VL '!E8)/100/3.6*1000000</f>
        <v>0</v>
      </c>
      <c r="K12" s="33"/>
      <c r="L12" s="33"/>
      <c r="M12" s="33"/>
      <c r="N12" s="33">
        <f>$C$32*'E Balans VL '!Y8/100/3.6*1000000</f>
        <v>34.735415547634204</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10737.935807669093</v>
      </c>
      <c r="C16" s="21">
        <f ca="1">C5+C13+C14</f>
        <v>0</v>
      </c>
      <c r="D16" s="21">
        <f t="shared" ref="D16:N16" ca="1" si="1">MAX((D5+D13+D14),0)</f>
        <v>15410.452959359558</v>
      </c>
      <c r="E16" s="21">
        <f t="shared" si="1"/>
        <v>273.06864429318711</v>
      </c>
      <c r="F16" s="21">
        <f t="shared" ca="1" si="1"/>
        <v>1843.8736252763333</v>
      </c>
      <c r="G16" s="21">
        <f t="shared" si="1"/>
        <v>0</v>
      </c>
      <c r="H16" s="21">
        <f t="shared" si="1"/>
        <v>0</v>
      </c>
      <c r="I16" s="21">
        <f t="shared" si="1"/>
        <v>0</v>
      </c>
      <c r="J16" s="21">
        <f t="shared" si="1"/>
        <v>0</v>
      </c>
      <c r="K16" s="21">
        <f t="shared" si="1"/>
        <v>0</v>
      </c>
      <c r="L16" s="21">
        <f t="shared" ca="1" si="1"/>
        <v>0</v>
      </c>
      <c r="M16" s="21">
        <f t="shared" si="1"/>
        <v>0</v>
      </c>
      <c r="N16" s="21">
        <f t="shared" ca="1" si="1"/>
        <v>364.94157846478413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0.21722410220022773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2332.5384653045958</v>
      </c>
      <c r="C20" s="23">
        <f t="shared" ref="C20:P20" ca="1" si="2">C16*C18</f>
        <v>0</v>
      </c>
      <c r="D20" s="23">
        <f t="shared" ca="1" si="2"/>
        <v>3112.9114977906311</v>
      </c>
      <c r="E20" s="23">
        <f t="shared" si="2"/>
        <v>61.986582254553475</v>
      </c>
      <c r="F20" s="23">
        <f t="shared" ca="1" si="2"/>
        <v>492.31425794878101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5801.12814210943</v>
      </c>
      <c r="C26" s="39">
        <f>IF(ISERROR(B26*3.6/1000000/'E Balans VL '!Z12*100),0,B26*3.6/1000000/'E Balans VL '!Z12*100)</f>
        <v>0.12207512130382352</v>
      </c>
      <c r="D26" s="234" t="s">
        <v>700</v>
      </c>
      <c r="F26" s="6"/>
    </row>
    <row r="27" spans="1:18">
      <c r="A27" s="229" t="s">
        <v>52</v>
      </c>
      <c r="B27" s="33">
        <f>IF(ISERROR(TER_horeca_ele_kWh/1000),0,TER_horeca_ele_kWh/1000)</f>
        <v>462.53973932770197</v>
      </c>
      <c r="C27" s="39">
        <f>IF(ISERROR(B27*3.6/1000000/'E Balans VL '!Z9*100),0,B27*3.6/1000000/'E Balans VL '!Z9*100)</f>
        <v>3.9161940004245284E-2</v>
      </c>
      <c r="D27" s="234" t="s">
        <v>700</v>
      </c>
      <c r="F27" s="6"/>
    </row>
    <row r="28" spans="1:18">
      <c r="A28" s="169" t="s">
        <v>51</v>
      </c>
      <c r="B28" s="33">
        <f>IF(ISERROR(TER_handel_ele_kWh/1000),0,TER_handel_ele_kWh/1000)</f>
        <v>1970.2264652347199</v>
      </c>
      <c r="C28" s="39">
        <f>IF(ISERROR(B28*3.6/1000000/'E Balans VL '!Z13*100),0,B28*3.6/1000000/'E Balans VL '!Z13*100)</f>
        <v>5.4545447248987772E-2</v>
      </c>
      <c r="D28" s="234" t="s">
        <v>700</v>
      </c>
      <c r="F28" s="6"/>
    </row>
    <row r="29" spans="1:18">
      <c r="A29" s="229" t="s">
        <v>50</v>
      </c>
      <c r="B29" s="33">
        <f>IF(ISERROR(TER_gezond_ele_kWh/1000),0,TER_gezond_ele_kWh/1000)</f>
        <v>46.972378056550205</v>
      </c>
      <c r="C29" s="39">
        <f>IF(ISERROR(B29*3.6/1000000/'E Balans VL '!Z10*100),0,B29*3.6/1000000/'E Balans VL '!Z10*100)</f>
        <v>6.1058883978267293E-3</v>
      </c>
      <c r="D29" s="234" t="s">
        <v>700</v>
      </c>
      <c r="F29" s="6"/>
    </row>
    <row r="30" spans="1:18">
      <c r="A30" s="229" t="s">
        <v>49</v>
      </c>
      <c r="B30" s="33">
        <f>IF(ISERROR(TER_ander_ele_kWh/1000),0,TER_ander_ele_kWh/1000)</f>
        <v>1232.3836501337498</v>
      </c>
      <c r="C30" s="39">
        <f>IF(ISERROR(B30*3.6/1000000/'E Balans VL '!Z14*100),0,B30*3.6/1000000/'E Balans VL '!Z14*100)</f>
        <v>9.5521034706794974E-2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1224.6854328069401</v>
      </c>
      <c r="C32" s="39">
        <f>IF(ISERROR(B32*3.6/1000000/'E Balans VL '!Z8*100),0,B32*3.6/1000000/'E Balans VL '!Z8*100)</f>
        <v>1.0098471848497152E-2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677.90976678455718</v>
      </c>
      <c r="C5" s="17">
        <f>IF(ISERROR('Eigen informatie GS &amp; warmtenet'!B59),0,'Eigen informatie GS &amp; warmtenet'!B59)</f>
        <v>0</v>
      </c>
      <c r="D5" s="30">
        <f>SUM(D6:D15)</f>
        <v>992.54612743410235</v>
      </c>
      <c r="E5" s="17">
        <f>SUM(E6:E15)</f>
        <v>10.932301859676505</v>
      </c>
      <c r="F5" s="17">
        <f>SUM(F6:F15)</f>
        <v>364.23559525591997</v>
      </c>
      <c r="G5" s="18"/>
      <c r="H5" s="17"/>
      <c r="I5" s="17"/>
      <c r="J5" s="17">
        <f>SUM(J6:J15)</f>
        <v>1.4157333546842108</v>
      </c>
      <c r="K5" s="17"/>
      <c r="L5" s="17"/>
      <c r="M5" s="17"/>
      <c r="N5" s="17">
        <f>SUM(N6:N15)</f>
        <v>32.694926243442879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391.35264089226899</v>
      </c>
      <c r="C9" s="33"/>
      <c r="D9" s="37">
        <f>IF( ISERROR(IND_andere_gas_kWh/1000),0,IND_andere_gas_kWh/1000)*0.902</f>
        <v>235.63761331803278</v>
      </c>
      <c r="E9" s="33">
        <f>C31*'E Balans VL '!I19/100/3.6*1000000</f>
        <v>6.5732470260778522</v>
      </c>
      <c r="F9" s="33">
        <f>C31*'E Balans VL '!L19/100/3.6*1000000+C31*'E Balans VL '!N19/100/3.6*1000000</f>
        <v>305.93720486747463</v>
      </c>
      <c r="G9" s="34"/>
      <c r="H9" s="33"/>
      <c r="I9" s="33"/>
      <c r="J9" s="40">
        <f>C31*'E Balans VL '!D19/100/3.6*1000000+C31*'E Balans VL '!E19/100/3.6*1000000</f>
        <v>3.5296553588084499E-2</v>
      </c>
      <c r="K9" s="33"/>
      <c r="L9" s="33"/>
      <c r="M9" s="33"/>
      <c r="N9" s="33">
        <f>C31*'E Balans VL '!Y19/100/3.6*1000000</f>
        <v>29.005509390480618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81.542334537387205</v>
      </c>
      <c r="C13" s="33"/>
      <c r="D13" s="37">
        <f>IF( ISERROR(IND_papier_gas_kWh/1000),0,IND_papier_gas_kWh/1000)*0.902</f>
        <v>196.82724642837883</v>
      </c>
      <c r="E13" s="33">
        <f>C35*'E Balans VL '!I23/100/3.6*1000000</f>
        <v>2.5088448271753454</v>
      </c>
      <c r="F13" s="33">
        <f>C35*'E Balans VL '!L23/100/3.6*1000000+C35*'E Balans VL '!N23/100/3.6*1000000</f>
        <v>17.314287358510168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205.01479135490101</v>
      </c>
      <c r="C15" s="33"/>
      <c r="D15" s="37">
        <f>IF( ISERROR(IND_rest_gas_kWh/1000),0,IND_rest_gas_kWh/1000)*0.902</f>
        <v>560.08126768769068</v>
      </c>
      <c r="E15" s="33">
        <f>C37*'E Balans VL '!I15/100/3.6*1000000</f>
        <v>1.8502100064233074</v>
      </c>
      <c r="F15" s="33">
        <f>C37*'E Balans VL '!L15/100/3.6*1000000+C37*'E Balans VL '!N15/100/3.6*1000000</f>
        <v>40.984103029935184</v>
      </c>
      <c r="G15" s="34"/>
      <c r="H15" s="33"/>
      <c r="I15" s="33"/>
      <c r="J15" s="40">
        <f>C37*'E Balans VL '!D15/100/3.6*1000000+C37*'E Balans VL '!E15/100/3.6*1000000</f>
        <v>1.3804368010961263</v>
      </c>
      <c r="K15" s="33"/>
      <c r="L15" s="33"/>
      <c r="M15" s="33"/>
      <c r="N15" s="33">
        <f>C37*'E Balans VL '!Y15/100/3.6*1000000</f>
        <v>3.6894168529622635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677.90976678455718</v>
      </c>
      <c r="C18" s="21">
        <f>C5+C16</f>
        <v>0</v>
      </c>
      <c r="D18" s="21">
        <f>MAX((D5+D16),0)</f>
        <v>992.54612743410235</v>
      </c>
      <c r="E18" s="21">
        <f>MAX((E5+E16),0)</f>
        <v>10.932301859676505</v>
      </c>
      <c r="F18" s="21">
        <f>MAX((F5+F16),0)</f>
        <v>364.23559525591997</v>
      </c>
      <c r="G18" s="21"/>
      <c r="H18" s="21"/>
      <c r="I18" s="21"/>
      <c r="J18" s="21">
        <f>MAX((J5+J16),0)</f>
        <v>1.4157333546842108</v>
      </c>
      <c r="K18" s="21"/>
      <c r="L18" s="21">
        <f>MAX((L5+L16),0)</f>
        <v>0</v>
      </c>
      <c r="M18" s="21"/>
      <c r="N18" s="21">
        <f>MAX((N5+N16),0)</f>
        <v>32.694926243442879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0.21722410220022773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147.25834046254118</v>
      </c>
      <c r="C22" s="23">
        <f ca="1">C18*C20</f>
        <v>0</v>
      </c>
      <c r="D22" s="23">
        <f>D18*D20</f>
        <v>200.49431774168869</v>
      </c>
      <c r="E22" s="23">
        <f>E18*E20</f>
        <v>2.4816325221465667</v>
      </c>
      <c r="F22" s="23">
        <f>F18*F20</f>
        <v>97.250903933330633</v>
      </c>
      <c r="G22" s="23"/>
      <c r="H22" s="23"/>
      <c r="I22" s="23"/>
      <c r="J22" s="23">
        <f>J18*J20</f>
        <v>0.50116960755821061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391.35264089226899</v>
      </c>
      <c r="C31" s="39">
        <f>IF(ISERROR(B31*3.6/1000000/'E Balans VL '!Z19*100),0,B31*3.6/1000000/'E Balans VL '!Z19*100)</f>
        <v>1.7347111661038118E-2</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81.542334537387205</v>
      </c>
      <c r="C35" s="39">
        <f>IF(ISERROR(B35*3.6/1000000/'E Balans VL '!Z22*100),0,B35*3.6/1000000/'E Balans VL '!Z22*100)</f>
        <v>1.585908837589111E-2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205.01479135490101</v>
      </c>
      <c r="C37" s="39">
        <f>IF(ISERROR(B37*3.6/1000000/'E Balans VL '!Z15*100),0,B37*3.6/1000000/'E Balans VL '!Z15*100)</f>
        <v>1.5249760500154386E-3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151.7325946939967</v>
      </c>
      <c r="C5" s="17">
        <f>'Eigen informatie GS &amp; warmtenet'!B60</f>
        <v>0</v>
      </c>
      <c r="D5" s="30">
        <f>IF(ISERROR(SUM(LB_lb_gas_kWh,LB_rest_gas_kWh)/1000),0,SUM(LB_lb_gas_kWh,LB_rest_gas_kWh)/1000)*0.902</f>
        <v>305.93860715514677</v>
      </c>
      <c r="E5" s="17">
        <f>B17*'E Balans VL '!I25/3.6*1000000/100</f>
        <v>1.5889765804027198</v>
      </c>
      <c r="F5" s="17">
        <f>B17*('E Balans VL '!L25/3.6*1000000+'E Balans VL '!N25/3.6*1000000)/100</f>
        <v>649.53079757657781</v>
      </c>
      <c r="G5" s="18"/>
      <c r="H5" s="17"/>
      <c r="I5" s="17"/>
      <c r="J5" s="17">
        <f>('E Balans VL '!D25+'E Balans VL '!E25)/3.6*1000000*landbouw!B17/100</f>
        <v>13.551080708621328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151.7325946939967</v>
      </c>
      <c r="C8" s="21">
        <f>C5+C6</f>
        <v>0</v>
      </c>
      <c r="D8" s="21">
        <f>MAX((D5+D6),0)</f>
        <v>305.93860715514677</v>
      </c>
      <c r="E8" s="21">
        <f>MAX((E5+E6),0)</f>
        <v>1.5889765804027198</v>
      </c>
      <c r="F8" s="21">
        <f>MAX((F5+F6),0)</f>
        <v>649.53079757657781</v>
      </c>
      <c r="G8" s="21"/>
      <c r="H8" s="21"/>
      <c r="I8" s="21"/>
      <c r="J8" s="21">
        <f>MAX((J5+J6),0)</f>
        <v>13.551080708621328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0.21722410220022773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32.959976656914471</v>
      </c>
      <c r="C12" s="23">
        <f ca="1">C8*C10</f>
        <v>0</v>
      </c>
      <c r="D12" s="23">
        <f>D8*D10</f>
        <v>61.79959864533965</v>
      </c>
      <c r="E12" s="23">
        <f>E8*E10</f>
        <v>0.36069768375141742</v>
      </c>
      <c r="F12" s="23">
        <f>F8*F10</f>
        <v>173.4247229529463</v>
      </c>
      <c r="G12" s="23"/>
      <c r="H12" s="23"/>
      <c r="I12" s="23"/>
      <c r="J12" s="23">
        <f>J8*J10</f>
        <v>4.7970825708519493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2.335457530375468E-2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7.7442179792329116</v>
      </c>
      <c r="C26" s="244">
        <f>B26*'GWP N2O_CH4'!B5</f>
        <v>162.62857756389116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0.52537693588724721</v>
      </c>
      <c r="C27" s="244">
        <f>B27*'GWP N2O_CH4'!B5</f>
        <v>11.032915653632191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0.10357962349214751</v>
      </c>
      <c r="C28" s="244">
        <f>B28*'GWP N2O_CH4'!B4</f>
        <v>32.109683282565726</v>
      </c>
      <c r="D28" s="50"/>
    </row>
    <row r="29" spans="1:4">
      <c r="A29" s="41" t="s">
        <v>266</v>
      </c>
      <c r="B29" s="244">
        <f>B34*'ha_N2O bodem landbouw'!B4</f>
        <v>0.81873267528860383</v>
      </c>
      <c r="C29" s="244">
        <f>B29*'GWP N2O_CH4'!B4</f>
        <v>253.8071293394672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1.3530632757810594E-4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8.6896035299552475E-6</v>
      </c>
      <c r="C5" s="433" t="s">
        <v>204</v>
      </c>
      <c r="D5" s="418">
        <f>SUM(D6:D11)</f>
        <v>2.9490546594900029E-5</v>
      </c>
      <c r="E5" s="418">
        <f>SUM(E6:E11)</f>
        <v>3.4746840878475752E-3</v>
      </c>
      <c r="F5" s="431" t="s">
        <v>204</v>
      </c>
      <c r="G5" s="418">
        <f>SUM(G6:G11)</f>
        <v>0.56325034852331179</v>
      </c>
      <c r="H5" s="418">
        <f>SUM(H6:H11)</f>
        <v>0.10082845580324845</v>
      </c>
      <c r="I5" s="433" t="s">
        <v>204</v>
      </c>
      <c r="J5" s="433" t="s">
        <v>204</v>
      </c>
      <c r="K5" s="433" t="s">
        <v>204</v>
      </c>
      <c r="L5" s="433" t="s">
        <v>204</v>
      </c>
      <c r="M5" s="418">
        <f>SUM(M6:M11)</f>
        <v>2.8904997577932513E-2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9.9872922333033722E-7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3.1621974136512771E-6</v>
      </c>
      <c r="E6" s="421">
        <f>vkm_GW_PW*SUMIFS(TableVerdeelsleutelVkm[LPG],TableVerdeelsleutelVkm[Voertuigtype],"Lichte voertuigen")*SUMIFS(TableECFTransport[EnergieConsumptieFactor (PJ per km)],TableECFTransport[Index],CONCATENATE($A6,"_LPG_LPG"))</f>
        <v>3.2952846779784071E-4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4.3893274059634946E-2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1.0529901670027621E-2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2.3755256281149943E-3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2.2254826974724799E-8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1.0031967772212673E-2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2.7161534004304413E-7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4.3218134329861411E-4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1.4121303962676774E-6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7.5986066539536802E-6</v>
      </c>
      <c r="E8" s="421">
        <f>vkm_NGW_PW*SUMIFS(TableVerdeelsleutelVkm[LPG],TableVerdeelsleutelVkm[Voertuigtype],"Lichte voertuigen")*SUMIFS(TableECFTransport[EnergieConsumptieFactor (PJ per km)],TableECFTransport[Index],CONCATENATE($A8,"_LPG_LPG"))</f>
        <v>7.4727458113159426E-4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9.4243231650227757E-2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2.3925918217842145E-2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5.1611130588702578E-3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2.1879425494270148E-8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1.3661451248697802E-2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3.2231642122375845E-7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5.8853881146062373E-4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6.0013141286661271E-6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1.8729742527295072E-5</v>
      </c>
      <c r="E10" s="421">
        <f>vkm_SW_PW*SUMIFS(TableVerdeelsleutelVkm[LPG],TableVerdeelsleutelVkm[Voertuigtype],"Lichte voertuigen")*SUMIFS(TableECFTransport[EnergieConsumptieFactor (PJ per km)],TableECFTransport[Index],CONCATENATE($A10,"_LPG_LPG"))</f>
        <v>2.3978810389181401E-3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0.2999456448869629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6.636911131355798E-2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1.5976054630137366E-2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2.3329552922211024E-7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0.10147477890557573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2.9306700594433625E-6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4.3715841060506548E-3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2.4137787583209023</v>
      </c>
      <c r="C14" s="21"/>
      <c r="D14" s="21">
        <f t="shared" ref="D14:M14" si="0">((D5)*10^9/3600)+D12</f>
        <v>8.1918184985833413</v>
      </c>
      <c r="E14" s="21">
        <f t="shared" si="0"/>
        <v>965.1900244021042</v>
      </c>
      <c r="F14" s="21"/>
      <c r="G14" s="21">
        <f t="shared" si="0"/>
        <v>156458.4301453644</v>
      </c>
      <c r="H14" s="21">
        <f t="shared" si="0"/>
        <v>28007.904389791238</v>
      </c>
      <c r="I14" s="21"/>
      <c r="J14" s="21"/>
      <c r="K14" s="21"/>
      <c r="L14" s="21"/>
      <c r="M14" s="21">
        <f t="shared" si="0"/>
        <v>8029.1659938701432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0.21722410220022773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0.52433092368623846</v>
      </c>
      <c r="C18" s="23"/>
      <c r="D18" s="23">
        <f t="shared" ref="D18:M18" si="1">D14*D16</f>
        <v>1.654747336713835</v>
      </c>
      <c r="E18" s="23">
        <f t="shared" si="1"/>
        <v>219.09813553927765</v>
      </c>
      <c r="F18" s="23"/>
      <c r="G18" s="23">
        <f t="shared" si="1"/>
        <v>41774.4008488123</v>
      </c>
      <c r="H18" s="23">
        <f t="shared" si="1"/>
        <v>6973.9681930580182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2.1039335993873389E-5</v>
      </c>
      <c r="C50" s="315">
        <f t="shared" ref="C50:P50" si="2">SUM(C51:C52)</f>
        <v>0</v>
      </c>
      <c r="D50" s="315">
        <f t="shared" si="2"/>
        <v>0</v>
      </c>
      <c r="E50" s="315">
        <f t="shared" si="2"/>
        <v>0</v>
      </c>
      <c r="F50" s="315">
        <f t="shared" si="2"/>
        <v>0</v>
      </c>
      <c r="G50" s="315">
        <f t="shared" si="2"/>
        <v>4.5642727119175859E-3</v>
      </c>
      <c r="H50" s="315">
        <f t="shared" si="2"/>
        <v>0</v>
      </c>
      <c r="I50" s="315">
        <f t="shared" si="2"/>
        <v>0</v>
      </c>
      <c r="J50" s="315">
        <f t="shared" si="2"/>
        <v>0</v>
      </c>
      <c r="K50" s="315">
        <f t="shared" si="2"/>
        <v>0</v>
      </c>
      <c r="L50" s="315">
        <f t="shared" si="2"/>
        <v>0</v>
      </c>
      <c r="M50" s="315">
        <f t="shared" si="2"/>
        <v>1.9542462501619408E-4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2.1039335993873389E-5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4.5642727119175859E-3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1.9542462501619408E-4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5.8442599982981633</v>
      </c>
      <c r="C54" s="21">
        <f t="shared" ref="C54:P54" si="3">(C50)*10^9/3600</f>
        <v>0</v>
      </c>
      <c r="D54" s="21">
        <f t="shared" si="3"/>
        <v>0</v>
      </c>
      <c r="E54" s="21">
        <f t="shared" si="3"/>
        <v>0</v>
      </c>
      <c r="F54" s="21">
        <f t="shared" si="3"/>
        <v>0</v>
      </c>
      <c r="G54" s="21">
        <f t="shared" si="3"/>
        <v>1267.8535310882182</v>
      </c>
      <c r="H54" s="21">
        <f t="shared" si="3"/>
        <v>0</v>
      </c>
      <c r="I54" s="21">
        <f t="shared" si="3"/>
        <v>0</v>
      </c>
      <c r="J54" s="21">
        <f t="shared" si="3"/>
        <v>0</v>
      </c>
      <c r="K54" s="21">
        <f t="shared" si="3"/>
        <v>0</v>
      </c>
      <c r="L54" s="21">
        <f t="shared" si="3"/>
        <v>0</v>
      </c>
      <c r="M54" s="21">
        <f t="shared" si="3"/>
        <v>54.284618060053909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0.21722410220022773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1.2695141311550229</v>
      </c>
      <c r="C58" s="23">
        <f t="shared" ref="C58:P58" ca="1" si="4">C54*C56</f>
        <v>0</v>
      </c>
      <c r="D58" s="23">
        <f t="shared" si="4"/>
        <v>0</v>
      </c>
      <c r="E58" s="23">
        <f t="shared" si="4"/>
        <v>0</v>
      </c>
      <c r="F58" s="23">
        <f t="shared" si="4"/>
        <v>0</v>
      </c>
      <c r="G58" s="23">
        <f t="shared" si="4"/>
        <v>338.51689280055427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551.60535795365831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551.60535795365831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2021-11-11T13:42:36Z</dcterms:modified>
</cp:coreProperties>
</file>