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395E7E6A-C3E4-451C-BC53-D53679E4A0AD}"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G20" i="18" l="1"/>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I17" i="18" l="1"/>
  <c r="M90" i="14"/>
  <c r="Q14" i="48"/>
  <c r="B77" i="14"/>
  <c r="B9" i="55" s="1"/>
  <c r="C77" i="14"/>
  <c r="C9" i="55" s="1"/>
  <c r="C10" i="18"/>
  <c r="J8" i="18"/>
  <c r="J76" i="14" s="1"/>
  <c r="J17" i="18"/>
  <c r="E20" i="18"/>
  <c r="F87" i="14"/>
  <c r="I8" i="18"/>
  <c r="I10" i="18" s="1"/>
  <c r="H10" i="18"/>
  <c r="M76" i="14"/>
  <c r="E10" i="18"/>
  <c r="F76" i="14"/>
  <c r="O17" i="18"/>
  <c r="O20" i="18" s="1"/>
  <c r="P9" i="55"/>
  <c r="J20" i="18"/>
  <c r="J87" i="14"/>
  <c r="I20" i="18"/>
  <c r="I87" i="14"/>
  <c r="I17" i="55" s="1"/>
  <c r="I20" i="55" s="1"/>
  <c r="O8" i="18"/>
  <c r="O10" i="18" s="1"/>
  <c r="J10" i="18"/>
  <c r="Q87" i="14"/>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J19" i="19" l="1"/>
  <c r="K39" i="14" s="1"/>
  <c r="P5" i="13"/>
  <c r="P8" i="13" s="1"/>
  <c r="B37" i="13"/>
  <c r="B36" i="13"/>
  <c r="B32" i="13"/>
  <c r="B35" i="13"/>
  <c r="C35" i="13" s="1"/>
  <c r="B34" i="13"/>
  <c r="B33" i="13"/>
  <c r="C34" i="13"/>
  <c r="B67" i="22"/>
  <c r="N19" i="19"/>
  <c r="O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16" i="14" s="1"/>
  <c r="L27" i="14" s="1"/>
  <c r="L46" i="14"/>
  <c r="L61"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<sst xmlns="http://schemas.openxmlformats.org/spreadsheetml/2006/main" count="2569" uniqueCount="977">
  <si>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</si>
  <si>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</si>
  <si>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</si>
  <si>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</si>
  <si>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</si>
  <si>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</si>
  <si>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</si>
  <si>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</si>
  <si>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</si>
  <si>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</si>
  <si>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</si>
  <si>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</si>
  <si>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</si>
  <si>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</si>
  <si>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</si>
  <si>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</si>
  <si>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</si>
  <si>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</si>
  <si>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</si>
  <si>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</si>
  <si>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</si>
  <si>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</si>
  <si>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</si>
  <si>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</si>
  <si>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</si>
  <si>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</si>
  <si>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</si>
  <si>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</si>
  <si>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</si>
  <si>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</si>
  <si>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</si>
  <si>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</si>
  <si>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</si>
  <si>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</si>
  <si>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</si>
  <si>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</si>
  <si>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</si>
  <si>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</si>
  <si>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</si>
  <si>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</si>
  <si>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</si>
  <si>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</si>
  <si>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</si>
  <si>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</si>
  <si>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</si>
  <si>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</si>
  <si>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</si>
  <si>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</si>
  <si>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</si>
  <si>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</si>
  <si>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</si>
  <si>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</si>
  <si>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</si>
  <si>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</si>
  <si>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</si>
  <si>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</si>
  <si>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</si>
  <si>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</si>
  <si>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</si>
  <si>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</si>
  <si>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</si>
  <si>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</si>
  <si>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</si>
  <si>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</si>
  <si>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</si>
  <si>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</si>
  <si>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</si>
  <si>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</si>
  <si>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</si>
  <si>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</si>
  <si>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</si>
  <si>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</si>
  <si>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</si>
  <si>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</si>
  <si>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</si>
  <si>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</si>
  <si>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</si>
  <si>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</si>
  <si>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</si>
  <si>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</si>
  <si>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</si>
  <si>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</si>
  <si>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</si>
  <si>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</si>
  <si>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</si>
  <si>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</si>
  <si>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</si>
  <si>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</si>
  <si>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</si>
  <si>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</si>
  <si>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</si>
  <si>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</si>
  <si>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</si>
  <si>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</si>
  <si>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</si>
  <si>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</si>
  <si>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</si>
  <si>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</si>
  <si>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</si>
  <si>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</si>
  <si>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</si>
  <si>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</si>
  <si>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</si>
  <si>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</si>
  <si>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</si>
  <si>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</si>
  <si>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</si>
  <si>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</si>
  <si>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</si>
  <si>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</si>
  <si>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</si>
  <si>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</si>
  <si>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</si>
  <si>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</si>
  <si>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</si>
  <si>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</si>
  <si>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</si>
  <si>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</si>
  <si>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</si>
  <si>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</si>
  <si>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</si>
  <si>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</si>
  <si>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</si>
  <si>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</si>
  <si>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</si>
  <si>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</si>
  <si>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</si>
  <si>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</si>
  <si>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</si>
  <si>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</si>
  <si>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</si>
  <si>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</si>
  <si>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</si>
  <si>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</si>
  <si>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</si>
  <si>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</si>
  <si>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</si>
  <si>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</si>
  <si>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</si>
  <si>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</si>
  <si>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</si>
  <si>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</si>
  <si>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</si>
  <si>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</si>
  <si>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</si>
  <si>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</si>
  <si>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</si>
  <si>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</si>
  <si>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</si>
  <si>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</si>
  <si>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</si>
  <si>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</si>
  <si>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</si>
  <si>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</si>
  <si>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</si>
  <si>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</si>
  <si>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</si>
  <si>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</si>
  <si>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</si>
  <si>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</si>
  <si>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</si>
  <si>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</si>
  <si>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</si>
  <si>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</si>
  <si>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</si>
  <si>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</si>
  <si>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</si>
  <si>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</si>
  <si>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</si>
  <si>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</si>
  <si>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</si>
  <si>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</si>
  <si>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</si>
  <si>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</si>
  <si>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</si>
  <si>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</si>
  <si>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</si>
  <si>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</si>
  <si>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</si>
  <si>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</si>
  <si>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</si>
  <si>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</si>
  <si>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</si>
  <si>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</si>
  <si>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</si>
  <si>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</si>
  <si>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</si>
  <si>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</si>
  <si>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</si>
  <si>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</si>
  <si>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</si>
  <si>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</si>
  <si>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</si>
  <si>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</si>
  <si>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</si>
  <si>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</si>
  <si>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</si>
  <si>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</si>
  <si>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</si>
  <si>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</si>
  <si>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</si>
  <si>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</si>
  <si>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</si>
  <si>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</si>
  <si>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</si>
  <si>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</si>
  <si>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</si>
  <si>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</si>
  <si>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</si>
  <si>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</si>
  <si>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</si>
  <si>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</si>
  <si>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</si>
  <si>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</si>
  <si>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</si>
  <si>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</si>
  <si>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</si>
  <si>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</si>
  <si>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</si>
  <si>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</si>
  <si>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</si>
  <si>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</si>
  <si>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</si>
  <si>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</si>
  <si>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</si>
  <si>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</si>
  <si>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</si>
  <si>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</si>
  <si>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</si>
  <si>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</si>
  <si>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</si>
  <si>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</si>
  <si>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</si>
  <si>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</si>
  <si>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</si>
  <si>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</si>
  <si>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</si>
  <si>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</si>
  <si>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</si>
  <si>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</si>
  <si>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</si>
  <si>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</si>
  <si>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</si>
  <si>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</si>
  <si>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</si>
  <si>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</si>
  <si>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</si>
  <si>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</si>
  <si>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</si>
  <si>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</si>
  <si>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</si>
  <si>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</si>
  <si>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</si>
  <si>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</si>
  <si>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</si>
  <si>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</si>
  <si>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</si>
  <si>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</si>
  <si>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</si>
  <si>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</si>
  <si>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</si>
  <si>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</si>
  <si>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</si>
  <si>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</si>
  <si>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</si>
  <si>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</si>
  <si>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</si>
  <si>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</si>
  <si>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</si>
  <si>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</si>
  <si>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</si>
  <si>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</si>
  <si>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</si>
  <si>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</si>
  <si>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</si>
  <si>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</si>
  <si>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</si>
  <si>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</si>
  <si>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</si>
  <si>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</si>
  <si>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</si>
  <si>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</si>
  <si>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</si>
  <si>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</si>
  <si>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</si>
  <si>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</si>
  <si>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</si>
  <si>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</si>
  <si>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</si>
  <si>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</si>
  <si>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</si>
  <si>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</si>
  <si>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</si>
  <si>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</si>
  <si>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</si>
  <si>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</si>
  <si>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</si>
  <si>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</si>
  <si>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</si>
  <si>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</si>
  <si>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</si>
  <si>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</si>
  <si>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</si>
  <si>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</si>
  <si>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</si>
  <si>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</si>
  <si>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</si>
  <si>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</si>
  <si>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</si>
  <si>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</si>
  <si>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</si>
  <si>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</si>
  <si>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</si>
  <si>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</si>
  <si>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</si>
  <si>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</si>
  <si>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</si>
  <si>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</si>
  <si>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</si>
  <si>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</si>
  <si>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</si>
  <si>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</si>
  <si>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</si>
  <si>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</si>
  <si>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</si>
  <si>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</si>
  <si>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</si>
  <si>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</si>
  <si>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</si>
  <si>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</si>
  <si>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</si>
  <si>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</si>
  <si>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</si>
  <si>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</si>
  <si>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</si>
  <si>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</si>
  <si>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</si>
  <si>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</si>
  <si>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</si>
  <si>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</si>
  <si>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</si>
  <si>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</si>
  <si>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</si>
  <si>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</si>
  <si>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</si>
  <si>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</si>
  <si>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</si>
  <si>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</si>
  <si>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</si>
  <si>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</si>
  <si>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</si>
  <si>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</si>
  <si>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</si>
  <si>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</si>
  <si>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</si>
  <si>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</si>
  <si>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</si>
  <si>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</si>
  <si>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</si>
  <si>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</si>
  <si>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</si>
  <si>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</si>
  <si>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</si>
  <si>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</si>
  <si>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</si>
  <si>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</si>
  <si>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</si>
  <si>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</si>
  <si>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</si>
  <si>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</si>
  <si>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</si>
  <si>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</si>
  <si>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</si>
  <si>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</si>
  <si>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</si>
  <si>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</si>
  <si>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</si>
  <si>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</si>
  <si>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</si>
  <si>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</si>
  <si>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</si>
  <si>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</si>
  <si>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</si>
  <si>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</si>
  <si>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</si>
  <si>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</si>
  <si>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</si>
  <si>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</si>
  <si>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</si>
  <si>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</si>
  <si>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</si>
  <si>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</si>
  <si>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</si>
  <si>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</si>
  <si>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</si>
  <si>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</si>
  <si>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</si>
  <si>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</si>
  <si>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</si>
  <si>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</si>
  <si>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</si>
  <si>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</si>
  <si>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</si>
  <si>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</si>
  <si>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</si>
  <si>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</si>
  <si>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</si>
  <si>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</si>
  <si>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</si>
  <si>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</si>
  <si>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</si>
  <si>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</si>
  <si>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</si>
  <si>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</si>
  <si>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</si>
  <si>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</si>
  <si>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</si>
  <si>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</si>
  <si>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</si>
  <si>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</si>
  <si>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</si>
  <si>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</si>
  <si>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</si>
  <si>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</si>
  <si>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</si>
  <si>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</si>
  <si>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</si>
  <si>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</si>
  <si>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</si>
  <si>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</si>
  <si>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</si>
  <si>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</si>
  <si>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</si>
  <si>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</si>
  <si>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</si>
  <si>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</si>
  <si>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</si>
  <si>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</si>
  <si>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</si>
  <si>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</si>
  <si>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</si>
  <si>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</si>
  <si>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</si>
  <si>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</si>
  <si>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</si>
  <si>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</si>
  <si>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</si>
  <si>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</si>
  <si>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</si>
  <si>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</si>
  <si>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</si>
  <si>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</si>
  <si>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</si>
  <si>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</si>
  <si>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</si>
  <si>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</si>
  <si>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</si>
  <si>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</si>
  <si>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</si>
  <si>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</si>
  <si>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</si>
  <si>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</si>
  <si>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</si>
  <si>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</si>
  <si>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</si>
  <si>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</si>
  <si>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</si>
  <si>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</si>
  <si>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</si>
  <si>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</si>
  <si>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</si>
  <si>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</si>
  <si>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</si>
  <si>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</si>
  <si>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</si>
  <si>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</si>
  <si>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</si>
  <si>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</si>
  <si>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</si>
  <si>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</si>
  <si>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</si>
  <si>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</si>
  <si>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</si>
  <si>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</si>
  <si>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</si>
  <si>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</si>
  <si>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</si>
  <si>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</si>
  <si>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</si>
  <si>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</si>
  <si>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</si>
  <si>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</si>
  <si>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</si>
  <si>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</si>
  <si>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</si>
  <si>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</si>
  <si>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</si>
  <si>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</si>
  <si>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</si>
  <si>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</si>
  <si>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</si>
  <si>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</si>
  <si>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</si>
  <si>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</si>
  <si>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</si>
  <si>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</si>
  <si>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</si>
  <si>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</si>
  <si>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</si>
  <si>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</si>
  <si>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</si>
  <si>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</si>
  <si>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</si>
  <si>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</si>
  <si>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</si>
  <si>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</si>
  <si>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</si>
  <si>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</si>
  <si>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</si>
  <si>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</si>
  <si>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</si>
  <si>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</si>
  <si>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</si>
  <si>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</si>
  <si>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</si>
  <si>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</si>
  <si>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</si>
  <si>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</si>
  <si>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</si>
  <si>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</si>
  <si>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</si>
  <si>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</si>
  <si>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</si>
  <si>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</si>
  <si>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</si>
  <si>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</si>
  <si>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</si>
  <si>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</si>
  <si>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</si>
  <si>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</si>
  <si>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</si>
  <si>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</si>
  <si>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</si>
  <si>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</si>
  <si>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</si>
  <si>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</si>
  <si>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</si>
  <si>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</si>
  <si>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</si>
  <si>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</si>
  <si>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</si>
  <si>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</si>
  <si>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</si>
  <si>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</si>
  <si>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</si>
  <si>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</si>
  <si>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</si>
  <si>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</si>
  <si>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</si>
  <si>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</si>
  <si>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</si>
  <si>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</si>
  <si>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</si>
  <si>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</si>
  <si>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</si>
  <si>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</si>
  <si>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</si>
  <si>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</si>
  <si>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</si>
  <si>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</si>
  <si>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</si>
  <si>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</si>
  <si>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</si>
  <si>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</si>
  <si>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</si>
  <si>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</si>
  <si>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</si>
  <si>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</si>
  <si>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</si>
  <si>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</si>
  <si>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</si>
  <si>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</si>
  <si>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</si>
  <si>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</si>
  <si>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</si>
  <si>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</si>
  <si>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</si>
  <si>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</si>
  <si>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</si>
  <si>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</si>
  <si>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</si>
  <si>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</si>
  <si>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</si>
  <si>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</si>
  <si>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</si>
  <si>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</si>
  <si>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</si>
  <si>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</si>
  <si>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</si>
  <si>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</si>
  <si>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</si>
  <si>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</si>
  <si>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</si>
  <si>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</si>
  <si>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</si>
  <si>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</si>
  <si>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</si>
  <si>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</si>
  <si>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</si>
  <si>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</si>
  <si>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</si>
  <si>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</si>
  <si>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</si>
  <si>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</si>
  <si>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</si>
  <si>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</si>
  <si>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</si>
  <si>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</si>
  <si>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</si>
  <si>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</si>
  <si>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</si>
  <si>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</si>
  <si>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</si>
  <si>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</si>
  <si>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</si>
  <si>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</si>
  <si>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</si>
  <si>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</si>
  <si>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</si>
  <si>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</si>
  <si>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</si>
  <si>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</si>
  <si>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</si>
  <si>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</si>
  <si>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</si>
  <si>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</si>
  <si>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</si>
  <si>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</si>
  <si>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</si>
  <si>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</si>
  <si>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</si>
  <si>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</si>
  <si>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</si>
  <si>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</si>
  <si>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</si>
  <si>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</si>
  <si>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</si>
  <si>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</si>
  <si>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</si>
  <si>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</si>
  <si>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</si>
  <si>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</si>
  <si>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</si>
  <si>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</si>
  <si>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</si>
  <si>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</si>
  <si>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</si>
  <si>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</si>
  <si>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</si>
  <si>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</si>
  <si>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</si>
  <si>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</si>
  <si>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</si>
  <si>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</si>
  <si>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</si>
  <si>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</si>
  <si>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</si>
  <si>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</si>
  <si>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</si>
  <si>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</si>
  <si>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</si>
  <si>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</si>
  <si>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</si>
  <si>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</si>
  <si>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</si>
  <si>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</si>
  <si>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</si>
  <si>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</si>
  <si>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</si>
  <si>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</si>
  <si>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</si>
  <si>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</si>
  <si>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</si>
  <si>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</si>
  <si>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</si>
  <si>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</si>
  <si>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</si>
  <si>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</si>
  <si>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</si>
  <si>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</si>
  <si>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</si>
  <si>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</si>
  <si>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</si>
  <si>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</si>
  <si>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</si>
  <si>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</si>
  <si>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</si>
  <si>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</si>
  <si>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</si>
  <si>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</si>
  <si>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</si>
  <si>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</si>
  <si>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</si>
  <si>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</si>
  <si>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</si>
  <si>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</si>
  <si>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</si>
  <si>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</si>
  <si>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</si>
  <si>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</si>
  <si>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</si>
  <si>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</si>
  <si>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</si>
  <si>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</si>
  <si>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</si>
  <si>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</si>
  <si>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</si>
  <si>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</si>
  <si>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</si>
  <si>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</si>
  <si>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</si>
  <si>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</si>
  <si>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</si>
  <si>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</si>
  <si>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</si>
  <si>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</si>
  <si>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</si>
  <si>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</si>
  <si>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</si>
  <si>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</si>
  <si>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</si>
  <si>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</si>
  <si>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</si>
  <si>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</si>
  <si>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</si>
  <si>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</si>
  <si>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</si>
  <si>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</si>
  <si>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</si>
  <si>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</si>
  <si>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</si>
  <si>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</si>
  <si>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</si>
  <si>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</si>
  <si>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</si>
  <si>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</si>
  <si>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</si>
  <si>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</si>
  <si>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</si>
  <si>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</si>
  <si>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</si>
  <si>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</si>
  <si>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</si>
  <si>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</si>
  <si>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</si>
  <si>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</si>
  <si>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</si>
  <si>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</si>
  <si>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</si>
  <si>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</si>
  <si>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</si>
  <si>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</si>
  <si>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</si>
  <si>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</si>
  <si>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</si>
  <si>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</si>
  <si>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</si>
  <si>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</si>
  <si>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</si>
  <si>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</si>
  <si>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</si>
  <si>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</si>
  <si>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</si>
  <si>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</si>
  <si>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</si>
  <si>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</si>
  <si>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</si>
  <si>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</si>
  <si>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</si>
  <si>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</si>
  <si>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</si>
  <si>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</si>
  <si>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</si>
  <si>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</si>
  <si>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</si>
  <si>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</si>
  <si>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</si>
  <si>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</si>
  <si>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</si>
  <si>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</si>
  <si>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</si>
  <si>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</si>
  <si>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</si>
  <si>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</si>
  <si>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</si>
  <si>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</si>
  <si>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</si>
  <si>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</si>
  <si>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</si>
  <si>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</si>
  <si>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</si>
  <si>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</si>
  <si>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</si>
  <si>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</si>
  <si>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</si>
  <si>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</si>
  <si>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</si>
  <si>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</si>
  <si>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</si>
  <si>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</si>
  <si>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</si>
  <si>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</si>
  <si>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</si>
  <si>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</si>
  <si>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</si>
  <si>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</si>
  <si>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</si>
  <si>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</si>
  <si>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</si>
  <si>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</si>
  <si>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</si>
  <si>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</si>
  <si>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</si>
  <si>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</si>
  <si>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</si>
  <si>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</si>
  <si>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</si>
  <si>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</si>
  <si>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</si>
  <si>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</si>
  <si>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</si>
  <si>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</si>
  <si>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</si>
  <si>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</si>
  <si>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</si>
  <si>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</si>
  <si>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</si>
  <si>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</si>
  <si>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</si>
  <si>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</si>
  <si>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</si>
  <si>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</si>
  <si>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</si>
  <si>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</si>
  <si>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</si>
  <si>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</si>
  <si>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</si>
  <si>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</si>
  <si>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</si>
  <si>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</si>
  <si>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</si>
  <si>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</si>
  <si>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</si>
  <si>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</si>
  <si>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</si>
  <si>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</si>
  <si>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</si>
  <si>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</si>
  <si>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</si>
  <si>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</si>
  <si>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</si>
  <si>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</si>
  <si>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</si>
  <si>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</si>
  <si>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</si>
  <si>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</si>
  <si>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</si>
  <si>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</si>
  <si>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</si>
  <si>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</si>
  <si>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</si>
  <si>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</si>
  <si>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</si>
  <si>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</si>
  <si>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</si>
  <si>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</si>
  <si>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</si>
  <si>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</si>
  <si>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</si>
  <si>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</si>
  <si>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</si>
  <si>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</si>
  <si>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</si>
  <si>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</si>
  <si>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</si>
  <si>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</si>
  <si>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</si>
  <si>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</si>
  <si>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</si>
  <si>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</si>
  <si>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</si>
  <si>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</si>
  <si>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</si>
  <si>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</si>
  <si>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</si>
  <si>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</si>
  <si>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</si>
  <si>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</si>
  <si>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</si>
  <si>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</si>
  <si>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</si>
  <si>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</si>
  <si>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</si>
  <si>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</si>
  <si>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</si>
  <si>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</si>
  <si>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</si>
  <si>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</si>
  <si>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</si>
  <si>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</si>
  <si>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</si>
  <si>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</si>
  <si>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</si>
  <si>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</si>
  <si>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</si>
  <si>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</si>
  <si>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</si>
  <si>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</si>
  <si>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</si>
  <si>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</si>
  <si>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</si>
  <si>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</si>
  <si>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</si>
  <si>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</si>
  <si>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</si>
  <si>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</si>
  <si>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</si>
  <si>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</si>
  <si>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</si>
  <si>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</si>
  <si>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</si>
  <si>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</si>
  <si>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</si>
  <si>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</si>
  <si>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</si>
  <si>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</si>
  <si>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</si>
  <si>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</si>
  <si>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</si>
  <si>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</si>
  <si>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</si>
  <si>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</si>
  <si>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</si>
  <si>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</si>
  <si>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</si>
  <si>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</si>
  <si>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</si>
  <si>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</si>
  <si>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</si>
  <si>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</si>
  <si>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</si>
  <si>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</si>
  <si>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</si>
  <si>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</si>
  <si>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</si>
  <si>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</si>
  <si>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</si>
  <si>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</si>
  <si>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</si>
  <si>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</si>
  <si>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</si>
  <si>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</si>
  <si>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</si>
  <si>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</si>
  <si>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</si>
  <si>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</si>
  <si>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</si>
  <si>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</si>
  <si>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</si>
  <si>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</si>
  <si>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13036</t>
  </si>
  <si>
    <t>RETIE</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</si>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</sst>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42393D1F-1EEE-4B76-A758-7462154027A8}"/>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13036</v>
      </c>
      <c r="B6" s="384"/>
      <c r="C6" s="385"/>
    </row>
    <row r="7" spans="1:7" s="382" customFormat="1" ht="15.75" customHeight="1">
      <c r="A7" s="386" t="str">
        <f>txtMunicipality</f>
        <v>RETIE</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8919.4558429933841</v>
      </c>
      <c r="D10" s="674">
        <f ca="1">tertiair!C16</f>
        <v>0</v>
      </c>
      <c r="E10" s="674">
        <f ca="1">tertiair!D16</f>
        <v>10333.534943609709</v>
      </c>
      <c r="F10" s="674">
        <f>tertiair!E16</f>
        <v>220.17312690219731</v>
      </c>
      <c r="G10" s="674">
        <f ca="1">tertiair!F16</f>
        <v>1557.4349290086211</v>
      </c>
      <c r="H10" s="674">
        <f>tertiair!G16</f>
        <v>0</v>
      </c>
      <c r="I10" s="674">
        <f>tertiair!H16</f>
        <v>0</v>
      </c>
      <c r="J10" s="674">
        <f>tertiair!I16</f>
        <v>0</v>
      </c>
      <c r="K10" s="674">
        <f>tertiair!J16</f>
        <v>0</v>
      </c>
      <c r="L10" s="674">
        <f>tertiair!K16</f>
        <v>0</v>
      </c>
      <c r="M10" s="674">
        <f ca="1">tertiair!L16</f>
        <v>0</v>
      </c>
      <c r="N10" s="674">
        <f>tertiair!M16</f>
        <v>0</v>
      </c>
      <c r="O10" s="674">
        <f ca="1">tertiair!N16</f>
        <v>310.86930873909336</v>
      </c>
      <c r="P10" s="674">
        <f>tertiair!O16</f>
        <v>1.5633333333333335</v>
      </c>
      <c r="Q10" s="675">
        <f>tertiair!P16</f>
        <v>38.133333333333333</v>
      </c>
      <c r="R10" s="677">
        <f ca="1">SUM(C10:Q10)</f>
        <v>21381.164817919671</v>
      </c>
      <c r="S10" s="67"/>
    </row>
    <row r="11" spans="1:19" s="443" customFormat="1">
      <c r="A11" s="789" t="s">
        <v>214</v>
      </c>
      <c r="B11" s="794"/>
      <c r="C11" s="674">
        <f>huishoudens!B8</f>
        <v>19860.606110344252</v>
      </c>
      <c r="D11" s="674">
        <f>huishoudens!C8</f>
        <v>0</v>
      </c>
      <c r="E11" s="674">
        <f>huishoudens!D8</f>
        <v>40645.883438279001</v>
      </c>
      <c r="F11" s="674">
        <f>huishoudens!E8</f>
        <v>955.42315425151742</v>
      </c>
      <c r="G11" s="674">
        <f>huishoudens!F8</f>
        <v>32612.791952255066</v>
      </c>
      <c r="H11" s="674">
        <f>huishoudens!G8</f>
        <v>0</v>
      </c>
      <c r="I11" s="674">
        <f>huishoudens!H8</f>
        <v>0</v>
      </c>
      <c r="J11" s="674">
        <f>huishoudens!I8</f>
        <v>0</v>
      </c>
      <c r="K11" s="674">
        <f>huishoudens!J8</f>
        <v>734.35739197134626</v>
      </c>
      <c r="L11" s="674">
        <f>huishoudens!K8</f>
        <v>0</v>
      </c>
      <c r="M11" s="674">
        <f>huishoudens!L8</f>
        <v>0</v>
      </c>
      <c r="N11" s="674">
        <f>huishoudens!M8</f>
        <v>0</v>
      </c>
      <c r="O11" s="674">
        <f>huishoudens!N8</f>
        <v>5224.939059837272</v>
      </c>
      <c r="P11" s="674">
        <f>huishoudens!O8</f>
        <v>84.42</v>
      </c>
      <c r="Q11" s="675">
        <f>huishoudens!P8</f>
        <v>457.6</v>
      </c>
      <c r="R11" s="677">
        <f>SUM(C11:Q11)</f>
        <v>100576.02110693847</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2005.705358002527</v>
      </c>
      <c r="D13" s="674">
        <f>industrie!C18</f>
        <v>0</v>
      </c>
      <c r="E13" s="674">
        <f>industrie!D18</f>
        <v>1462.8354627787789</v>
      </c>
      <c r="F13" s="674">
        <f>industrie!E18</f>
        <v>26.594992027612992</v>
      </c>
      <c r="G13" s="674">
        <f>industrie!F18</f>
        <v>877.65342860972419</v>
      </c>
      <c r="H13" s="674">
        <f>industrie!G18</f>
        <v>0</v>
      </c>
      <c r="I13" s="674">
        <f>industrie!H18</f>
        <v>0</v>
      </c>
      <c r="J13" s="674">
        <f>industrie!I18</f>
        <v>0</v>
      </c>
      <c r="K13" s="674">
        <f>industrie!J18</f>
        <v>5.9397214543707531</v>
      </c>
      <c r="L13" s="674">
        <f>industrie!K18</f>
        <v>0</v>
      </c>
      <c r="M13" s="674">
        <f>industrie!L18</f>
        <v>0</v>
      </c>
      <c r="N13" s="674">
        <f>industrie!M18</f>
        <v>0</v>
      </c>
      <c r="O13" s="674">
        <f>industrie!N18</f>
        <v>80.644138606759512</v>
      </c>
      <c r="P13" s="674">
        <f>industrie!O18</f>
        <v>0</v>
      </c>
      <c r="Q13" s="675">
        <f>industrie!P18</f>
        <v>0</v>
      </c>
      <c r="R13" s="677">
        <f>SUM(C13:Q13)</f>
        <v>4459.373101479774</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30785.767311340165</v>
      </c>
      <c r="D16" s="707">
        <f t="shared" ref="D16:R16" ca="1" si="0">SUM(D9:D15)</f>
        <v>0</v>
      </c>
      <c r="E16" s="707">
        <f t="shared" ca="1" si="0"/>
        <v>52442.253844667488</v>
      </c>
      <c r="F16" s="707">
        <f t="shared" si="0"/>
        <v>1202.1912731813277</v>
      </c>
      <c r="G16" s="707">
        <f t="shared" ca="1" si="0"/>
        <v>35047.880309873413</v>
      </c>
      <c r="H16" s="707">
        <f t="shared" si="0"/>
        <v>0</v>
      </c>
      <c r="I16" s="707">
        <f t="shared" si="0"/>
        <v>0</v>
      </c>
      <c r="J16" s="707">
        <f t="shared" si="0"/>
        <v>0</v>
      </c>
      <c r="K16" s="707">
        <f t="shared" si="0"/>
        <v>740.29711342571704</v>
      </c>
      <c r="L16" s="707">
        <f t="shared" si="0"/>
        <v>0</v>
      </c>
      <c r="M16" s="707">
        <f t="shared" ca="1" si="0"/>
        <v>0</v>
      </c>
      <c r="N16" s="707">
        <f t="shared" si="0"/>
        <v>0</v>
      </c>
      <c r="O16" s="707">
        <f t="shared" ca="1" si="0"/>
        <v>5616.4525071831249</v>
      </c>
      <c r="P16" s="707">
        <f t="shared" si="0"/>
        <v>85.983333333333334</v>
      </c>
      <c r="Q16" s="707">
        <f t="shared" si="0"/>
        <v>495.73333333333335</v>
      </c>
      <c r="R16" s="707">
        <f t="shared" ca="1" si="0"/>
        <v>126416.55902633793</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3.3426460077555245</v>
      </c>
      <c r="D19" s="674">
        <f>transport!C54</f>
        <v>0</v>
      </c>
      <c r="E19" s="674">
        <f>transport!D54</f>
        <v>0</v>
      </c>
      <c r="F19" s="674">
        <f>transport!E54</f>
        <v>0</v>
      </c>
      <c r="G19" s="674">
        <f>transport!F54</f>
        <v>0</v>
      </c>
      <c r="H19" s="674">
        <f>transport!G54</f>
        <v>725.15349169011461</v>
      </c>
      <c r="I19" s="674">
        <f>transport!H54</f>
        <v>0</v>
      </c>
      <c r="J19" s="674">
        <f>transport!I54</f>
        <v>0</v>
      </c>
      <c r="K19" s="674">
        <f>transport!J54</f>
        <v>0</v>
      </c>
      <c r="L19" s="674">
        <f>transport!K54</f>
        <v>0</v>
      </c>
      <c r="M19" s="674">
        <f>transport!L54</f>
        <v>0</v>
      </c>
      <c r="N19" s="674">
        <f>transport!M54</f>
        <v>31.048287019025803</v>
      </c>
      <c r="O19" s="674">
        <f>transport!N54</f>
        <v>0</v>
      </c>
      <c r="P19" s="674">
        <f>transport!O54</f>
        <v>0</v>
      </c>
      <c r="Q19" s="675">
        <f>transport!P54</f>
        <v>0</v>
      </c>
      <c r="R19" s="677">
        <f>SUM(C19:Q19)</f>
        <v>759.54442471689595</v>
      </c>
      <c r="S19" s="67"/>
    </row>
    <row r="20" spans="1:19" s="443" customFormat="1">
      <c r="A20" s="789" t="s">
        <v>296</v>
      </c>
      <c r="B20" s="794"/>
      <c r="C20" s="674">
        <f>transport!B14</f>
        <v>1.2993379707171373</v>
      </c>
      <c r="D20" s="674">
        <f>transport!C14</f>
        <v>0</v>
      </c>
      <c r="E20" s="674">
        <f>transport!D14</f>
        <v>4.1577822240453237</v>
      </c>
      <c r="F20" s="674">
        <f>transport!E14</f>
        <v>447.03858329900771</v>
      </c>
      <c r="G20" s="674">
        <f>transport!F14</f>
        <v>0</v>
      </c>
      <c r="H20" s="674">
        <f>transport!G14</f>
        <v>97486.089837768668</v>
      </c>
      <c r="I20" s="674">
        <f>transport!H14</f>
        <v>13865.449873176</v>
      </c>
      <c r="J20" s="674">
        <f>transport!I14</f>
        <v>0</v>
      </c>
      <c r="K20" s="674">
        <f>transport!J14</f>
        <v>0</v>
      </c>
      <c r="L20" s="674">
        <f>transport!K14</f>
        <v>0</v>
      </c>
      <c r="M20" s="674">
        <f>transport!L14</f>
        <v>0</v>
      </c>
      <c r="N20" s="674">
        <f>transport!M14</f>
        <v>4837.778589159987</v>
      </c>
      <c r="O20" s="674">
        <f>transport!N14</f>
        <v>0</v>
      </c>
      <c r="P20" s="674">
        <f>transport!O14</f>
        <v>0</v>
      </c>
      <c r="Q20" s="675">
        <f>transport!P14</f>
        <v>0</v>
      </c>
      <c r="R20" s="677">
        <f>SUM(C20:Q20)</f>
        <v>116641.81400359843</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4.6419839784726618</v>
      </c>
      <c r="D22" s="792">
        <f t="shared" ref="D22:R22" si="1">SUM(D18:D21)</f>
        <v>0</v>
      </c>
      <c r="E22" s="792">
        <f t="shared" si="1"/>
        <v>4.1577822240453237</v>
      </c>
      <c r="F22" s="792">
        <f t="shared" si="1"/>
        <v>447.03858329900771</v>
      </c>
      <c r="G22" s="792">
        <f t="shared" si="1"/>
        <v>0</v>
      </c>
      <c r="H22" s="792">
        <f t="shared" si="1"/>
        <v>98211.243329458783</v>
      </c>
      <c r="I22" s="792">
        <f t="shared" si="1"/>
        <v>13865.449873176</v>
      </c>
      <c r="J22" s="792">
        <f t="shared" si="1"/>
        <v>0</v>
      </c>
      <c r="K22" s="792">
        <f t="shared" si="1"/>
        <v>0</v>
      </c>
      <c r="L22" s="792">
        <f t="shared" si="1"/>
        <v>0</v>
      </c>
      <c r="M22" s="792">
        <f t="shared" si="1"/>
        <v>0</v>
      </c>
      <c r="N22" s="792">
        <f t="shared" si="1"/>
        <v>4868.8268761790132</v>
      </c>
      <c r="O22" s="792">
        <f t="shared" si="1"/>
        <v>0</v>
      </c>
      <c r="P22" s="792">
        <f t="shared" si="1"/>
        <v>0</v>
      </c>
      <c r="Q22" s="792">
        <f t="shared" si="1"/>
        <v>0</v>
      </c>
      <c r="R22" s="792">
        <f t="shared" si="1"/>
        <v>117401.35842831532</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2405.30086246784</v>
      </c>
      <c r="D24" s="674">
        <f>+landbouw!C8</f>
        <v>0</v>
      </c>
      <c r="E24" s="674">
        <f>+landbouw!D8</f>
        <v>197.01159272875375</v>
      </c>
      <c r="F24" s="674">
        <f>+landbouw!E8</f>
        <v>25.188831358164848</v>
      </c>
      <c r="G24" s="674">
        <f>+landbouw!F8</f>
        <v>10296.515331864812</v>
      </c>
      <c r="H24" s="674">
        <f>+landbouw!G8</f>
        <v>0</v>
      </c>
      <c r="I24" s="674">
        <f>+landbouw!H8</f>
        <v>0</v>
      </c>
      <c r="J24" s="674">
        <f>+landbouw!I8</f>
        <v>0</v>
      </c>
      <c r="K24" s="674">
        <f>+landbouw!J8</f>
        <v>214.814926097799</v>
      </c>
      <c r="L24" s="674">
        <f>+landbouw!K8</f>
        <v>0</v>
      </c>
      <c r="M24" s="674">
        <f>+landbouw!L8</f>
        <v>0</v>
      </c>
      <c r="N24" s="674">
        <f>+landbouw!M8</f>
        <v>0</v>
      </c>
      <c r="O24" s="674">
        <f>+landbouw!N8</f>
        <v>0</v>
      </c>
      <c r="P24" s="674">
        <f>+landbouw!O8</f>
        <v>0</v>
      </c>
      <c r="Q24" s="675">
        <f>+landbouw!P8</f>
        <v>0</v>
      </c>
      <c r="R24" s="677">
        <f>SUM(C24:Q24)</f>
        <v>13138.831544517368</v>
      </c>
      <c r="S24" s="67"/>
    </row>
    <row r="25" spans="1:19" s="443" customFormat="1" ht="15" thickBot="1">
      <c r="A25" s="811" t="s">
        <v>889</v>
      </c>
      <c r="B25" s="966"/>
      <c r="C25" s="967">
        <f>IF(Onbekend_ele_kWh="---",0,Onbekend_ele_kWh)/1000+IF(REST_rest_ele_kWh="---",0,REST_rest_ele_kWh)/1000</f>
        <v>808.73643658428398</v>
      </c>
      <c r="D25" s="967"/>
      <c r="E25" s="967">
        <f>IF(onbekend_gas_kWh="---",0,onbekend_gas_kWh)/1000+IF(REST_rest_gas_kWh="---",0,REST_rest_gas_kWh)/1000</f>
        <v>1882.6814411272701</v>
      </c>
      <c r="F25" s="967"/>
      <c r="G25" s="967"/>
      <c r="H25" s="967"/>
      <c r="I25" s="967"/>
      <c r="J25" s="967"/>
      <c r="K25" s="967"/>
      <c r="L25" s="967"/>
      <c r="M25" s="967"/>
      <c r="N25" s="967"/>
      <c r="O25" s="967"/>
      <c r="P25" s="967"/>
      <c r="Q25" s="968"/>
      <c r="R25" s="677">
        <f>SUM(C25:Q25)</f>
        <v>2691.417877711554</v>
      </c>
      <c r="S25" s="67"/>
    </row>
    <row r="26" spans="1:19" s="443" customFormat="1" ht="15.75" thickBot="1">
      <c r="A26" s="680" t="s">
        <v>890</v>
      </c>
      <c r="B26" s="797"/>
      <c r="C26" s="792">
        <f>SUM(C24:C25)</f>
        <v>3214.0372990521241</v>
      </c>
      <c r="D26" s="792">
        <f t="shared" ref="D26:R26" si="2">SUM(D24:D25)</f>
        <v>0</v>
      </c>
      <c r="E26" s="792">
        <f t="shared" si="2"/>
        <v>2079.6930338560237</v>
      </c>
      <c r="F26" s="792">
        <f t="shared" si="2"/>
        <v>25.188831358164848</v>
      </c>
      <c r="G26" s="792">
        <f t="shared" si="2"/>
        <v>10296.515331864812</v>
      </c>
      <c r="H26" s="792">
        <f t="shared" si="2"/>
        <v>0</v>
      </c>
      <c r="I26" s="792">
        <f t="shared" si="2"/>
        <v>0</v>
      </c>
      <c r="J26" s="792">
        <f t="shared" si="2"/>
        <v>0</v>
      </c>
      <c r="K26" s="792">
        <f t="shared" si="2"/>
        <v>214.814926097799</v>
      </c>
      <c r="L26" s="792">
        <f t="shared" si="2"/>
        <v>0</v>
      </c>
      <c r="M26" s="792">
        <f t="shared" si="2"/>
        <v>0</v>
      </c>
      <c r="N26" s="792">
        <f t="shared" si="2"/>
        <v>0</v>
      </c>
      <c r="O26" s="792">
        <f t="shared" si="2"/>
        <v>0</v>
      </c>
      <c r="P26" s="792">
        <f t="shared" si="2"/>
        <v>0</v>
      </c>
      <c r="Q26" s="792">
        <f t="shared" si="2"/>
        <v>0</v>
      </c>
      <c r="R26" s="792">
        <f t="shared" si="2"/>
        <v>15830.249422228922</v>
      </c>
      <c r="S26" s="67"/>
    </row>
    <row r="27" spans="1:19" s="443" customFormat="1" ht="17.25" thickTop="1" thickBot="1">
      <c r="A27" s="681" t="s">
        <v>109</v>
      </c>
      <c r="B27" s="784"/>
      <c r="C27" s="682">
        <f ca="1">C22+C16+C26</f>
        <v>34004.446594370762</v>
      </c>
      <c r="D27" s="682">
        <f t="shared" ref="D27:R27" ca="1" si="3">D22+D16+D26</f>
        <v>0</v>
      </c>
      <c r="E27" s="682">
        <f t="shared" ca="1" si="3"/>
        <v>54526.104660747558</v>
      </c>
      <c r="F27" s="682">
        <f t="shared" si="3"/>
        <v>1674.4186878385003</v>
      </c>
      <c r="G27" s="682">
        <f t="shared" ca="1" si="3"/>
        <v>45344.395641738229</v>
      </c>
      <c r="H27" s="682">
        <f t="shared" si="3"/>
        <v>98211.243329458783</v>
      </c>
      <c r="I27" s="682">
        <f t="shared" si="3"/>
        <v>13865.449873176</v>
      </c>
      <c r="J27" s="682">
        <f t="shared" si="3"/>
        <v>0</v>
      </c>
      <c r="K27" s="682">
        <f t="shared" si="3"/>
        <v>955.11203952351605</v>
      </c>
      <c r="L27" s="682">
        <f t="shared" si="3"/>
        <v>0</v>
      </c>
      <c r="M27" s="682">
        <f t="shared" ca="1" si="3"/>
        <v>0</v>
      </c>
      <c r="N27" s="682">
        <f t="shared" si="3"/>
        <v>4868.8268761790132</v>
      </c>
      <c r="O27" s="682">
        <f t="shared" ca="1" si="3"/>
        <v>5616.4525071831249</v>
      </c>
      <c r="P27" s="682">
        <f t="shared" si="3"/>
        <v>85.983333333333334</v>
      </c>
      <c r="Q27" s="682">
        <f t="shared" si="3"/>
        <v>495.73333333333335</v>
      </c>
      <c r="R27" s="682">
        <f t="shared" ca="1" si="3"/>
        <v>259648.16687688217</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1851.1526023036802</v>
      </c>
      <c r="D40" s="674">
        <f ca="1">tertiair!C20</f>
        <v>0</v>
      </c>
      <c r="E40" s="674">
        <f ca="1">tertiair!D20</f>
        <v>2087.3740586091612</v>
      </c>
      <c r="F40" s="674">
        <f>tertiair!E20</f>
        <v>49.979299806798792</v>
      </c>
      <c r="G40" s="674">
        <f ca="1">tertiair!F20</f>
        <v>415.83512604530188</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4404.3410867649418</v>
      </c>
    </row>
    <row r="41" spans="1:18">
      <c r="A41" s="802" t="s">
        <v>214</v>
      </c>
      <c r="B41" s="809"/>
      <c r="C41" s="674">
        <f ca="1">huishoudens!B12</f>
        <v>4121.8896456976836</v>
      </c>
      <c r="D41" s="674">
        <f ca="1">huishoudens!C12</f>
        <v>0</v>
      </c>
      <c r="E41" s="674">
        <f>huishoudens!D12</f>
        <v>8210.468454532358</v>
      </c>
      <c r="F41" s="674">
        <f>huishoudens!E12</f>
        <v>216.88105601509446</v>
      </c>
      <c r="G41" s="674">
        <f>huishoudens!F12</f>
        <v>8707.6154512521025</v>
      </c>
      <c r="H41" s="674">
        <f>huishoudens!G12</f>
        <v>0</v>
      </c>
      <c r="I41" s="674">
        <f>huishoudens!H12</f>
        <v>0</v>
      </c>
      <c r="J41" s="674">
        <f>huishoudens!I12</f>
        <v>0</v>
      </c>
      <c r="K41" s="674">
        <f>huishoudens!J12</f>
        <v>259.96251675785658</v>
      </c>
      <c r="L41" s="674">
        <f>huishoudens!K12</f>
        <v>0</v>
      </c>
      <c r="M41" s="674">
        <f>huishoudens!L12</f>
        <v>0</v>
      </c>
      <c r="N41" s="674">
        <f>huishoudens!M12</f>
        <v>0</v>
      </c>
      <c r="O41" s="674">
        <f>huishoudens!N12</f>
        <v>0</v>
      </c>
      <c r="P41" s="674">
        <f>huishoudens!O12</f>
        <v>0</v>
      </c>
      <c r="Q41" s="749">
        <f>huishoudens!P12</f>
        <v>0</v>
      </c>
      <c r="R41" s="830">
        <f t="shared" ca="1" si="4"/>
        <v>21516.817124255096</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416.26605459765</v>
      </c>
      <c r="D43" s="674">
        <f ca="1">industrie!C22</f>
        <v>0</v>
      </c>
      <c r="E43" s="674">
        <f>industrie!D22</f>
        <v>295.49276348131337</v>
      </c>
      <c r="F43" s="674">
        <f>industrie!E22</f>
        <v>6.0370631902681495</v>
      </c>
      <c r="G43" s="674">
        <f>industrie!F22</f>
        <v>234.33346543879637</v>
      </c>
      <c r="H43" s="674">
        <f>industrie!G22</f>
        <v>0</v>
      </c>
      <c r="I43" s="674">
        <f>industrie!H22</f>
        <v>0</v>
      </c>
      <c r="J43" s="674">
        <f>industrie!I22</f>
        <v>0</v>
      </c>
      <c r="K43" s="674">
        <f>industrie!J22</f>
        <v>2.1026613948472463</v>
      </c>
      <c r="L43" s="674">
        <f>industrie!K22</f>
        <v>0</v>
      </c>
      <c r="M43" s="674">
        <f>industrie!L22</f>
        <v>0</v>
      </c>
      <c r="N43" s="674">
        <f>industrie!M22</f>
        <v>0</v>
      </c>
      <c r="O43" s="674">
        <f>industrie!N22</f>
        <v>0</v>
      </c>
      <c r="P43" s="674">
        <f>industrie!O22</f>
        <v>0</v>
      </c>
      <c r="Q43" s="749">
        <f>industrie!P22</f>
        <v>0</v>
      </c>
      <c r="R43" s="829">
        <f t="shared" ca="1" si="4"/>
        <v>954.23200810287506</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6389.3083025990136</v>
      </c>
      <c r="D46" s="707">
        <f t="shared" ref="D46:Q46" ca="1" si="5">SUM(D39:D45)</f>
        <v>0</v>
      </c>
      <c r="E46" s="707">
        <f t="shared" ca="1" si="5"/>
        <v>10593.335276622833</v>
      </c>
      <c r="F46" s="707">
        <f t="shared" si="5"/>
        <v>272.89741901216138</v>
      </c>
      <c r="G46" s="707">
        <f t="shared" ca="1" si="5"/>
        <v>9357.7840427362007</v>
      </c>
      <c r="H46" s="707">
        <f t="shared" si="5"/>
        <v>0</v>
      </c>
      <c r="I46" s="707">
        <f t="shared" si="5"/>
        <v>0</v>
      </c>
      <c r="J46" s="707">
        <f t="shared" si="5"/>
        <v>0</v>
      </c>
      <c r="K46" s="707">
        <f t="shared" si="5"/>
        <v>262.06517815270382</v>
      </c>
      <c r="L46" s="707">
        <f t="shared" si="5"/>
        <v>0</v>
      </c>
      <c r="M46" s="707">
        <f t="shared" ca="1" si="5"/>
        <v>0</v>
      </c>
      <c r="N46" s="707">
        <f t="shared" si="5"/>
        <v>0</v>
      </c>
      <c r="O46" s="707">
        <f t="shared" ca="1" si="5"/>
        <v>0</v>
      </c>
      <c r="P46" s="707">
        <f t="shared" si="5"/>
        <v>0</v>
      </c>
      <c r="Q46" s="707">
        <f t="shared" si="5"/>
        <v>0</v>
      </c>
      <c r="R46" s="707">
        <f ca="1">SUM(R39:R45)</f>
        <v>26875.390219122914</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0.69373602658702416</v>
      </c>
      <c r="D49" s="674">
        <f ca="1">transport!C58</f>
        <v>0</v>
      </c>
      <c r="E49" s="674">
        <f>transport!D58</f>
        <v>0</v>
      </c>
      <c r="F49" s="674">
        <f>transport!E58</f>
        <v>0</v>
      </c>
      <c r="G49" s="674">
        <f>transport!F58</f>
        <v>0</v>
      </c>
      <c r="H49" s="674">
        <f>transport!G58</f>
        <v>193.61598228126061</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194.30971830784765</v>
      </c>
    </row>
    <row r="50" spans="1:18">
      <c r="A50" s="805" t="s">
        <v>296</v>
      </c>
      <c r="B50" s="815"/>
      <c r="C50" s="973">
        <f ca="1">transport!B18</f>
        <v>0.26966587515027129</v>
      </c>
      <c r="D50" s="973">
        <f>transport!C18</f>
        <v>0</v>
      </c>
      <c r="E50" s="973">
        <f>transport!D18</f>
        <v>0.83987200925715544</v>
      </c>
      <c r="F50" s="973">
        <f>transport!E18</f>
        <v>101.47775840887475</v>
      </c>
      <c r="G50" s="973">
        <f>transport!F18</f>
        <v>0</v>
      </c>
      <c r="H50" s="973">
        <f>transport!G18</f>
        <v>26028.785986684237</v>
      </c>
      <c r="I50" s="973">
        <f>transport!H18</f>
        <v>3452.4970184208237</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29583.870301398343</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0.96340190173729545</v>
      </c>
      <c r="D52" s="707">
        <f t="shared" ref="D52:Q52" ca="1" si="6">SUM(D48:D51)</f>
        <v>0</v>
      </c>
      <c r="E52" s="707">
        <f t="shared" si="6"/>
        <v>0.83987200925715544</v>
      </c>
      <c r="F52" s="707">
        <f t="shared" si="6"/>
        <v>101.47775840887475</v>
      </c>
      <c r="G52" s="707">
        <f t="shared" si="6"/>
        <v>0</v>
      </c>
      <c r="H52" s="707">
        <f t="shared" si="6"/>
        <v>26222.4019689655</v>
      </c>
      <c r="I52" s="707">
        <f t="shared" si="6"/>
        <v>3452.4970184208237</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29778.180019706189</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499.19849700005187</v>
      </c>
      <c r="D54" s="973">
        <f ca="1">+landbouw!C12</f>
        <v>0</v>
      </c>
      <c r="E54" s="973">
        <f>+landbouw!D12</f>
        <v>39.796341731208258</v>
      </c>
      <c r="F54" s="973">
        <f>+landbouw!E12</f>
        <v>5.7178647183034208</v>
      </c>
      <c r="G54" s="973">
        <f>+landbouw!F12</f>
        <v>2749.169593607905</v>
      </c>
      <c r="H54" s="973">
        <f>+landbouw!G12</f>
        <v>0</v>
      </c>
      <c r="I54" s="973">
        <f>+landbouw!H12</f>
        <v>0</v>
      </c>
      <c r="J54" s="973">
        <f>+landbouw!I12</f>
        <v>0</v>
      </c>
      <c r="K54" s="973">
        <f>+landbouw!J12</f>
        <v>76.044483838620849</v>
      </c>
      <c r="L54" s="973">
        <f>+landbouw!K12</f>
        <v>0</v>
      </c>
      <c r="M54" s="973">
        <f>+landbouw!L12</f>
        <v>0</v>
      </c>
      <c r="N54" s="973">
        <f>+landbouw!M12</f>
        <v>0</v>
      </c>
      <c r="O54" s="973">
        <f>+landbouw!N12</f>
        <v>0</v>
      </c>
      <c r="P54" s="973">
        <f>+landbouw!O12</f>
        <v>0</v>
      </c>
      <c r="Q54" s="974">
        <f>+landbouw!P12</f>
        <v>0</v>
      </c>
      <c r="R54" s="706">
        <f ca="1">SUM(C54:Q54)</f>
        <v>3369.926780896089</v>
      </c>
    </row>
    <row r="55" spans="1:18" ht="15" thickBot="1">
      <c r="A55" s="805" t="s">
        <v>889</v>
      </c>
      <c r="B55" s="815"/>
      <c r="C55" s="973">
        <f ca="1">C25*'EF ele_warmte'!B12</f>
        <v>167.84595220983516</v>
      </c>
      <c r="D55" s="973"/>
      <c r="E55" s="973">
        <f>E25*EF_CO2_aardgas</f>
        <v>380.30165110770861</v>
      </c>
      <c r="F55" s="973"/>
      <c r="G55" s="973"/>
      <c r="H55" s="973"/>
      <c r="I55" s="973"/>
      <c r="J55" s="973"/>
      <c r="K55" s="973"/>
      <c r="L55" s="973"/>
      <c r="M55" s="973"/>
      <c r="N55" s="973"/>
      <c r="O55" s="973"/>
      <c r="P55" s="973"/>
      <c r="Q55" s="974"/>
      <c r="R55" s="706">
        <f ca="1">SUM(C55:Q55)</f>
        <v>548.14760331754383</v>
      </c>
    </row>
    <row r="56" spans="1:18" ht="15.75" thickBot="1">
      <c r="A56" s="803" t="s">
        <v>890</v>
      </c>
      <c r="B56" s="816"/>
      <c r="C56" s="707">
        <f ca="1">SUM(C54:C55)</f>
        <v>667.04444920988703</v>
      </c>
      <c r="D56" s="707">
        <f t="shared" ref="D56:Q56" ca="1" si="7">SUM(D54:D55)</f>
        <v>0</v>
      </c>
      <c r="E56" s="707">
        <f t="shared" si="7"/>
        <v>420.09799283891687</v>
      </c>
      <c r="F56" s="707">
        <f t="shared" si="7"/>
        <v>5.7178647183034208</v>
      </c>
      <c r="G56" s="707">
        <f t="shared" si="7"/>
        <v>2749.169593607905</v>
      </c>
      <c r="H56" s="707">
        <f t="shared" si="7"/>
        <v>0</v>
      </c>
      <c r="I56" s="707">
        <f t="shared" si="7"/>
        <v>0</v>
      </c>
      <c r="J56" s="707">
        <f t="shared" si="7"/>
        <v>0</v>
      </c>
      <c r="K56" s="707">
        <f t="shared" si="7"/>
        <v>76.044483838620849</v>
      </c>
      <c r="L56" s="707">
        <f t="shared" si="7"/>
        <v>0</v>
      </c>
      <c r="M56" s="707">
        <f t="shared" si="7"/>
        <v>0</v>
      </c>
      <c r="N56" s="707">
        <f t="shared" si="7"/>
        <v>0</v>
      </c>
      <c r="O56" s="707">
        <f t="shared" si="7"/>
        <v>0</v>
      </c>
      <c r="P56" s="707">
        <f t="shared" si="7"/>
        <v>0</v>
      </c>
      <c r="Q56" s="708">
        <f t="shared" si="7"/>
        <v>0</v>
      </c>
      <c r="R56" s="709">
        <f ca="1">SUM(R54:R55)</f>
        <v>3918.0743842136326</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7057.316153710638</v>
      </c>
      <c r="D61" s="715">
        <f t="shared" ref="D61:Q61" ca="1" si="8">D46+D52+D56</f>
        <v>0</v>
      </c>
      <c r="E61" s="715">
        <f t="shared" ca="1" si="8"/>
        <v>11014.273141471007</v>
      </c>
      <c r="F61" s="715">
        <f t="shared" si="8"/>
        <v>380.09304213933956</v>
      </c>
      <c r="G61" s="715">
        <f t="shared" ca="1" si="8"/>
        <v>12106.953636344106</v>
      </c>
      <c r="H61" s="715">
        <f t="shared" si="8"/>
        <v>26222.4019689655</v>
      </c>
      <c r="I61" s="715">
        <f t="shared" si="8"/>
        <v>3452.4970184208237</v>
      </c>
      <c r="J61" s="715">
        <f t="shared" si="8"/>
        <v>0</v>
      </c>
      <c r="K61" s="715">
        <f t="shared" si="8"/>
        <v>338.10966199132469</v>
      </c>
      <c r="L61" s="715">
        <f t="shared" si="8"/>
        <v>0</v>
      </c>
      <c r="M61" s="715">
        <f t="shared" ca="1" si="8"/>
        <v>0</v>
      </c>
      <c r="N61" s="715">
        <f t="shared" si="8"/>
        <v>0</v>
      </c>
      <c r="O61" s="715">
        <f t="shared" ca="1" si="8"/>
        <v>0</v>
      </c>
      <c r="P61" s="715">
        <f t="shared" si="8"/>
        <v>0</v>
      </c>
      <c r="Q61" s="715">
        <f t="shared" si="8"/>
        <v>0</v>
      </c>
      <c r="R61" s="715">
        <f ca="1">R46+R52+R56</f>
        <v>60571.644623042739</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0.2075409795046903</v>
      </c>
      <c r="D63" s="759">
        <f t="shared" ca="1" si="9"/>
        <v>0</v>
      </c>
      <c r="E63" s="975">
        <f t="shared" ca="1" si="9"/>
        <v>0.20200000000000001</v>
      </c>
      <c r="F63" s="759">
        <f t="shared" si="9"/>
        <v>0.22699999999999998</v>
      </c>
      <c r="G63" s="759">
        <f t="shared" ca="1" si="9"/>
        <v>0.26699999999999996</v>
      </c>
      <c r="H63" s="759">
        <f t="shared" si="9"/>
        <v>0.26700000000000007</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2070.8893377615432</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0</v>
      </c>
      <c r="D76" s="985">
        <f>'lokale energieproductie'!C8</f>
        <v>0</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2070.8893377615432</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19860.606110344252</v>
      </c>
      <c r="C4" s="447">
        <f>huishoudens!C8</f>
        <v>0</v>
      </c>
      <c r="D4" s="447">
        <f>huishoudens!D8</f>
        <v>40645.883438279001</v>
      </c>
      <c r="E4" s="447">
        <f>huishoudens!E8</f>
        <v>955.42315425151742</v>
      </c>
      <c r="F4" s="447">
        <f>huishoudens!F8</f>
        <v>32612.791952255066</v>
      </c>
      <c r="G4" s="447">
        <f>huishoudens!G8</f>
        <v>0</v>
      </c>
      <c r="H4" s="447">
        <f>huishoudens!H8</f>
        <v>0</v>
      </c>
      <c r="I4" s="447">
        <f>huishoudens!I8</f>
        <v>0</v>
      </c>
      <c r="J4" s="447">
        <f>huishoudens!J8</f>
        <v>734.35739197134626</v>
      </c>
      <c r="K4" s="447">
        <f>huishoudens!K8</f>
        <v>0</v>
      </c>
      <c r="L4" s="447">
        <f>huishoudens!L8</f>
        <v>0</v>
      </c>
      <c r="M4" s="447">
        <f>huishoudens!M8</f>
        <v>0</v>
      </c>
      <c r="N4" s="447">
        <f>huishoudens!N8</f>
        <v>5224.939059837272</v>
      </c>
      <c r="O4" s="447">
        <f>huishoudens!O8</f>
        <v>84.42</v>
      </c>
      <c r="P4" s="448">
        <f>huishoudens!P8</f>
        <v>457.6</v>
      </c>
      <c r="Q4" s="449">
        <f>SUM(B4:P4)</f>
        <v>100576.02110693847</v>
      </c>
    </row>
    <row r="5" spans="1:17">
      <c r="A5" s="446" t="s">
        <v>149</v>
      </c>
      <c r="B5" s="447">
        <f ca="1">tertiair!B16</f>
        <v>8393.2438429933845</v>
      </c>
      <c r="C5" s="447">
        <f ca="1">tertiair!C16</f>
        <v>0</v>
      </c>
      <c r="D5" s="447">
        <f ca="1">tertiair!D16</f>
        <v>10333.534943609709</v>
      </c>
      <c r="E5" s="447">
        <f>tertiair!E16</f>
        <v>220.17312690219731</v>
      </c>
      <c r="F5" s="447">
        <f ca="1">tertiair!F16</f>
        <v>1557.4349290086211</v>
      </c>
      <c r="G5" s="447">
        <f>tertiair!G16</f>
        <v>0</v>
      </c>
      <c r="H5" s="447">
        <f>tertiair!H16</f>
        <v>0</v>
      </c>
      <c r="I5" s="447">
        <f>tertiair!I16</f>
        <v>0</v>
      </c>
      <c r="J5" s="447">
        <f>tertiair!J16</f>
        <v>0</v>
      </c>
      <c r="K5" s="447">
        <f>tertiair!K16</f>
        <v>0</v>
      </c>
      <c r="L5" s="447">
        <f ca="1">tertiair!L16</f>
        <v>0</v>
      </c>
      <c r="M5" s="447">
        <f>tertiair!M16</f>
        <v>0</v>
      </c>
      <c r="N5" s="447">
        <f ca="1">tertiair!N16</f>
        <v>310.86930873909336</v>
      </c>
      <c r="O5" s="447">
        <f>tertiair!O16</f>
        <v>1.5633333333333335</v>
      </c>
      <c r="P5" s="448">
        <f>tertiair!P16</f>
        <v>38.133333333333333</v>
      </c>
      <c r="Q5" s="446">
        <f t="shared" ref="Q5:Q14" ca="1" si="0">SUM(B5:P5)</f>
        <v>20854.952817919671</v>
      </c>
    </row>
    <row r="6" spans="1:17">
      <c r="A6" s="446" t="s">
        <v>187</v>
      </c>
      <c r="B6" s="447">
        <f>'openbare verlichting'!B8</f>
        <v>526.21199999999999</v>
      </c>
      <c r="C6" s="447"/>
      <c r="D6" s="447"/>
      <c r="E6" s="447"/>
      <c r="F6" s="447"/>
      <c r="G6" s="447"/>
      <c r="H6" s="447"/>
      <c r="I6" s="447"/>
      <c r="J6" s="447"/>
      <c r="K6" s="447"/>
      <c r="L6" s="447"/>
      <c r="M6" s="447"/>
      <c r="N6" s="447"/>
      <c r="O6" s="447"/>
      <c r="P6" s="448"/>
      <c r="Q6" s="446">
        <f t="shared" si="0"/>
        <v>526.21199999999999</v>
      </c>
    </row>
    <row r="7" spans="1:17">
      <c r="A7" s="446" t="s">
        <v>105</v>
      </c>
      <c r="B7" s="447">
        <f>landbouw!B8</f>
        <v>2405.30086246784</v>
      </c>
      <c r="C7" s="447">
        <f>landbouw!C8</f>
        <v>0</v>
      </c>
      <c r="D7" s="447">
        <f>landbouw!D8</f>
        <v>197.01159272875375</v>
      </c>
      <c r="E7" s="447">
        <f>landbouw!E8</f>
        <v>25.188831358164848</v>
      </c>
      <c r="F7" s="447">
        <f>landbouw!F8</f>
        <v>10296.515331864812</v>
      </c>
      <c r="G7" s="447">
        <f>landbouw!G8</f>
        <v>0</v>
      </c>
      <c r="H7" s="447">
        <f>landbouw!H8</f>
        <v>0</v>
      </c>
      <c r="I7" s="447">
        <f>landbouw!I8</f>
        <v>0</v>
      </c>
      <c r="J7" s="447">
        <f>landbouw!J8</f>
        <v>214.814926097799</v>
      </c>
      <c r="K7" s="447">
        <f>landbouw!K8</f>
        <v>0</v>
      </c>
      <c r="L7" s="447">
        <f>landbouw!L8</f>
        <v>0</v>
      </c>
      <c r="M7" s="447">
        <f>landbouw!M8</f>
        <v>0</v>
      </c>
      <c r="N7" s="447">
        <f>landbouw!N8</f>
        <v>0</v>
      </c>
      <c r="O7" s="447">
        <f>landbouw!O8</f>
        <v>0</v>
      </c>
      <c r="P7" s="448">
        <f>landbouw!P8</f>
        <v>0</v>
      </c>
      <c r="Q7" s="446">
        <f t="shared" si="0"/>
        <v>13138.831544517368</v>
      </c>
    </row>
    <row r="8" spans="1:17">
      <c r="A8" s="446" t="s">
        <v>637</v>
      </c>
      <c r="B8" s="447">
        <f>industrie!B18</f>
        <v>2005.705358002527</v>
      </c>
      <c r="C8" s="447">
        <f>industrie!C18</f>
        <v>0</v>
      </c>
      <c r="D8" s="447">
        <f>industrie!D18</f>
        <v>1462.8354627787789</v>
      </c>
      <c r="E8" s="447">
        <f>industrie!E18</f>
        <v>26.594992027612992</v>
      </c>
      <c r="F8" s="447">
        <f>industrie!F18</f>
        <v>877.65342860972419</v>
      </c>
      <c r="G8" s="447">
        <f>industrie!G18</f>
        <v>0</v>
      </c>
      <c r="H8" s="447">
        <f>industrie!H18</f>
        <v>0</v>
      </c>
      <c r="I8" s="447">
        <f>industrie!I18</f>
        <v>0</v>
      </c>
      <c r="J8" s="447">
        <f>industrie!J18</f>
        <v>5.9397214543707531</v>
      </c>
      <c r="K8" s="447">
        <f>industrie!K18</f>
        <v>0</v>
      </c>
      <c r="L8" s="447">
        <f>industrie!L18</f>
        <v>0</v>
      </c>
      <c r="M8" s="447">
        <f>industrie!M18</f>
        <v>0</v>
      </c>
      <c r="N8" s="447">
        <f>industrie!N18</f>
        <v>80.644138606759512</v>
      </c>
      <c r="O8" s="447">
        <f>industrie!O18</f>
        <v>0</v>
      </c>
      <c r="P8" s="448">
        <f>industrie!P18</f>
        <v>0</v>
      </c>
      <c r="Q8" s="446">
        <f t="shared" si="0"/>
        <v>4459.373101479774</v>
      </c>
    </row>
    <row r="9" spans="1:17" s="452" customFormat="1">
      <c r="A9" s="450" t="s">
        <v>556</v>
      </c>
      <c r="B9" s="451">
        <f>transport!B14</f>
        <v>1.2993379707171373</v>
      </c>
      <c r="C9" s="451">
        <f>transport!C14</f>
        <v>0</v>
      </c>
      <c r="D9" s="451">
        <f>transport!D14</f>
        <v>4.1577822240453237</v>
      </c>
      <c r="E9" s="451">
        <f>transport!E14</f>
        <v>447.03858329900771</v>
      </c>
      <c r="F9" s="451">
        <f>transport!F14</f>
        <v>0</v>
      </c>
      <c r="G9" s="451">
        <f>transport!G14</f>
        <v>97486.089837768668</v>
      </c>
      <c r="H9" s="451">
        <f>transport!H14</f>
        <v>13865.449873176</v>
      </c>
      <c r="I9" s="451">
        <f>transport!I14</f>
        <v>0</v>
      </c>
      <c r="J9" s="451">
        <f>transport!J14</f>
        <v>0</v>
      </c>
      <c r="K9" s="451">
        <f>transport!K14</f>
        <v>0</v>
      </c>
      <c r="L9" s="451">
        <f>transport!L14</f>
        <v>0</v>
      </c>
      <c r="M9" s="451">
        <f>transport!M14</f>
        <v>4837.778589159987</v>
      </c>
      <c r="N9" s="451">
        <f>transport!N14</f>
        <v>0</v>
      </c>
      <c r="O9" s="451">
        <f>transport!O14</f>
        <v>0</v>
      </c>
      <c r="P9" s="451">
        <f>transport!P14</f>
        <v>0</v>
      </c>
      <c r="Q9" s="450">
        <f>SUM(B9:P9)</f>
        <v>116641.81400359843</v>
      </c>
    </row>
    <row r="10" spans="1:17">
      <c r="A10" s="446" t="s">
        <v>546</v>
      </c>
      <c r="B10" s="447">
        <f>transport!B54</f>
        <v>3.3426460077555245</v>
      </c>
      <c r="C10" s="447">
        <f>transport!C54</f>
        <v>0</v>
      </c>
      <c r="D10" s="447">
        <f>transport!D54</f>
        <v>0</v>
      </c>
      <c r="E10" s="447">
        <f>transport!E54</f>
        <v>0</v>
      </c>
      <c r="F10" s="447">
        <f>transport!F54</f>
        <v>0</v>
      </c>
      <c r="G10" s="447">
        <f>transport!G54</f>
        <v>725.15349169011461</v>
      </c>
      <c r="H10" s="447">
        <f>transport!H54</f>
        <v>0</v>
      </c>
      <c r="I10" s="447">
        <f>transport!I54</f>
        <v>0</v>
      </c>
      <c r="J10" s="447">
        <f>transport!J54</f>
        <v>0</v>
      </c>
      <c r="K10" s="447">
        <f>transport!K54</f>
        <v>0</v>
      </c>
      <c r="L10" s="447">
        <f>transport!L54</f>
        <v>0</v>
      </c>
      <c r="M10" s="447">
        <f>transport!M54</f>
        <v>31.048287019025803</v>
      </c>
      <c r="N10" s="447">
        <f>transport!N54</f>
        <v>0</v>
      </c>
      <c r="O10" s="447">
        <f>transport!O54</f>
        <v>0</v>
      </c>
      <c r="P10" s="448">
        <f>transport!P54</f>
        <v>0</v>
      </c>
      <c r="Q10" s="446">
        <f t="shared" si="0"/>
        <v>759.54442471689595</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808.73643658428398</v>
      </c>
      <c r="C14" s="454"/>
      <c r="D14" s="454">
        <f>'SEAP template'!E25</f>
        <v>1882.6814411272701</v>
      </c>
      <c r="E14" s="454"/>
      <c r="F14" s="454"/>
      <c r="G14" s="454"/>
      <c r="H14" s="454"/>
      <c r="I14" s="454"/>
      <c r="J14" s="454"/>
      <c r="K14" s="454"/>
      <c r="L14" s="454"/>
      <c r="M14" s="454"/>
      <c r="N14" s="454"/>
      <c r="O14" s="454"/>
      <c r="P14" s="455"/>
      <c r="Q14" s="446">
        <f t="shared" si="0"/>
        <v>2691.417877711554</v>
      </c>
    </row>
    <row r="15" spans="1:17" s="459" customFormat="1">
      <c r="A15" s="456" t="s">
        <v>550</v>
      </c>
      <c r="B15" s="457">
        <f ca="1">SUM(B4:B14)</f>
        <v>34004.446594370755</v>
      </c>
      <c r="C15" s="457">
        <f t="shared" ref="C15:Q15" ca="1" si="1">SUM(C4:C14)</f>
        <v>0</v>
      </c>
      <c r="D15" s="457">
        <f t="shared" ca="1" si="1"/>
        <v>54526.104660747558</v>
      </c>
      <c r="E15" s="457">
        <f t="shared" si="1"/>
        <v>1674.4186878385003</v>
      </c>
      <c r="F15" s="457">
        <f t="shared" ca="1" si="1"/>
        <v>45344.395641738221</v>
      </c>
      <c r="G15" s="457">
        <f t="shared" si="1"/>
        <v>98211.243329458783</v>
      </c>
      <c r="H15" s="457">
        <f t="shared" si="1"/>
        <v>13865.449873176</v>
      </c>
      <c r="I15" s="457">
        <f t="shared" si="1"/>
        <v>0</v>
      </c>
      <c r="J15" s="457">
        <f t="shared" si="1"/>
        <v>955.11203952351605</v>
      </c>
      <c r="K15" s="457">
        <f t="shared" si="1"/>
        <v>0</v>
      </c>
      <c r="L15" s="457">
        <f t="shared" ca="1" si="1"/>
        <v>0</v>
      </c>
      <c r="M15" s="457">
        <f t="shared" si="1"/>
        <v>4868.8268761790132</v>
      </c>
      <c r="N15" s="457">
        <f t="shared" ca="1" si="1"/>
        <v>5616.4525071831249</v>
      </c>
      <c r="O15" s="457">
        <f t="shared" si="1"/>
        <v>85.983333333333334</v>
      </c>
      <c r="P15" s="457">
        <f t="shared" si="1"/>
        <v>495.73333333333335</v>
      </c>
      <c r="Q15" s="457">
        <f t="shared" ca="1" si="1"/>
        <v>259648.16687688217</v>
      </c>
    </row>
    <row r="17" spans="1:17">
      <c r="A17" s="460" t="s">
        <v>551</v>
      </c>
      <c r="B17" s="764">
        <f ca="1">huishoudens!B10</f>
        <v>0.2075409795046903</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4121.8896456976836</v>
      </c>
      <c r="C22" s="447">
        <f t="shared" ref="C22:C32" ca="1" si="3">C4*$C$17</f>
        <v>0</v>
      </c>
      <c r="D22" s="447">
        <f t="shared" ref="D22:D32" si="4">D4*$D$17</f>
        <v>8210.468454532358</v>
      </c>
      <c r="E22" s="447">
        <f t="shared" ref="E22:E32" si="5">E4*$E$17</f>
        <v>216.88105601509446</v>
      </c>
      <c r="F22" s="447">
        <f t="shared" ref="F22:F32" si="6">F4*$F$17</f>
        <v>8707.6154512521025</v>
      </c>
      <c r="G22" s="447">
        <f t="shared" ref="G22:G32" si="7">G4*$G$17</f>
        <v>0</v>
      </c>
      <c r="H22" s="447">
        <f t="shared" ref="H22:H32" si="8">H4*$H$17</f>
        <v>0</v>
      </c>
      <c r="I22" s="447">
        <f t="shared" ref="I22:I32" si="9">I4*$I$17</f>
        <v>0</v>
      </c>
      <c r="J22" s="447">
        <f t="shared" ref="J22:J32" si="10">J4*$J$17</f>
        <v>259.96251675785658</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21516.817124255096</v>
      </c>
    </row>
    <row r="23" spans="1:17">
      <c r="A23" s="446" t="s">
        <v>149</v>
      </c>
      <c r="B23" s="447">
        <f t="shared" ca="1" si="2"/>
        <v>1741.942048396558</v>
      </c>
      <c r="C23" s="447">
        <f t="shared" ca="1" si="3"/>
        <v>0</v>
      </c>
      <c r="D23" s="447">
        <f t="shared" ca="1" si="4"/>
        <v>2087.3740586091612</v>
      </c>
      <c r="E23" s="447">
        <f t="shared" si="5"/>
        <v>49.979299806798792</v>
      </c>
      <c r="F23" s="447">
        <f t="shared" ca="1" si="6"/>
        <v>415.83512604530188</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4295.1305328578201</v>
      </c>
    </row>
    <row r="24" spans="1:17">
      <c r="A24" s="446" t="s">
        <v>187</v>
      </c>
      <c r="B24" s="447">
        <f t="shared" ca="1" si="2"/>
        <v>109.21055390712209</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109.21055390712209</v>
      </c>
    </row>
    <row r="25" spans="1:17">
      <c r="A25" s="446" t="s">
        <v>105</v>
      </c>
      <c r="B25" s="447">
        <f t="shared" ca="1" si="2"/>
        <v>499.19849700005187</v>
      </c>
      <c r="C25" s="447">
        <f t="shared" ca="1" si="3"/>
        <v>0</v>
      </c>
      <c r="D25" s="447">
        <f t="shared" si="4"/>
        <v>39.796341731208258</v>
      </c>
      <c r="E25" s="447">
        <f t="shared" si="5"/>
        <v>5.7178647183034208</v>
      </c>
      <c r="F25" s="447">
        <f t="shared" si="6"/>
        <v>2749.169593607905</v>
      </c>
      <c r="G25" s="447">
        <f t="shared" si="7"/>
        <v>0</v>
      </c>
      <c r="H25" s="447">
        <f t="shared" si="8"/>
        <v>0</v>
      </c>
      <c r="I25" s="447">
        <f t="shared" si="9"/>
        <v>0</v>
      </c>
      <c r="J25" s="447">
        <f t="shared" si="10"/>
        <v>76.044483838620849</v>
      </c>
      <c r="K25" s="447">
        <f t="shared" si="11"/>
        <v>0</v>
      </c>
      <c r="L25" s="447">
        <f t="shared" si="12"/>
        <v>0</v>
      </c>
      <c r="M25" s="447">
        <f t="shared" si="13"/>
        <v>0</v>
      </c>
      <c r="N25" s="447">
        <f t="shared" si="14"/>
        <v>0</v>
      </c>
      <c r="O25" s="447">
        <f t="shared" si="15"/>
        <v>0</v>
      </c>
      <c r="P25" s="448">
        <f t="shared" si="16"/>
        <v>0</v>
      </c>
      <c r="Q25" s="446">
        <f t="shared" ca="1" si="17"/>
        <v>3369.926780896089</v>
      </c>
    </row>
    <row r="26" spans="1:17">
      <c r="A26" s="446" t="s">
        <v>637</v>
      </c>
      <c r="B26" s="447">
        <f t="shared" ca="1" si="2"/>
        <v>416.26605459765</v>
      </c>
      <c r="C26" s="447">
        <f t="shared" ca="1" si="3"/>
        <v>0</v>
      </c>
      <c r="D26" s="447">
        <f t="shared" si="4"/>
        <v>295.49276348131337</v>
      </c>
      <c r="E26" s="447">
        <f t="shared" si="5"/>
        <v>6.0370631902681495</v>
      </c>
      <c r="F26" s="447">
        <f t="shared" si="6"/>
        <v>234.33346543879637</v>
      </c>
      <c r="G26" s="447">
        <f t="shared" si="7"/>
        <v>0</v>
      </c>
      <c r="H26" s="447">
        <f t="shared" si="8"/>
        <v>0</v>
      </c>
      <c r="I26" s="447">
        <f t="shared" si="9"/>
        <v>0</v>
      </c>
      <c r="J26" s="447">
        <f t="shared" si="10"/>
        <v>2.1026613948472463</v>
      </c>
      <c r="K26" s="447">
        <f t="shared" si="11"/>
        <v>0</v>
      </c>
      <c r="L26" s="447">
        <f t="shared" si="12"/>
        <v>0</v>
      </c>
      <c r="M26" s="447">
        <f t="shared" si="13"/>
        <v>0</v>
      </c>
      <c r="N26" s="447">
        <f t="shared" si="14"/>
        <v>0</v>
      </c>
      <c r="O26" s="447">
        <f t="shared" si="15"/>
        <v>0</v>
      </c>
      <c r="P26" s="448">
        <f t="shared" si="16"/>
        <v>0</v>
      </c>
      <c r="Q26" s="446">
        <f t="shared" ca="1" si="17"/>
        <v>954.23200810287506</v>
      </c>
    </row>
    <row r="27" spans="1:17" s="452" customFormat="1">
      <c r="A27" s="450" t="s">
        <v>556</v>
      </c>
      <c r="B27" s="758">
        <f t="shared" ca="1" si="2"/>
        <v>0.26966587515027129</v>
      </c>
      <c r="C27" s="451">
        <f t="shared" ca="1" si="3"/>
        <v>0</v>
      </c>
      <c r="D27" s="451">
        <f t="shared" si="4"/>
        <v>0.83987200925715544</v>
      </c>
      <c r="E27" s="451">
        <f t="shared" si="5"/>
        <v>101.47775840887475</v>
      </c>
      <c r="F27" s="451">
        <f t="shared" si="6"/>
        <v>0</v>
      </c>
      <c r="G27" s="451">
        <f t="shared" si="7"/>
        <v>26028.785986684237</v>
      </c>
      <c r="H27" s="451">
        <f t="shared" si="8"/>
        <v>3452.4970184208237</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29583.870301398343</v>
      </c>
    </row>
    <row r="28" spans="1:17">
      <c r="A28" s="446" t="s">
        <v>546</v>
      </c>
      <c r="B28" s="447">
        <f t="shared" ca="1" si="2"/>
        <v>0.69373602658702416</v>
      </c>
      <c r="C28" s="447">
        <f t="shared" ca="1" si="3"/>
        <v>0</v>
      </c>
      <c r="D28" s="447">
        <f t="shared" si="4"/>
        <v>0</v>
      </c>
      <c r="E28" s="447">
        <f t="shared" si="5"/>
        <v>0</v>
      </c>
      <c r="F28" s="447">
        <f t="shared" si="6"/>
        <v>0</v>
      </c>
      <c r="G28" s="447">
        <f t="shared" si="7"/>
        <v>193.61598228126061</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194.30971830784765</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167.84595220983516</v>
      </c>
      <c r="C32" s="447">
        <f t="shared" ca="1" si="3"/>
        <v>0</v>
      </c>
      <c r="D32" s="447">
        <f t="shared" si="4"/>
        <v>380.30165110770861</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548.14760331754383</v>
      </c>
    </row>
    <row r="33" spans="1:17" s="459" customFormat="1">
      <c r="A33" s="456" t="s">
        <v>550</v>
      </c>
      <c r="B33" s="457">
        <f ca="1">SUM(B22:B32)</f>
        <v>7057.316153710638</v>
      </c>
      <c r="C33" s="457">
        <f t="shared" ref="C33:Q33" ca="1" si="19">SUM(C22:C32)</f>
        <v>0</v>
      </c>
      <c r="D33" s="457">
        <f t="shared" ca="1" si="19"/>
        <v>11014.273141471007</v>
      </c>
      <c r="E33" s="457">
        <f t="shared" si="19"/>
        <v>380.09304213933956</v>
      </c>
      <c r="F33" s="457">
        <f t="shared" ca="1" si="19"/>
        <v>12106.953636344106</v>
      </c>
      <c r="G33" s="457">
        <f t="shared" si="19"/>
        <v>26222.4019689655</v>
      </c>
      <c r="H33" s="457">
        <f t="shared" si="19"/>
        <v>3452.4970184208237</v>
      </c>
      <c r="I33" s="457">
        <f t="shared" si="19"/>
        <v>0</v>
      </c>
      <c r="J33" s="457">
        <f t="shared" si="19"/>
        <v>338.10966199132469</v>
      </c>
      <c r="K33" s="457">
        <f t="shared" si="19"/>
        <v>0</v>
      </c>
      <c r="L33" s="457">
        <f t="shared" ca="1" si="19"/>
        <v>0</v>
      </c>
      <c r="M33" s="457">
        <f t="shared" si="19"/>
        <v>0</v>
      </c>
      <c r="N33" s="457">
        <f t="shared" ca="1" si="19"/>
        <v>0</v>
      </c>
      <c r="O33" s="457">
        <f t="shared" si="19"/>
        <v>0</v>
      </c>
      <c r="P33" s="457">
        <f t="shared" si="19"/>
        <v>0</v>
      </c>
      <c r="Q33" s="457">
        <f t="shared" ca="1" si="19"/>
        <v>60571.644623042739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2070.8893377615432</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0</v>
      </c>
      <c r="D8" s="1006">
        <f>'SEAP template'!D76</f>
        <v>0</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0</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2070.8893377615432</v>
      </c>
      <c r="C10" s="1010">
        <f>SUM(C4:C9)</f>
        <v>0</v>
      </c>
      <c r="D10" s="1010">
        <f t="shared" ref="D10:H10" si="0">SUM(D8:D9)</f>
        <v>0</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0</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0.2075409795046903</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0</v>
      </c>
      <c r="D17" s="1007">
        <f>'SEAP template'!D87</f>
        <v>0</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0</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0</v>
      </c>
      <c r="D20" s="1010">
        <f t="shared" ref="D20:H20" si="2">SUM(D17:D19)</f>
        <v>0</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0</v>
      </c>
    </row>
    <row r="22" spans="1:16">
      <c r="A22" s="460" t="s">
        <v>910</v>
      </c>
      <c r="B22" s="764" t="s">
        <v>904</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0.2075409795046903</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0.2075409795046903</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0.2075409795046903</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4272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2750</v>
      </c>
      <c r="C14" s="326"/>
      <c r="D14" s="326"/>
      <c r="E14" s="326"/>
      <c r="F14" s="326"/>
    </row>
    <row r="15" spans="1:6">
      <c r="A15" s="1280" t="s">
        <v>177</v>
      </c>
      <c r="B15" s="1281">
        <v>12445</v>
      </c>
      <c r="C15" s="326"/>
      <c r="D15" s="326"/>
      <c r="E15" s="326"/>
      <c r="F15" s="326"/>
    </row>
    <row r="16" spans="1:6">
      <c r="A16" s="1280" t="s">
        <v>6</v>
      </c>
      <c r="B16" s="1281">
        <v>1556</v>
      </c>
      <c r="C16" s="326"/>
      <c r="D16" s="326"/>
      <c r="E16" s="326"/>
      <c r="F16" s="326"/>
    </row>
    <row r="17" spans="1:6">
      <c r="A17" s="1280" t="s">
        <v>7</v>
      </c>
      <c r="B17" s="1281">
        <v>311</v>
      </c>
      <c r="C17" s="326"/>
      <c r="D17" s="326"/>
      <c r="E17" s="326"/>
      <c r="F17" s="326"/>
    </row>
    <row r="18" spans="1:6">
      <c r="A18" s="1280" t="s">
        <v>8</v>
      </c>
      <c r="B18" s="1281">
        <v>872</v>
      </c>
      <c r="C18" s="326"/>
      <c r="D18" s="326"/>
      <c r="E18" s="326"/>
      <c r="F18" s="326"/>
    </row>
    <row r="19" spans="1:6">
      <c r="A19" s="1280" t="s">
        <v>9</v>
      </c>
      <c r="B19" s="1281">
        <v>840</v>
      </c>
      <c r="C19" s="326"/>
      <c r="D19" s="326"/>
      <c r="E19" s="326"/>
      <c r="F19" s="326"/>
    </row>
    <row r="20" spans="1:6">
      <c r="A20" s="1280" t="s">
        <v>10</v>
      </c>
      <c r="B20" s="1281">
        <v>488</v>
      </c>
      <c r="C20" s="326"/>
      <c r="D20" s="326"/>
      <c r="E20" s="326"/>
      <c r="F20" s="326"/>
    </row>
    <row r="21" spans="1:6">
      <c r="A21" s="1280" t="s">
        <v>11</v>
      </c>
      <c r="B21" s="1281">
        <v>6948</v>
      </c>
      <c r="C21" s="326"/>
      <c r="D21" s="326"/>
      <c r="E21" s="326"/>
      <c r="F21" s="326"/>
    </row>
    <row r="22" spans="1:6">
      <c r="A22" s="1280" t="s">
        <v>12</v>
      </c>
      <c r="B22" s="1281">
        <v>16244</v>
      </c>
      <c r="C22" s="326"/>
      <c r="D22" s="326"/>
      <c r="E22" s="326"/>
      <c r="F22" s="326"/>
    </row>
    <row r="23" spans="1:6">
      <c r="A23" s="1280" t="s">
        <v>13</v>
      </c>
      <c r="B23" s="1281">
        <v>367</v>
      </c>
      <c r="C23" s="326"/>
      <c r="D23" s="326"/>
      <c r="E23" s="326"/>
      <c r="F23" s="326"/>
    </row>
    <row r="24" spans="1:6">
      <c r="A24" s="1280" t="s">
        <v>14</v>
      </c>
      <c r="B24" s="1281">
        <v>17</v>
      </c>
      <c r="C24" s="326"/>
      <c r="D24" s="326"/>
      <c r="E24" s="326"/>
      <c r="F24" s="326"/>
    </row>
    <row r="25" spans="1:6">
      <c r="A25" s="1280" t="s">
        <v>15</v>
      </c>
      <c r="B25" s="1281">
        <v>1911</v>
      </c>
      <c r="C25" s="326"/>
      <c r="D25" s="326"/>
      <c r="E25" s="326"/>
      <c r="F25" s="326"/>
    </row>
    <row r="26" spans="1:6">
      <c r="A26" s="1280" t="s">
        <v>16</v>
      </c>
      <c r="B26" s="1281">
        <v>66</v>
      </c>
      <c r="C26" s="326"/>
      <c r="D26" s="326"/>
      <c r="E26" s="326"/>
      <c r="F26" s="326"/>
    </row>
    <row r="27" spans="1:6">
      <c r="A27" s="1280" t="s">
        <v>17</v>
      </c>
      <c r="B27" s="1281">
        <v>2414</v>
      </c>
      <c r="C27" s="326"/>
      <c r="D27" s="326"/>
      <c r="E27" s="326"/>
      <c r="F27" s="326"/>
    </row>
    <row r="28" spans="1:6">
      <c r="A28" s="1280" t="s">
        <v>18</v>
      </c>
      <c r="B28" s="1282">
        <v>49403</v>
      </c>
      <c r="C28" s="326"/>
      <c r="D28" s="326"/>
      <c r="E28" s="326"/>
      <c r="F28" s="326"/>
    </row>
    <row r="29" spans="1:6">
      <c r="A29" s="1280" t="s">
        <v>972</v>
      </c>
      <c r="B29" s="1282">
        <v>72</v>
      </c>
      <c r="C29" s="326"/>
      <c r="D29" s="326"/>
      <c r="E29" s="326"/>
      <c r="F29" s="326"/>
    </row>
    <row r="30" spans="1:6">
      <c r="A30" s="1275" t="s">
        <v>973</v>
      </c>
      <c r="B30" s="1283">
        <v>30</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0</v>
      </c>
      <c r="F36" s="1281">
        <v>0</v>
      </c>
    </row>
    <row r="37" spans="1:6">
      <c r="A37" s="1280" t="s">
        <v>24</v>
      </c>
      <c r="B37" s="1280" t="s">
        <v>27</v>
      </c>
      <c r="C37" s="1281">
        <v>0</v>
      </c>
      <c r="D37" s="1281">
        <v>0</v>
      </c>
      <c r="E37" s="1281">
        <v>0</v>
      </c>
      <c r="F37" s="1281">
        <v>0</v>
      </c>
    </row>
    <row r="38" spans="1:6">
      <c r="A38" s="1280" t="s">
        <v>24</v>
      </c>
      <c r="B38" s="1280" t="s">
        <v>28</v>
      </c>
      <c r="C38" s="1281">
        <v>0</v>
      </c>
      <c r="D38" s="1281">
        <v>0</v>
      </c>
      <c r="E38" s="1281">
        <v>1</v>
      </c>
      <c r="F38" s="1281">
        <v>10584.0748267853</v>
      </c>
    </row>
    <row r="39" spans="1:6">
      <c r="A39" s="1280" t="s">
        <v>29</v>
      </c>
      <c r="B39" s="1280" t="s">
        <v>30</v>
      </c>
      <c r="C39" s="1281">
        <v>2387</v>
      </c>
      <c r="D39" s="1281">
        <v>45032542.114825301</v>
      </c>
      <c r="E39" s="1281">
        <v>4167</v>
      </c>
      <c r="F39" s="1281">
        <v>18071780.6364526</v>
      </c>
    </row>
    <row r="40" spans="1:6">
      <c r="A40" s="1280" t="s">
        <v>29</v>
      </c>
      <c r="B40" s="1280" t="s">
        <v>28</v>
      </c>
      <c r="C40" s="1281">
        <v>1</v>
      </c>
      <c r="D40" s="1281">
        <v>29412.916526141998</v>
      </c>
      <c r="E40" s="1281">
        <v>1</v>
      </c>
      <c r="F40" s="1281">
        <v>14029.039064721001</v>
      </c>
    </row>
    <row r="41" spans="1:6">
      <c r="A41" s="1280" t="s">
        <v>31</v>
      </c>
      <c r="B41" s="1280" t="s">
        <v>32</v>
      </c>
      <c r="C41" s="1281">
        <v>18</v>
      </c>
      <c r="D41" s="1281">
        <v>612718.36876614403</v>
      </c>
      <c r="E41" s="1281">
        <v>68</v>
      </c>
      <c r="F41" s="1281">
        <v>851562.31761173601</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0</v>
      </c>
      <c r="D44" s="1281">
        <v>0</v>
      </c>
      <c r="E44" s="1281">
        <v>0</v>
      </c>
      <c r="F44" s="1281">
        <v>0</v>
      </c>
    </row>
    <row r="45" spans="1:6">
      <c r="A45" s="1280" t="s">
        <v>31</v>
      </c>
      <c r="B45" s="1280" t="s">
        <v>36</v>
      </c>
      <c r="C45" s="1281">
        <v>0</v>
      </c>
      <c r="D45" s="1281">
        <v>0</v>
      </c>
      <c r="E45" s="1281">
        <v>0</v>
      </c>
      <c r="F45" s="1281">
        <v>0</v>
      </c>
    </row>
    <row r="46" spans="1:6">
      <c r="A46" s="1280" t="s">
        <v>31</v>
      </c>
      <c r="B46" s="1280" t="s">
        <v>37</v>
      </c>
      <c r="C46" s="1281">
        <v>0</v>
      </c>
      <c r="D46" s="1281">
        <v>0</v>
      </c>
      <c r="E46" s="1281">
        <v>0</v>
      </c>
      <c r="F46" s="1281">
        <v>0</v>
      </c>
    </row>
    <row r="47" spans="1:6">
      <c r="A47" s="1280" t="s">
        <v>31</v>
      </c>
      <c r="B47" s="1280" t="s">
        <v>38</v>
      </c>
      <c r="C47" s="1281">
        <v>0</v>
      </c>
      <c r="D47" s="1281">
        <v>0</v>
      </c>
      <c r="E47" s="1281">
        <v>6</v>
      </c>
      <c r="F47" s="1281">
        <v>83951.754519573195</v>
      </c>
    </row>
    <row r="48" spans="1:6">
      <c r="A48" s="1280" t="s">
        <v>31</v>
      </c>
      <c r="B48" s="1280" t="s">
        <v>28</v>
      </c>
      <c r="C48" s="1281">
        <v>11</v>
      </c>
      <c r="D48" s="1281">
        <v>509173.49730959901</v>
      </c>
      <c r="E48" s="1281">
        <v>20</v>
      </c>
      <c r="F48" s="1281">
        <v>556534.43260756903</v>
      </c>
    </row>
    <row r="49" spans="1:6">
      <c r="A49" s="1280" t="s">
        <v>31</v>
      </c>
      <c r="B49" s="1280" t="s">
        <v>39</v>
      </c>
      <c r="C49" s="1281">
        <v>0</v>
      </c>
      <c r="D49" s="1281">
        <v>0</v>
      </c>
      <c r="E49" s="1281">
        <v>0</v>
      </c>
      <c r="F49" s="1281">
        <v>0</v>
      </c>
    </row>
    <row r="50" spans="1:6">
      <c r="A50" s="1280" t="s">
        <v>31</v>
      </c>
      <c r="B50" s="1280" t="s">
        <v>40</v>
      </c>
      <c r="C50" s="1281">
        <v>6</v>
      </c>
      <c r="D50" s="1281">
        <v>499876.93966569699</v>
      </c>
      <c r="E50" s="1281">
        <v>7</v>
      </c>
      <c r="F50" s="1281">
        <v>513656.85326364898</v>
      </c>
    </row>
    <row r="51" spans="1:6">
      <c r="A51" s="1280" t="s">
        <v>41</v>
      </c>
      <c r="B51" s="1280" t="s">
        <v>42</v>
      </c>
      <c r="C51" s="1281">
        <v>0</v>
      </c>
      <c r="D51" s="1281">
        <v>0</v>
      </c>
      <c r="E51" s="1281">
        <v>101</v>
      </c>
      <c r="F51" s="1281">
        <v>2157832.26235461</v>
      </c>
    </row>
    <row r="52" spans="1:6">
      <c r="A52" s="1280" t="s">
        <v>41</v>
      </c>
      <c r="B52" s="1280" t="s">
        <v>28</v>
      </c>
      <c r="C52" s="1281">
        <v>7</v>
      </c>
      <c r="D52" s="1281">
        <v>218416.39992101301</v>
      </c>
      <c r="E52" s="1281">
        <v>12</v>
      </c>
      <c r="F52" s="1281">
        <v>247468.60011323</v>
      </c>
    </row>
    <row r="53" spans="1:6">
      <c r="A53" s="1280" t="s">
        <v>43</v>
      </c>
      <c r="B53" s="1280" t="s">
        <v>44</v>
      </c>
      <c r="C53" s="1281">
        <v>86</v>
      </c>
      <c r="D53" s="1281">
        <v>1882681.44112727</v>
      </c>
      <c r="E53" s="1281">
        <v>152</v>
      </c>
      <c r="F53" s="1281">
        <v>808736.43658428395</v>
      </c>
    </row>
    <row r="54" spans="1:6">
      <c r="A54" s="1280" t="s">
        <v>45</v>
      </c>
      <c r="B54" s="1280" t="s">
        <v>46</v>
      </c>
      <c r="C54" s="1281">
        <v>0</v>
      </c>
      <c r="D54" s="1281">
        <v>0</v>
      </c>
      <c r="E54" s="1281">
        <v>1</v>
      </c>
      <c r="F54" s="1281">
        <v>526212</v>
      </c>
    </row>
    <row r="55" spans="1:6">
      <c r="A55" s="1280" t="s">
        <v>45</v>
      </c>
      <c r="B55" s="1280" t="s">
        <v>28</v>
      </c>
      <c r="C55" s="1281">
        <v>0</v>
      </c>
      <c r="D55" s="1281">
        <v>0</v>
      </c>
      <c r="E55" s="1281">
        <v>0</v>
      </c>
      <c r="F55" s="1281">
        <v>0</v>
      </c>
    </row>
    <row r="56" spans="1:6">
      <c r="A56" s="1280" t="s">
        <v>47</v>
      </c>
      <c r="B56" s="1280" t="s">
        <v>28</v>
      </c>
      <c r="C56" s="1281">
        <v>0</v>
      </c>
      <c r="D56" s="1281">
        <v>0</v>
      </c>
      <c r="E56" s="1281">
        <v>0</v>
      </c>
      <c r="F56" s="1281">
        <v>0</v>
      </c>
    </row>
    <row r="57" spans="1:6">
      <c r="A57" s="1280" t="s">
        <v>48</v>
      </c>
      <c r="B57" s="1280" t="s">
        <v>49</v>
      </c>
      <c r="C57" s="1281">
        <v>8</v>
      </c>
      <c r="D57" s="1281">
        <v>227193.32505113599</v>
      </c>
      <c r="E57" s="1281">
        <v>69</v>
      </c>
      <c r="F57" s="1281">
        <v>1143240.9706596399</v>
      </c>
    </row>
    <row r="58" spans="1:6">
      <c r="A58" s="1280" t="s">
        <v>48</v>
      </c>
      <c r="B58" s="1280" t="s">
        <v>50</v>
      </c>
      <c r="C58" s="1281">
        <v>5</v>
      </c>
      <c r="D58" s="1281">
        <v>143466.80500406501</v>
      </c>
      <c r="E58" s="1281">
        <v>11</v>
      </c>
      <c r="F58" s="1281">
        <v>80144.950586944804</v>
      </c>
    </row>
    <row r="59" spans="1:6">
      <c r="A59" s="1280" t="s">
        <v>48</v>
      </c>
      <c r="B59" s="1280" t="s">
        <v>51</v>
      </c>
      <c r="C59" s="1281">
        <v>29</v>
      </c>
      <c r="D59" s="1281">
        <v>1362019.43642082</v>
      </c>
      <c r="E59" s="1281">
        <v>85</v>
      </c>
      <c r="F59" s="1281">
        <v>2059075.6546945099</v>
      </c>
    </row>
    <row r="60" spans="1:6">
      <c r="A60" s="1280" t="s">
        <v>48</v>
      </c>
      <c r="B60" s="1280" t="s">
        <v>52</v>
      </c>
      <c r="C60" s="1281">
        <v>34</v>
      </c>
      <c r="D60" s="1281">
        <v>1389238.6047201599</v>
      </c>
      <c r="E60" s="1281">
        <v>55</v>
      </c>
      <c r="F60" s="1281">
        <v>1908511.41598115</v>
      </c>
    </row>
    <row r="61" spans="1:6">
      <c r="A61" s="1280" t="s">
        <v>48</v>
      </c>
      <c r="B61" s="1280" t="s">
        <v>53</v>
      </c>
      <c r="C61" s="1281">
        <v>74</v>
      </c>
      <c r="D61" s="1281">
        <v>3768636.3056487199</v>
      </c>
      <c r="E61" s="1281">
        <v>125</v>
      </c>
      <c r="F61" s="1281">
        <v>2074617.7497815599</v>
      </c>
    </row>
    <row r="62" spans="1:6">
      <c r="A62" s="1280" t="s">
        <v>48</v>
      </c>
      <c r="B62" s="1280" t="s">
        <v>54</v>
      </c>
      <c r="C62" s="1281">
        <v>3</v>
      </c>
      <c r="D62" s="1281">
        <v>319668.353552552</v>
      </c>
      <c r="E62" s="1281">
        <v>5</v>
      </c>
      <c r="F62" s="1281">
        <v>90425.07038669</v>
      </c>
    </row>
    <row r="63" spans="1:6">
      <c r="A63" s="1280" t="s">
        <v>48</v>
      </c>
      <c r="B63" s="1280" t="s">
        <v>28</v>
      </c>
      <c r="C63" s="1281">
        <v>89</v>
      </c>
      <c r="D63" s="1281">
        <v>4246024.3354669698</v>
      </c>
      <c r="E63" s="1281">
        <v>80</v>
      </c>
      <c r="F63" s="1281">
        <v>1037228.03090289</v>
      </c>
    </row>
    <row r="64" spans="1:6">
      <c r="A64" s="1280" t="s">
        <v>55</v>
      </c>
      <c r="B64" s="1280" t="s">
        <v>56</v>
      </c>
      <c r="C64" s="1281">
        <v>0</v>
      </c>
      <c r="D64" s="1281">
        <v>0</v>
      </c>
      <c r="E64" s="1281">
        <v>0</v>
      </c>
      <c r="F64" s="1281">
        <v>0</v>
      </c>
    </row>
    <row r="65" spans="1:6">
      <c r="A65" s="1280" t="s">
        <v>55</v>
      </c>
      <c r="B65" s="1280" t="s">
        <v>28</v>
      </c>
      <c r="C65" s="1281">
        <v>1</v>
      </c>
      <c r="D65" s="1281">
        <v>5851.8317513804004</v>
      </c>
      <c r="E65" s="1281">
        <v>2</v>
      </c>
      <c r="F65" s="1281">
        <v>7483.3779081234998</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0</v>
      </c>
      <c r="D68" s="1283">
        <v>0</v>
      </c>
      <c r="E68" s="1283">
        <v>3</v>
      </c>
      <c r="F68" s="1283">
        <v>45137.496717956899</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76904791</v>
      </c>
      <c r="E73" s="445"/>
      <c r="F73" s="326"/>
    </row>
    <row r="74" spans="1:6">
      <c r="A74" s="1280" t="s">
        <v>63</v>
      </c>
      <c r="B74" s="1280" t="s">
        <v>754</v>
      </c>
      <c r="C74" s="1293" t="s">
        <v>755</v>
      </c>
      <c r="D74" s="1281">
        <v>6023345.5324375844</v>
      </c>
      <c r="E74" s="445"/>
      <c r="F74" s="326"/>
    </row>
    <row r="75" spans="1:6">
      <c r="A75" s="1280" t="s">
        <v>64</v>
      </c>
      <c r="B75" s="1280" t="s">
        <v>752</v>
      </c>
      <c r="C75" s="1293" t="s">
        <v>756</v>
      </c>
      <c r="D75" s="1281">
        <v>14262340</v>
      </c>
      <c r="E75" s="445"/>
      <c r="F75" s="326"/>
    </row>
    <row r="76" spans="1:6">
      <c r="A76" s="1280" t="s">
        <v>64</v>
      </c>
      <c r="B76" s="1280" t="s">
        <v>754</v>
      </c>
      <c r="C76" s="1293" t="s">
        <v>757</v>
      </c>
      <c r="D76" s="1281">
        <v>476313.53243758477</v>
      </c>
      <c r="E76" s="445"/>
      <c r="F76" s="326"/>
    </row>
    <row r="77" spans="1:6">
      <c r="A77" s="1280" t="s">
        <v>65</v>
      </c>
      <c r="B77" s="1280" t="s">
        <v>752</v>
      </c>
      <c r="C77" s="1293" t="s">
        <v>758</v>
      </c>
      <c r="D77" s="1281">
        <v>23594518</v>
      </c>
      <c r="E77" s="445"/>
      <c r="F77" s="326"/>
    </row>
    <row r="78" spans="1:6">
      <c r="A78" s="1275" t="s">
        <v>65</v>
      </c>
      <c r="B78" s="1275" t="s">
        <v>754</v>
      </c>
      <c r="C78" s="1275" t="s">
        <v>759</v>
      </c>
      <c r="D78" s="1283">
        <v>8720029</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198888.93512483043</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1774.7964348269322</v>
      </c>
      <c r="C91" s="326"/>
      <c r="D91" s="326"/>
      <c r="E91" s="326"/>
      <c r="F91" s="326"/>
    </row>
    <row r="92" spans="1:6">
      <c r="A92" s="1275" t="s">
        <v>68</v>
      </c>
      <c r="B92" s="1276">
        <v>296.09290293461089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1341</v>
      </c>
      <c r="C97" s="326"/>
      <c r="D97" s="326"/>
      <c r="E97" s="326"/>
      <c r="F97" s="326"/>
    </row>
    <row r="98" spans="1:6">
      <c r="A98" s="1280" t="s">
        <v>71</v>
      </c>
      <c r="B98" s="1281">
        <v>4</v>
      </c>
      <c r="C98" s="326"/>
      <c r="D98" s="326"/>
      <c r="E98" s="326"/>
      <c r="F98" s="326"/>
    </row>
    <row r="99" spans="1:6">
      <c r="A99" s="1280" t="s">
        <v>72</v>
      </c>
      <c r="B99" s="1281">
        <v>27</v>
      </c>
      <c r="C99" s="326"/>
      <c r="D99" s="326"/>
      <c r="E99" s="326"/>
      <c r="F99" s="326"/>
    </row>
    <row r="100" spans="1:6">
      <c r="A100" s="1280" t="s">
        <v>73</v>
      </c>
      <c r="B100" s="1281">
        <v>137</v>
      </c>
      <c r="C100" s="326"/>
      <c r="D100" s="326"/>
      <c r="E100" s="326"/>
      <c r="F100" s="326"/>
    </row>
    <row r="101" spans="1:6">
      <c r="A101" s="1280" t="s">
        <v>74</v>
      </c>
      <c r="B101" s="1281">
        <v>112</v>
      </c>
      <c r="C101" s="326"/>
      <c r="D101" s="326"/>
      <c r="E101" s="326"/>
      <c r="F101" s="326"/>
    </row>
    <row r="102" spans="1:6">
      <c r="A102" s="1280" t="s">
        <v>75</v>
      </c>
      <c r="B102" s="1281">
        <v>26</v>
      </c>
      <c r="C102" s="326"/>
      <c r="D102" s="326"/>
      <c r="E102" s="326"/>
      <c r="F102" s="326"/>
    </row>
    <row r="103" spans="1:6">
      <c r="A103" s="1280" t="s">
        <v>76</v>
      </c>
      <c r="B103" s="1281">
        <v>61</v>
      </c>
      <c r="C103" s="326"/>
      <c r="D103" s="326"/>
      <c r="E103" s="326"/>
      <c r="F103" s="326"/>
    </row>
    <row r="104" spans="1:6">
      <c r="A104" s="1280" t="s">
        <v>77</v>
      </c>
      <c r="B104" s="1281">
        <v>1935</v>
      </c>
      <c r="C104" s="326"/>
      <c r="D104" s="326"/>
      <c r="E104" s="326"/>
      <c r="F104" s="326"/>
    </row>
    <row r="105" spans="1:6">
      <c r="A105" s="1275" t="s">
        <v>78</v>
      </c>
      <c r="B105" s="1283">
        <v>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7</v>
      </c>
      <c r="C123" s="1281">
        <v>6</v>
      </c>
      <c r="D123" s="326"/>
      <c r="E123" s="326"/>
      <c r="F123" s="326"/>
    </row>
    <row r="124" spans="1:6">
      <c r="A124" s="1280" t="s">
        <v>88</v>
      </c>
      <c r="B124" s="1281">
        <v>0</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48</v>
      </c>
      <c r="C129" s="326"/>
      <c r="D129" s="326"/>
      <c r="E129" s="326"/>
      <c r="F129" s="326"/>
    </row>
    <row r="130" spans="1:6">
      <c r="A130" s="1280" t="s">
        <v>284</v>
      </c>
      <c r="B130" s="1281">
        <v>1</v>
      </c>
      <c r="C130" s="326"/>
      <c r="D130" s="326"/>
      <c r="E130" s="326"/>
      <c r="F130" s="326"/>
    </row>
    <row r="131" spans="1:6">
      <c r="A131" s="1280" t="s">
        <v>285</v>
      </c>
      <c r="B131" s="1281">
        <v>2</v>
      </c>
      <c r="C131" s="326"/>
      <c r="D131" s="326"/>
      <c r="E131" s="326"/>
      <c r="F131" s="326"/>
    </row>
    <row r="132" spans="1:6">
      <c r="A132" s="1275" t="s">
        <v>286</v>
      </c>
      <c r="B132" s="1276">
        <v>17</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34004.446594370762</v>
      </c>
      <c r="C3" s="43" t="s">
        <v>163</v>
      </c>
      <c r="D3" s="43"/>
      <c r="E3" s="156"/>
      <c r="F3" s="43"/>
      <c r="G3" s="43"/>
      <c r="H3" s="43"/>
      <c r="I3" s="43"/>
      <c r="J3" s="43"/>
      <c r="K3" s="96"/>
    </row>
    <row r="4" spans="1:11">
      <c r="A4" s="352" t="s">
        <v>164</v>
      </c>
      <c r="B4" s="49">
        <f>IF(ISERROR('SEAP template'!B78+'SEAP template'!C78),0,'SEAP template'!B78+'SEAP template'!C78)</f>
        <v>2070.8893377615432</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0</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0.2075409795046903</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0</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526.21199999999999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526.21199999999999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0.2075409795046903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109.21055390712209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18085.809675517321</v>
      </c>
      <c r="C5" s="17">
        <f>IF(ISERROR('Eigen informatie GS &amp; warmtenet'!B57),0,'Eigen informatie GS &amp; warmtenet'!B57)</f>
        <v>0</v>
      </c>
      <c r="D5" s="30">
        <f>(SUM(HH_hh_gas_kWh,HH_rest_gas_kWh)/1000)*0.902</f>
        <v>40645.883438279001</v>
      </c>
      <c r="E5" s="17">
        <f>B32*B41</f>
        <v>955.42315425151742</v>
      </c>
      <c r="F5" s="17">
        <f>B36*B45</f>
        <v>32612.791952255066</v>
      </c>
      <c r="G5" s="18"/>
      <c r="H5" s="17"/>
      <c r="I5" s="17"/>
      <c r="J5" s="17">
        <f>B35*B44+C35*C44</f>
        <v>734.35739197134626</v>
      </c>
      <c r="K5" s="17"/>
      <c r="L5" s="17"/>
      <c r="M5" s="17"/>
      <c r="N5" s="17">
        <f>B34*B43+C34*C43</f>
        <v>5224.939059837272</v>
      </c>
      <c r="O5" s="17">
        <f>B52*B53*B54</f>
        <v>84.42</v>
      </c>
      <c r="P5" s="17">
        <f>B60*B61*B62/1000-B60*B61*B62/1000/B63</f>
        <v>457.6</v>
      </c>
    </row>
    <row r="6" spans="1:16">
      <c r="A6" s="16" t="s">
        <v>615</v>
      </c>
      <c r="B6" s="766">
        <f>kWh_PV_kleiner_dan_10kW</f>
        <v>1774.7964348269322</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19860.606110344252</v>
      </c>
      <c r="C8" s="21">
        <f>C5</f>
        <v>0</v>
      </c>
      <c r="D8" s="21">
        <f>D5</f>
        <v>40645.883438279001</v>
      </c>
      <c r="E8" s="21">
        <f>E5</f>
        <v>955.42315425151742</v>
      </c>
      <c r="F8" s="21">
        <f>F5</f>
        <v>32612.791952255066</v>
      </c>
      <c r="G8" s="21"/>
      <c r="H8" s="21"/>
      <c r="I8" s="21"/>
      <c r="J8" s="21">
        <f>J5</f>
        <v>734.35739197134626</v>
      </c>
      <c r="K8" s="21"/>
      <c r="L8" s="21">
        <f>L5</f>
        <v>0</v>
      </c>
      <c r="M8" s="21">
        <f>M5</f>
        <v>0</v>
      </c>
      <c r="N8" s="21">
        <f>N5</f>
        <v>5224.939059837272</v>
      </c>
      <c r="O8" s="21">
        <f>O5</f>
        <v>84.42</v>
      </c>
      <c r="P8" s="21">
        <f>P5</f>
        <v>457.6</v>
      </c>
    </row>
    <row r="9" spans="1:16">
      <c r="B9" s="19"/>
      <c r="C9" s="19"/>
      <c r="D9" s="256"/>
      <c r="E9" s="19"/>
      <c r="F9" s="19"/>
      <c r="G9" s="19"/>
      <c r="H9" s="19"/>
      <c r="I9" s="19"/>
      <c r="J9" s="19"/>
      <c r="K9" s="19"/>
      <c r="L9" s="19"/>
      <c r="M9" s="19"/>
      <c r="N9" s="19"/>
      <c r="O9" s="19"/>
      <c r="P9" s="19"/>
    </row>
    <row r="10" spans="1:16">
      <c r="A10" s="24" t="s">
        <v>207</v>
      </c>
      <c r="B10" s="25">
        <f ca="1">'EF ele_warmte'!B12</f>
        <v>0.2075409795046903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4121.8896456976836</v>
      </c>
      <c r="C12" s="23">
        <f ca="1">C10*C8</f>
        <v>0</v>
      </c>
      <c r="D12" s="23">
        <f>D8*D10</f>
        <v>8210.468454532358</v>
      </c>
      <c r="E12" s="23">
        <f>E10*E8</f>
        <v>216.88105601509446</v>
      </c>
      <c r="F12" s="23">
        <f>F10*F8</f>
        <v>8707.6154512521025</v>
      </c>
      <c r="G12" s="23"/>
      <c r="H12" s="23"/>
      <c r="I12" s="23"/>
      <c r="J12" s="23">
        <f>J10*J8</f>
        <v>259.96251675785658</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4272</v>
      </c>
      <c r="C26" s="36"/>
      <c r="D26" s="226"/>
    </row>
    <row r="27" spans="1:5" s="15" customFormat="1">
      <c r="A27" s="228" t="s">
        <v>695</v>
      </c>
      <c r="B27" s="37">
        <f>SUM(HH_hh_gas_aantal,HH_rest_gas_aantal)</f>
        <v>2388</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2268.6</v>
      </c>
      <c r="C31" s="34" t="s">
        <v>104</v>
      </c>
      <c r="D31" s="172"/>
    </row>
    <row r="32" spans="1:5">
      <c r="A32" s="169" t="s">
        <v>72</v>
      </c>
      <c r="B32" s="33">
        <f>IF((B21*($B$26-($B$27-0.05*$B$27)-$B$60))&lt;0,0,B21*($B$26-($B$27-0.05*$B$27)-$B$60))</f>
        <v>14.033092188418582</v>
      </c>
      <c r="C32" s="34" t="s">
        <v>104</v>
      </c>
      <c r="D32" s="172"/>
    </row>
    <row r="33" spans="1:6">
      <c r="A33" s="169" t="s">
        <v>73</v>
      </c>
      <c r="B33" s="33">
        <f>IF((B22*($B$26-($B$27-0.05*$B$27)-$B$60))&lt;0,0,B22*($B$26-($B$27-0.05*$B$27)-$B$60))</f>
        <v>402.18651285583331</v>
      </c>
      <c r="C33" s="34" t="s">
        <v>104</v>
      </c>
      <c r="D33" s="172"/>
    </row>
    <row r="34" spans="1:6">
      <c r="A34" s="169" t="s">
        <v>74</v>
      </c>
      <c r="B34" s="33">
        <f>IF((B24*($B$26-($B$27-0.05*$B$27)-$B$60))&lt;0,0,B24*($B$26-($B$27-0.05*$B$27)-$B$60))</f>
        <v>80.200241098860374</v>
      </c>
      <c r="C34" s="33">
        <f>B26*C24</f>
        <v>873.52837012655675</v>
      </c>
      <c r="D34" s="231"/>
    </row>
    <row r="35" spans="1:6">
      <c r="A35" s="169" t="s">
        <v>76</v>
      </c>
      <c r="B35" s="33">
        <f>IF((B19*($B$26-($B$27-0.05*$B$27)-$B$60))&lt;0,0,B19*($B$26-($B$27-0.05*$B$27)-$B$60))</f>
        <v>41.765155322674353</v>
      </c>
      <c r="C35" s="33">
        <f>B35/2</f>
        <v>20.882577661337177</v>
      </c>
      <c r="D35" s="231"/>
    </row>
    <row r="36" spans="1:6">
      <c r="A36" s="169" t="s">
        <v>77</v>
      </c>
      <c r="B36" s="33">
        <f>IF((B18*($B$26-($B$27-0.05*$B$27)-$B$60))&lt;0,0,B18*($B$26-($B$27-0.05*$B$27)-$B$60))</f>
        <v>1441.2149985342135</v>
      </c>
      <c r="C36" s="34" t="s">
        <v>104</v>
      </c>
      <c r="D36" s="172"/>
    </row>
    <row r="37" spans="1:6">
      <c r="A37" s="169" t="s">
        <v>78</v>
      </c>
      <c r="B37" s="33">
        <f>B60</f>
        <v>24</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54</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24</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8393.2438429933845</v>
      </c>
      <c r="C5" s="17">
        <f>IF(ISERROR('Eigen informatie GS &amp; warmtenet'!B58),0,'Eigen informatie GS &amp; warmtenet'!B58)</f>
        <v>0</v>
      </c>
      <c r="D5" s="30">
        <f>SUM(D6:D12)</f>
        <v>10333.534943609709</v>
      </c>
      <c r="E5" s="17">
        <f>SUM(E6:E12)</f>
        <v>220.17312690219731</v>
      </c>
      <c r="F5" s="17">
        <f>SUM(F6:F12)</f>
        <v>1557.4349290086211</v>
      </c>
      <c r="G5" s="18"/>
      <c r="H5" s="17"/>
      <c r="I5" s="17"/>
      <c r="J5" s="17">
        <f>SUM(J6:J12)</f>
        <v>0</v>
      </c>
      <c r="K5" s="17"/>
      <c r="L5" s="17"/>
      <c r="M5" s="17"/>
      <c r="N5" s="17">
        <f>SUM(N6:N12)</f>
        <v>310.86930873909336</v>
      </c>
      <c r="O5" s="17">
        <f>B38*B39*B40</f>
        <v>1.5633333333333335</v>
      </c>
      <c r="P5" s="17">
        <f>B46*B47*B48/1000-B46*B47*B48/1000/B49</f>
        <v>38.133333333333333</v>
      </c>
      <c r="R5" s="32"/>
    </row>
    <row r="6" spans="1:18">
      <c r="A6" s="32" t="s">
        <v>53</v>
      </c>
      <c r="B6" s="37">
        <f>B26</f>
        <v>2074.6177497815597</v>
      </c>
      <c r="C6" s="33"/>
      <c r="D6" s="37">
        <f>IF(ISERROR(TER_kantoor_gas_kWh/1000),0,TER_kantoor_gas_kWh/1000)*0.902</f>
        <v>3399.3099476951452</v>
      </c>
      <c r="E6" s="33">
        <f>$C$26*'E Balans VL '!I12/100/3.6*1000000</f>
        <v>72.619782262947211</v>
      </c>
      <c r="F6" s="33">
        <f>$C$26*('E Balans VL '!L12+'E Balans VL '!N12)/100/3.6*1000000</f>
        <v>314.55659247350451</v>
      </c>
      <c r="G6" s="34"/>
      <c r="H6" s="33"/>
      <c r="I6" s="33"/>
      <c r="J6" s="33">
        <f>$C$26*('E Balans VL '!D12+'E Balans VL '!E12)/100/3.6*1000000</f>
        <v>0</v>
      </c>
      <c r="K6" s="33"/>
      <c r="L6" s="33"/>
      <c r="M6" s="33"/>
      <c r="N6" s="33">
        <f>$C$26*'E Balans VL '!Y12/100/3.6*1000000</f>
        <v>16.036145868326347</v>
      </c>
      <c r="O6" s="33"/>
      <c r="P6" s="33"/>
      <c r="R6" s="32"/>
    </row>
    <row r="7" spans="1:18">
      <c r="A7" s="32" t="s">
        <v>52</v>
      </c>
      <c r="B7" s="37">
        <f t="shared" ref="B7:B12" si="0">B27</f>
        <v>1908.5114159811501</v>
      </c>
      <c r="C7" s="33"/>
      <c r="D7" s="37">
        <f>IF(ISERROR(TER_horeca_gas_kWh/1000),0,TER_horeca_gas_kWh/1000)*0.902</f>
        <v>1253.0932214575841</v>
      </c>
      <c r="E7" s="33">
        <f>$C$27*'E Balans VL '!I9/100/3.6*1000000</f>
        <v>107.6654208828175</v>
      </c>
      <c r="F7" s="33">
        <f>$C$27*('E Balans VL '!L9+'E Balans VL '!N9)/100/3.6*1000000</f>
        <v>332.47325050170008</v>
      </c>
      <c r="G7" s="34"/>
      <c r="H7" s="33"/>
      <c r="I7" s="33"/>
      <c r="J7" s="33">
        <f>$C$27*('E Balans VL '!D9+'E Balans VL '!E9)/100/3.6*1000000</f>
        <v>0</v>
      </c>
      <c r="K7" s="33"/>
      <c r="L7" s="33"/>
      <c r="M7" s="33"/>
      <c r="N7" s="33">
        <f>$C$27*'E Balans VL '!Y9/100/3.6*1000000</f>
        <v>0</v>
      </c>
      <c r="O7" s="33"/>
      <c r="P7" s="33"/>
      <c r="R7" s="32"/>
    </row>
    <row r="8" spans="1:18">
      <c r="A8" s="6" t="s">
        <v>51</v>
      </c>
      <c r="B8" s="37">
        <f t="shared" si="0"/>
        <v>2059.0756546945099</v>
      </c>
      <c r="C8" s="33"/>
      <c r="D8" s="37">
        <f>IF(ISERROR(TER_handel_gas_kWh/1000),0,TER_handel_gas_kWh/1000)*0.902</f>
        <v>1228.5415316515798</v>
      </c>
      <c r="E8" s="33">
        <f>$C$28*'E Balans VL '!I13/100/3.6*1000000</f>
        <v>10.571085212149193</v>
      </c>
      <c r="F8" s="33">
        <f>$C$28*('E Balans VL '!L13+'E Balans VL '!N13)/100/3.6*1000000</f>
        <v>317.47764996897496</v>
      </c>
      <c r="G8" s="34"/>
      <c r="H8" s="33"/>
      <c r="I8" s="33"/>
      <c r="J8" s="33">
        <f>$C$28*('E Balans VL '!D13+'E Balans VL '!E13)/100/3.6*1000000</f>
        <v>0</v>
      </c>
      <c r="K8" s="33"/>
      <c r="L8" s="33"/>
      <c r="M8" s="33"/>
      <c r="N8" s="33">
        <f>$C$28*'E Balans VL '!Y13/100/3.6*1000000</f>
        <v>0.96305481810217264</v>
      </c>
      <c r="O8" s="33"/>
      <c r="P8" s="33"/>
      <c r="R8" s="32"/>
    </row>
    <row r="9" spans="1:18">
      <c r="A9" s="32" t="s">
        <v>50</v>
      </c>
      <c r="B9" s="37">
        <f t="shared" si="0"/>
        <v>80.144950586944802</v>
      </c>
      <c r="C9" s="33"/>
      <c r="D9" s="37">
        <f>IF(ISERROR(TER_gezond_gas_kWh/1000),0,TER_gezond_gas_kWh/1000)*0.902</f>
        <v>129.40705811366664</v>
      </c>
      <c r="E9" s="33">
        <f>$C$29*'E Balans VL '!I10/100/3.6*1000000</f>
        <v>3.3219511246406881E-2</v>
      </c>
      <c r="F9" s="33">
        <f>$C$29*('E Balans VL '!L10+'E Balans VL '!N10)/100/3.6*1000000</f>
        <v>19.738551897647461</v>
      </c>
      <c r="G9" s="34"/>
      <c r="H9" s="33"/>
      <c r="I9" s="33"/>
      <c r="J9" s="33">
        <f>$C$29*('E Balans VL '!D10+'E Balans VL '!E10)/100/3.6*1000000</f>
        <v>0</v>
      </c>
      <c r="K9" s="33"/>
      <c r="L9" s="33"/>
      <c r="M9" s="33"/>
      <c r="N9" s="33">
        <f>$C$29*'E Balans VL '!Y10/100/3.6*1000000</f>
        <v>0.69265074185146935</v>
      </c>
      <c r="O9" s="33"/>
      <c r="P9" s="33"/>
      <c r="R9" s="32"/>
    </row>
    <row r="10" spans="1:18">
      <c r="A10" s="32" t="s">
        <v>49</v>
      </c>
      <c r="B10" s="37">
        <f t="shared" si="0"/>
        <v>1143.24097065964</v>
      </c>
      <c r="C10" s="33"/>
      <c r="D10" s="37">
        <f>IF(ISERROR(TER_ander_gas_kWh/1000),0,TER_ander_gas_kWh/1000)*0.902</f>
        <v>204.92837919612467</v>
      </c>
      <c r="E10" s="33">
        <f>$C$30*'E Balans VL '!I14/100/3.6*1000000</f>
        <v>6.9692251639797504</v>
      </c>
      <c r="F10" s="33">
        <f>$C$30*('E Balans VL '!L14+'E Balans VL '!N14)/100/3.6*1000000</f>
        <v>303.08884194670679</v>
      </c>
      <c r="G10" s="34"/>
      <c r="H10" s="33"/>
      <c r="I10" s="33"/>
      <c r="J10" s="33">
        <f>$C$30*('E Balans VL '!D14+'E Balans VL '!E14)/100/3.6*1000000</f>
        <v>0</v>
      </c>
      <c r="K10" s="33"/>
      <c r="L10" s="33"/>
      <c r="M10" s="33"/>
      <c r="N10" s="33">
        <f>$C$30*'E Balans VL '!Y14/100/3.6*1000000</f>
        <v>263.49234011796159</v>
      </c>
      <c r="O10" s="33"/>
      <c r="P10" s="33"/>
      <c r="R10" s="32"/>
    </row>
    <row r="11" spans="1:18">
      <c r="A11" s="32" t="s">
        <v>54</v>
      </c>
      <c r="B11" s="37">
        <f t="shared" si="0"/>
        <v>90.425070386689995</v>
      </c>
      <c r="C11" s="33"/>
      <c r="D11" s="37">
        <f>IF(ISERROR(TER_onderwijs_gas_kWh/1000),0,TER_onderwijs_gas_kWh/1000)*0.902</f>
        <v>288.34085490440191</v>
      </c>
      <c r="E11" s="33">
        <f>$C$31*'E Balans VL '!I11/100/3.6*1000000</f>
        <v>6.8908612117814808E-2</v>
      </c>
      <c r="F11" s="33">
        <f>$C$31*('E Balans VL '!L11+'E Balans VL '!N11)/100/3.6*1000000</f>
        <v>65.436536431853668</v>
      </c>
      <c r="G11" s="34"/>
      <c r="H11" s="33"/>
      <c r="I11" s="33"/>
      <c r="J11" s="33">
        <f>$C$31*('E Balans VL '!D11+'E Balans VL '!E11)/100/3.6*1000000</f>
        <v>0</v>
      </c>
      <c r="K11" s="33"/>
      <c r="L11" s="33"/>
      <c r="M11" s="33"/>
      <c r="N11" s="33">
        <f>$C$31*'E Balans VL '!Y11/100/3.6*1000000</f>
        <v>0.26650429362759936</v>
      </c>
      <c r="O11" s="33"/>
      <c r="P11" s="33"/>
      <c r="R11" s="32"/>
    </row>
    <row r="12" spans="1:18">
      <c r="A12" s="32" t="s">
        <v>249</v>
      </c>
      <c r="B12" s="37">
        <f t="shared" si="0"/>
        <v>1037.2280309028899</v>
      </c>
      <c r="C12" s="33"/>
      <c r="D12" s="37">
        <f>IF(ISERROR(TER_rest_gas_kWh/1000),0,TER_rest_gas_kWh/1000)*0.902</f>
        <v>3829.9139505912071</v>
      </c>
      <c r="E12" s="33">
        <f>$C$32*'E Balans VL '!I8/100/3.6*1000000</f>
        <v>22.245485256939411</v>
      </c>
      <c r="F12" s="33">
        <f>$C$32*('E Balans VL '!L8+'E Balans VL '!N8)/100/3.6*1000000</f>
        <v>204.66350578823366</v>
      </c>
      <c r="G12" s="34"/>
      <c r="H12" s="33"/>
      <c r="I12" s="33"/>
      <c r="J12" s="33">
        <f>$C$32*('E Balans VL '!D8+'E Balans VL '!E8)/100/3.6*1000000</f>
        <v>0</v>
      </c>
      <c r="K12" s="33"/>
      <c r="L12" s="33"/>
      <c r="M12" s="33"/>
      <c r="N12" s="33">
        <f>$C$32*'E Balans VL '!Y8/100/3.6*1000000</f>
        <v>29.418612899224218</v>
      </c>
      <c r="O12" s="33"/>
      <c r="P12" s="33"/>
      <c r="R12" s="32"/>
    </row>
    <row r="13" spans="1:18">
      <c r="A13" s="16" t="s">
        <v>483</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8393.2438429933845</v>
      </c>
      <c r="C16" s="21">
        <f ca="1">C5+C13+C14</f>
        <v>0</v>
      </c>
      <c r="D16" s="21">
        <f t="shared" ref="D16:N16" ca="1" si="1">MAX((D5+D13+D14),0)</f>
        <v>10333.534943609709</v>
      </c>
      <c r="E16" s="21">
        <f t="shared" si="1"/>
        <v>220.17312690219731</v>
      </c>
      <c r="F16" s="21">
        <f t="shared" ca="1" si="1"/>
        <v>1557.4349290086211</v>
      </c>
      <c r="G16" s="21">
        <f t="shared" si="1"/>
        <v>0</v>
      </c>
      <c r="H16" s="21">
        <f t="shared" si="1"/>
        <v>0</v>
      </c>
      <c r="I16" s="21">
        <f t="shared" si="1"/>
        <v>0</v>
      </c>
      <c r="J16" s="21">
        <f t="shared" si="1"/>
        <v>0</v>
      </c>
      <c r="K16" s="21">
        <f t="shared" si="1"/>
        <v>0</v>
      </c>
      <c r="L16" s="21">
        <f t="shared" ca="1" si="1"/>
        <v>0</v>
      </c>
      <c r="M16" s="21">
        <f t="shared" si="1"/>
        <v>0</v>
      </c>
      <c r="N16" s="21">
        <f t="shared" ca="1" si="1"/>
        <v>310.86930873909336</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0.2075409795046903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1741.942048396558</v>
      </c>
      <c r="C20" s="23">
        <f t="shared" ref="C20:P20" ca="1" si="2">C16*C18</f>
        <v>0</v>
      </c>
      <c r="D20" s="23">
        <f t="shared" ca="1" si="2"/>
        <v>2087.3740586091612</v>
      </c>
      <c r="E20" s="23">
        <f t="shared" si="2"/>
        <v>49.979299806798792</v>
      </c>
      <c r="F20" s="23">
        <f t="shared" ca="1" si="2"/>
        <v>415.83512604530188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2074.6177497815597</v>
      </c>
      <c r="C26" s="39">
        <f>IF(ISERROR(B26*3.6/1000000/'E Balans VL '!Z12*100),0,B26*3.6/1000000/'E Balans VL '!Z12*100)</f>
        <v>4.3656890049589246E-2</v>
      </c>
      <c r="D26" s="234" t="s">
        <v>700</v>
      </c>
      <c r="F26" s="6"/>
    </row>
    <row r="27" spans="1:18">
      <c r="A27" s="229" t="s">
        <v>52</v>
      </c>
      <c r="B27" s="33">
        <f>IF(ISERROR(TER_horeca_ele_kWh/1000),0,TER_horeca_ele_kWh/1000)</f>
        <v>1908.5114159811501</v>
      </c>
      <c r="C27" s="39">
        <f>IF(ISERROR(B27*3.6/1000000/'E Balans VL '!Z9*100),0,B27*3.6/1000000/'E Balans VL '!Z9*100)</f>
        <v>0.16158829872370861</v>
      </c>
      <c r="D27" s="234" t="s">
        <v>700</v>
      </c>
      <c r="F27" s="6"/>
    </row>
    <row r="28" spans="1:18">
      <c r="A28" s="169" t="s">
        <v>51</v>
      </c>
      <c r="B28" s="33">
        <f>IF(ISERROR(TER_handel_ele_kWh/1000),0,TER_handel_ele_kWh/1000)</f>
        <v>2059.0756546945099</v>
      </c>
      <c r="C28" s="39">
        <f>IF(ISERROR(B28*3.6/1000000/'E Balans VL '!Z13*100),0,B28*3.6/1000000/'E Balans VL '!Z13*100)</f>
        <v>5.7005224773200941E-2</v>
      </c>
      <c r="D28" s="234" t="s">
        <v>700</v>
      </c>
      <c r="F28" s="6"/>
    </row>
    <row r="29" spans="1:18">
      <c r="A29" s="229" t="s">
        <v>50</v>
      </c>
      <c r="B29" s="33">
        <f>IF(ISERROR(TER_gezond_ele_kWh/1000),0,TER_gezond_ele_kWh/1000)</f>
        <v>80.144950586944802</v>
      </c>
      <c r="C29" s="39">
        <f>IF(ISERROR(B29*3.6/1000000/'E Balans VL '!Z10*100),0,B29*3.6/1000000/'E Balans VL '!Z10*100)</f>
        <v>1.0417955065934393E-2</v>
      </c>
      <c r="D29" s="234" t="s">
        <v>700</v>
      </c>
      <c r="F29" s="6"/>
    </row>
    <row r="30" spans="1:18">
      <c r="A30" s="229" t="s">
        <v>49</v>
      </c>
      <c r="B30" s="33">
        <f>IF(ISERROR(TER_ander_ele_kWh/1000),0,TER_ander_ele_kWh/1000)</f>
        <v>1143.24097065964</v>
      </c>
      <c r="C30" s="39">
        <f>IF(ISERROR(B30*3.6/1000000/'E Balans VL '!Z14*100),0,B30*3.6/1000000/'E Balans VL '!Z14*100)</f>
        <v>8.8611659546730989E-2</v>
      </c>
      <c r="D30" s="234" t="s">
        <v>700</v>
      </c>
      <c r="F30" s="6"/>
    </row>
    <row r="31" spans="1:18">
      <c r="A31" s="229" t="s">
        <v>54</v>
      </c>
      <c r="B31" s="33">
        <f>IF(ISERROR(TER_onderwijs_ele_kWh/1000),0,TER_onderwijs_ele_kWh/1000)</f>
        <v>90.425070386689995</v>
      </c>
      <c r="C31" s="39">
        <f>IF(ISERROR(B31*3.6/1000000/'E Balans VL '!Z11*100),0,B31*3.6/1000000/'E Balans VL '!Z11*100)</f>
        <v>1.7299856775566332E-2</v>
      </c>
      <c r="D31" s="234" t="s">
        <v>700</v>
      </c>
    </row>
    <row r="32" spans="1:18">
      <c r="A32" s="229" t="s">
        <v>249</v>
      </c>
      <c r="B32" s="33">
        <f>IF(ISERROR(TER_rest_ele_kWh/1000),0,TER_rest_ele_kWh/1000)</f>
        <v>1037.2280309028899</v>
      </c>
      <c r="C32" s="39">
        <f>IF(ISERROR(B32*3.6/1000000/'E Balans VL '!Z8*100),0,B32*3.6/1000000/'E Balans VL '!Z8*100)</f>
        <v>8.5527416183418907E-3</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1</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2</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2005.705358002527</v>
      </c>
      <c r="C5" s="17">
        <f>IF(ISERROR('Eigen informatie GS &amp; warmtenet'!B59),0,'Eigen informatie GS &amp; warmtenet'!B59)</f>
        <v>0</v>
      </c>
      <c r="D5" s="30">
        <f>SUM(D6:D15)</f>
        <v>1462.8354627787789</v>
      </c>
      <c r="E5" s="17">
        <f>SUM(E6:E15)</f>
        <v>26.594992027612992</v>
      </c>
      <c r="F5" s="17">
        <f>SUM(F6:F15)</f>
        <v>877.65342860972419</v>
      </c>
      <c r="G5" s="18"/>
      <c r="H5" s="17"/>
      <c r="I5" s="17"/>
      <c r="J5" s="17">
        <f>SUM(J6:J15)</f>
        <v>5.9397214543707531</v>
      </c>
      <c r="K5" s="17"/>
      <c r="L5" s="17"/>
      <c r="M5" s="17"/>
      <c r="N5" s="17">
        <f>SUM(N6:N15)</f>
        <v>80.644138606759512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851.56231761173603</v>
      </c>
      <c r="C9" s="33"/>
      <c r="D9" s="37">
        <f>IF( ISERROR(IND_andere_gas_kWh/1000),0,IND_andere_gas_kWh/1000)*0.902</f>
        <v>552.67196862706191</v>
      </c>
      <c r="E9" s="33">
        <f>C31*'E Balans VL '!I19/100/3.6*1000000</f>
        <v>14.303032321435612</v>
      </c>
      <c r="F9" s="33">
        <f>C31*'E Balans VL '!L19/100/3.6*1000000+C31*'E Balans VL '!N19/100/3.6*1000000</f>
        <v>665.70291854072377</v>
      </c>
      <c r="G9" s="34"/>
      <c r="H9" s="33"/>
      <c r="I9" s="33"/>
      <c r="J9" s="40">
        <f>C31*'E Balans VL '!D19/100/3.6*1000000+C31*'E Balans VL '!E19/100/3.6*1000000</f>
        <v>7.680340398022302E-2</v>
      </c>
      <c r="K9" s="33"/>
      <c r="L9" s="33"/>
      <c r="M9" s="33"/>
      <c r="N9" s="33">
        <f>C31*'E Balans VL '!Y19/100/3.6*1000000</f>
        <v>63.114429849640494</v>
      </c>
      <c r="O9" s="33"/>
      <c r="P9" s="33"/>
      <c r="R9" s="32"/>
    </row>
    <row r="10" spans="1:18">
      <c r="A10" s="6" t="s">
        <v>40</v>
      </c>
      <c r="B10" s="37">
        <f t="shared" si="0"/>
        <v>513.65685326364894</v>
      </c>
      <c r="C10" s="33"/>
      <c r="D10" s="37">
        <f>IF( ISERROR(IND_voed_gas_kWh/1000),0,IND_voed_gas_kWh/1000)*0.902</f>
        <v>450.88899957845865</v>
      </c>
      <c r="E10" s="33">
        <f>C32*'E Balans VL '!I20/100/3.6*1000000</f>
        <v>4.6863916790824218</v>
      </c>
      <c r="F10" s="33">
        <f>C32*'E Balans VL '!L20/100/3.6*1000000+C32*'E Balans VL '!N20/100/3.6*1000000</f>
        <v>82.868916677567199</v>
      </c>
      <c r="G10" s="34"/>
      <c r="H10" s="33"/>
      <c r="I10" s="33"/>
      <c r="J10" s="40">
        <f>C32*'E Balans VL '!D20/100/3.6*1000000+C32*'E Balans VL '!E20/100/3.6*1000000</f>
        <v>2.1155756914740724</v>
      </c>
      <c r="K10" s="33"/>
      <c r="L10" s="33"/>
      <c r="M10" s="33"/>
      <c r="N10" s="33">
        <f>C32*'E Balans VL '!Y20/100/3.6*1000000</f>
        <v>7.5143947334507928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83.9517545195732</v>
      </c>
      <c r="C13" s="33"/>
      <c r="D13" s="37">
        <f>IF( ISERROR(IND_papier_gas_kWh/1000),0,IND_papier_gas_kWh/1000)*0.902</f>
        <v>0</v>
      </c>
      <c r="E13" s="33">
        <f>C35*'E Balans VL '!I23/100/3.6*1000000</f>
        <v>2.5829763920010826</v>
      </c>
      <c r="F13" s="33">
        <f>C35*'E Balans VL '!L23/100/3.6*1000000+C35*'E Balans VL '!N23/100/3.6*1000000</f>
        <v>17.825891424981648</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556.53443260756899</v>
      </c>
      <c r="C15" s="33"/>
      <c r="D15" s="37">
        <f>IF( ISERROR(IND_rest_gas_kWh/1000),0,IND_rest_gas_kWh/1000)*0.902</f>
        <v>459.27449457325832</v>
      </c>
      <c r="E15" s="33">
        <f>C37*'E Balans VL '!I15/100/3.6*1000000</f>
        <v>5.0225916350938755</v>
      </c>
      <c r="F15" s="33">
        <f>C37*'E Balans VL '!L15/100/3.6*1000000+C37*'E Balans VL '!N15/100/3.6*1000000</f>
        <v>111.25570196645162</v>
      </c>
      <c r="G15" s="34"/>
      <c r="H15" s="33"/>
      <c r="I15" s="33"/>
      <c r="J15" s="40">
        <f>C37*'E Balans VL '!D15/100/3.6*1000000+C37*'E Balans VL '!E15/100/3.6*1000000</f>
        <v>3.7473423589164581</v>
      </c>
      <c r="K15" s="33"/>
      <c r="L15" s="33"/>
      <c r="M15" s="33"/>
      <c r="N15" s="33">
        <f>C37*'E Balans VL '!Y15/100/3.6*1000000</f>
        <v>10.01531402366823</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2005.705358002527</v>
      </c>
      <c r="C18" s="21">
        <f>C5+C16</f>
        <v>0</v>
      </c>
      <c r="D18" s="21">
        <f>MAX((D5+D16),0)</f>
        <v>1462.8354627787789</v>
      </c>
      <c r="E18" s="21">
        <f>MAX((E5+E16),0)</f>
        <v>26.594992027612992</v>
      </c>
      <c r="F18" s="21">
        <f>MAX((F5+F16),0)</f>
        <v>877.65342860972419</v>
      </c>
      <c r="G18" s="21"/>
      <c r="H18" s="21"/>
      <c r="I18" s="21"/>
      <c r="J18" s="21">
        <f>MAX((J5+J16),0)</f>
        <v>5.9397214543707531</v>
      </c>
      <c r="K18" s="21"/>
      <c r="L18" s="21">
        <f>MAX((L5+L16),0)</f>
        <v>0</v>
      </c>
      <c r="M18" s="21"/>
      <c r="N18" s="21">
        <f>MAX((N5+N16),0)</f>
        <v>80.644138606759512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0.2075409795046903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416.26605459765</v>
      </c>
      <c r="C22" s="23">
        <f ca="1">C18*C20</f>
        <v>0</v>
      </c>
      <c r="D22" s="23">
        <f>D18*D20</f>
        <v>295.49276348131337</v>
      </c>
      <c r="E22" s="23">
        <f>E18*E20</f>
        <v>6.0370631902681495</v>
      </c>
      <c r="F22" s="23">
        <f>F18*F20</f>
        <v>234.33346543879637</v>
      </c>
      <c r="G22" s="23"/>
      <c r="H22" s="23"/>
      <c r="I22" s="23"/>
      <c r="J22" s="23">
        <f>J18*J20</f>
        <v>2.1026613948472463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0</v>
      </c>
      <c r="C30" s="39">
        <f>IF(ISERROR(B30*3.6/1000000/'E Balans VL '!Z18*100),0,B30*3.6/1000000/'E Balans VL '!Z18*100)</f>
        <v>0</v>
      </c>
      <c r="D30" s="234" t="s">
        <v>700</v>
      </c>
    </row>
    <row r="31" spans="1:18">
      <c r="A31" s="6" t="s">
        <v>32</v>
      </c>
      <c r="B31" s="37">
        <f>IF( ISERROR(IND_ander_ele_kWh/1000),0,IND_ander_ele_kWh/1000)</f>
        <v>851.56231761173603</v>
      </c>
      <c r="C31" s="39">
        <f>IF(ISERROR(B31*3.6/1000000/'E Balans VL '!Z19*100),0,B31*3.6/1000000/'E Balans VL '!Z19*100)</f>
        <v>3.774638284352258E-2</v>
      </c>
      <c r="D31" s="234" t="s">
        <v>700</v>
      </c>
    </row>
    <row r="32" spans="1:18">
      <c r="A32" s="169" t="s">
        <v>40</v>
      </c>
      <c r="B32" s="37">
        <f>IF( ISERROR(IND_voed_ele_kWh/1000),0,IND_voed_ele_kWh/1000)</f>
        <v>513.65685326364894</v>
      </c>
      <c r="C32" s="39">
        <f>IF(ISERROR(B32*3.6/1000000/'E Balans VL '!Z20*100),0,B32*3.6/1000000/'E Balans VL '!Z20*100)</f>
        <v>1.7157612389810908E-2</v>
      </c>
      <c r="D32" s="234" t="s">
        <v>700</v>
      </c>
    </row>
    <row r="33" spans="1:5">
      <c r="A33" s="169" t="s">
        <v>39</v>
      </c>
      <c r="B33" s="37">
        <f>IF( ISERROR(IND_textiel_ele_kWh/1000),0,IND_textiel_ele_kWh/1000)</f>
        <v>0</v>
      </c>
      <c r="C33" s="39">
        <f>IF(ISERROR(B33*3.6/1000000/'E Balans VL '!Z21*100),0,B33*3.6/1000000/'E Balans VL '!Z21*100)</f>
        <v>0</v>
      </c>
      <c r="D33" s="234" t="s">
        <v>700</v>
      </c>
    </row>
    <row r="34" spans="1:5">
      <c r="A34" s="169" t="s">
        <v>36</v>
      </c>
      <c r="B34" s="37">
        <f>IF( ISERROR(IND_min_ele_kWh/1000),0,IND_min_ele_kWh/1000)</f>
        <v>0</v>
      </c>
      <c r="C34" s="39">
        <f>IF(ISERROR(B34*3.6/1000000/'E Balans VL '!Z22*100),0,B34*3.6/1000000/'E Balans VL '!Z22*100)</f>
        <v>0</v>
      </c>
      <c r="D34" s="234" t="s">
        <v>700</v>
      </c>
    </row>
    <row r="35" spans="1:5">
      <c r="A35" s="169" t="s">
        <v>38</v>
      </c>
      <c r="B35" s="37">
        <f>IF( ISERROR(IND_papier_ele_kWh/1000),0,IND_papier_ele_kWh/1000)</f>
        <v>83.9517545195732</v>
      </c>
      <c r="C35" s="39">
        <f>IF(ISERROR(B35*3.6/1000000/'E Balans VL '!Z22*100),0,B35*3.6/1000000/'E Balans VL '!Z22*100)</f>
        <v>1.6327694096452201E-2</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556.53443260756899</v>
      </c>
      <c r="C37" s="39">
        <f>IF(ISERROR(B37*3.6/1000000/'E Balans VL '!Z15*100),0,B37*3.6/1000000/'E Balans VL '!Z15*100)</f>
        <v>4.1397095064535459E-3</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2405.30086246784</v>
      </c>
      <c r="C5" s="17">
        <f>'Eigen informatie GS &amp; warmtenet'!B60</f>
        <v>0</v>
      </c>
      <c r="D5" s="30">
        <f>IF(ISERROR(SUM(LB_lb_gas_kWh,LB_rest_gas_kWh)/1000),0,SUM(LB_lb_gas_kWh,LB_rest_gas_kWh)/1000)*0.902</f>
        <v>197.01159272875375</v>
      </c>
      <c r="E5" s="17">
        <f>B17*'E Balans VL '!I25/3.6*1000000/100</f>
        <v>25.188831358164848</v>
      </c>
      <c r="F5" s="17">
        <f>B17*('E Balans VL '!L25/3.6*1000000+'E Balans VL '!N25/3.6*1000000)/100</f>
        <v>10296.515331864812</v>
      </c>
      <c r="G5" s="18"/>
      <c r="H5" s="17"/>
      <c r="I5" s="17"/>
      <c r="J5" s="17">
        <f>('E Balans VL '!D25+'E Balans VL '!E25)/3.6*1000000*landbouw!B17/100</f>
        <v>214.814926097799</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2405.30086246784</v>
      </c>
      <c r="C8" s="21">
        <f>C5+C6</f>
        <v>0</v>
      </c>
      <c r="D8" s="21">
        <f>MAX((D5+D6),0)</f>
        <v>197.01159272875375</v>
      </c>
      <c r="E8" s="21">
        <f>MAX((E5+E6),0)</f>
        <v>25.188831358164848</v>
      </c>
      <c r="F8" s="21">
        <f>MAX((F5+F6),0)</f>
        <v>10296.515331864812</v>
      </c>
      <c r="G8" s="21"/>
      <c r="H8" s="21"/>
      <c r="I8" s="21"/>
      <c r="J8" s="21">
        <f>MAX((J5+J6),0)</f>
        <v>214.814926097799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0.2075409795046903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499.19849700005187</v>
      </c>
      <c r="C12" s="23">
        <f ca="1">C8*C10</f>
        <v>0</v>
      </c>
      <c r="D12" s="23">
        <f>D8*D10</f>
        <v>39.796341731208258</v>
      </c>
      <c r="E12" s="23">
        <f>E8*E10</f>
        <v>5.7178647183034208</v>
      </c>
      <c r="F12" s="23">
        <f>F8*F10</f>
        <v>2749.169593607905</v>
      </c>
      <c r="G12" s="23"/>
      <c r="H12" s="23"/>
      <c r="I12" s="23"/>
      <c r="J12" s="23">
        <f>J8*J10</f>
        <v>76.044483838620849</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0.37022223362080159</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404.25198854279057</v>
      </c>
      <c r="C26" s="244">
        <f>B26*'GWP N2O_CH4'!B5</f>
        <v>8489.2917593986022</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224.62914323222401</v>
      </c>
      <c r="C27" s="244">
        <f>B27*'GWP N2O_CH4'!B5</f>
        <v>4717.2120078767039</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16.21471877807609</v>
      </c>
      <c r="C28" s="244">
        <f>B28*'GWP N2O_CH4'!B4</f>
        <v>5026.5628212035881</v>
      </c>
      <c r="D28" s="50"/>
    </row>
    <row r="29" spans="1:4">
      <c r="A29" s="41" t="s">
        <v>266</v>
      </c>
      <c r="B29" s="244">
        <f>B34*'ha_N2O bodem landbouw'!B4</f>
        <v>24.741921505974297</v>
      </c>
      <c r="C29" s="244">
        <f>B29*'GWP N2O_CH4'!B4</f>
        <v>7669.9956668520317</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4.0889274817559494E-3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4.6776166945816936E-6</v>
      </c>
      <c r="C5" s="433" t="s">
        <v>204</v>
      </c>
      <c r="D5" s="418">
        <f>SUM(D6:D11)</f>
        <v>1.4968016006563164E-5</v>
      </c>
      <c r="E5" s="418">
        <f>SUM(E6:E11)</f>
        <v>1.6093388998764278E-3</v>
      </c>
      <c r="F5" s="431" t="s">
        <v>204</v>
      </c>
      <c r="G5" s="418">
        <f>SUM(G6:G11)</f>
        <v>0.3509499234159672</v>
      </c>
      <c r="H5" s="418">
        <f>SUM(H6:H11)</f>
        <v>4.9915619543433598E-2</v>
      </c>
      <c r="I5" s="433" t="s">
        <v>204</v>
      </c>
      <c r="J5" s="433" t="s">
        <v>204</v>
      </c>
      <c r="K5" s="433" t="s">
        <v>204</v>
      </c>
      <c r="L5" s="433" t="s">
        <v>204</v>
      </c>
      <c r="M5" s="418">
        <f>SUM(M6:M11)</f>
        <v>1.7416002920975955E-2</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2.9224973665054957E-6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9.2532724565221272E-6</v>
      </c>
      <c r="E6" s="421">
        <f>vkm_GW_PW*SUMIFS(TableVerdeelsleutelVkm[LPG],TableVerdeelsleutelVkm[Voertuigtype],"Lichte voertuigen")*SUMIFS(TableECFTransport[EnergieConsumptieFactor (PJ per km)],TableECFTransport[Index],CONCATENATE($A6,"_LPG_LPG"))</f>
        <v>9.6427145299346636E-4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0.12844119792433287</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3.0812766044434583E-2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6.9513009432949271E-3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1.25258853875858E-7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5.6463830821692686E-2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1.5287571647954303E-6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2.4324853115953084E-3</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5.4199030448188831E-7</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2.916424109911871E-6</v>
      </c>
      <c r="E8" s="421">
        <f>vkm_NGW_PW*SUMIFS(TableVerdeelsleutelVkm[LPG],TableVerdeelsleutelVkm[Voertuigtype],"Lichte voertuigen")*SUMIFS(TableECFTransport[EnergieConsumptieFactor (PJ per km)],TableECFTransport[Index],CONCATENATE($A8,"_LPG_LPG"))</f>
        <v>2.8681174120291045E-4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3.6171530584192445E-2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9.1830157711858627E-3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1.9808887661053524E-3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9.9052074694025395E-9</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6.1847834618380644E-3</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1.4591841197351178E-7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2.6644205227599498E-4</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8.9662706084158677E-7</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2.7983194401291659E-6</v>
      </c>
      <c r="E10" s="421">
        <f>vkm_SW_PW*SUMIFS(TableVerdeelsleutelVkm[LPG],TableVerdeelsleutelVkm[Voertuigtype],"Lichte voertuigen")*SUMIFS(TableECFTransport[EnergieConsumptieFactor (PJ per km)],TableECFTransport[Index],CONCATENATE($A10,"_LPG_LPG"))</f>
        <v>3.5825570568005083E-4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4.4813415232274674E-2</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9.915885076485758E-3</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2.3869043679019208E-3</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1.8133790140746212E-7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7.8875165391636484E-2</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2.2779757506247791E-6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3.3979814798024504E-3</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1.2993379707171373</v>
      </c>
      <c r="C14" s="21"/>
      <c r="D14" s="21">
        <f t="shared" ref="D14:M14" si="0">((D5)*10^9/3600)+D12</f>
        <v>4.1577822240453237</v>
      </c>
      <c r="E14" s="21">
        <f t="shared" si="0"/>
        <v>447.03858329900771</v>
      </c>
      <c r="F14" s="21"/>
      <c r="G14" s="21">
        <f t="shared" si="0"/>
        <v>97486.089837768668</v>
      </c>
      <c r="H14" s="21">
        <f t="shared" si="0"/>
        <v>13865.449873176</v>
      </c>
      <c r="I14" s="21"/>
      <c r="J14" s="21"/>
      <c r="K14" s="21"/>
      <c r="L14" s="21"/>
      <c r="M14" s="21">
        <f t="shared" si="0"/>
        <v>4837.778589159987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0.2075409795046903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0.26966587515027129</v>
      </c>
      <c r="C18" s="23"/>
      <c r="D18" s="23">
        <f t="shared" ref="D18:M18" si="1">D14*D16</f>
        <v>0.83987200925715544</v>
      </c>
      <c r="E18" s="23">
        <f t="shared" si="1"/>
        <v>101.47775840887475</v>
      </c>
      <c r="F18" s="23"/>
      <c r="G18" s="23">
        <f t="shared" si="1"/>
        <v>26028.785986684237</v>
      </c>
      <c r="H18" s="23">
        <f t="shared" si="1"/>
        <v>3452.4970184208237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1.2033525627919887E-5</v>
      </c>
      <c r="C50" s="315">
        <f t="shared" ref="C50:P50" si="2">SUM(C51:C52)</f>
        <v>0</v>
      </c>
      <c r="D50" s="315">
        <f t="shared" si="2"/>
        <v>0</v>
      </c>
      <c r="E50" s="315">
        <f t="shared" si="2"/>
        <v>0</v>
      </c>
      <c r="F50" s="315">
        <f t="shared" si="2"/>
        <v>0</v>
      </c>
      <c r="G50" s="315">
        <f t="shared" si="2"/>
        <v>2.6105525700844128E-3</v>
      </c>
      <c r="H50" s="315">
        <f t="shared" si="2"/>
        <v>0</v>
      </c>
      <c r="I50" s="315">
        <f t="shared" si="2"/>
        <v>0</v>
      </c>
      <c r="J50" s="315">
        <f t="shared" si="2"/>
        <v>0</v>
      </c>
      <c r="K50" s="315">
        <f t="shared" si="2"/>
        <v>0</v>
      </c>
      <c r="L50" s="315">
        <f t="shared" si="2"/>
        <v>0</v>
      </c>
      <c r="M50" s="315">
        <f t="shared" si="2"/>
        <v>1.1177383326849289E-4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1.2033525627919887E-5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2.6105525700844128E-3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1.1177383326849289E-4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3.3426460077555245</v>
      </c>
      <c r="C54" s="21">
        <f t="shared" ref="C54:P54" si="3">(C50)*10^9/3600</f>
        <v>0</v>
      </c>
      <c r="D54" s="21">
        <f t="shared" si="3"/>
        <v>0</v>
      </c>
      <c r="E54" s="21">
        <f t="shared" si="3"/>
        <v>0</v>
      </c>
      <c r="F54" s="21">
        <f t="shared" si="3"/>
        <v>0</v>
      </c>
      <c r="G54" s="21">
        <f t="shared" si="3"/>
        <v>725.15349169011461</v>
      </c>
      <c r="H54" s="21">
        <f t="shared" si="3"/>
        <v>0</v>
      </c>
      <c r="I54" s="21">
        <f t="shared" si="3"/>
        <v>0</v>
      </c>
      <c r="J54" s="21">
        <f t="shared" si="3"/>
        <v>0</v>
      </c>
      <c r="K54" s="21">
        <f t="shared" si="3"/>
        <v>0</v>
      </c>
      <c r="L54" s="21">
        <f t="shared" si="3"/>
        <v>0</v>
      </c>
      <c r="M54" s="21">
        <f t="shared" si="3"/>
        <v>31.048287019025803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0.2075409795046903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0.69373602658702416</v>
      </c>
      <c r="C58" s="23">
        <f t="shared" ref="C58:P58" ca="1" si="4">C54*C56</f>
        <v>0</v>
      </c>
      <c r="D58" s="23">
        <f t="shared" si="4"/>
        <v>0</v>
      </c>
      <c r="E58" s="23">
        <f t="shared" si="4"/>
        <v>0</v>
      </c>
      <c r="F58" s="23">
        <f t="shared" si="4"/>
        <v>0</v>
      </c>
      <c r="G58" s="23">
        <f t="shared" si="4"/>
        <v>193.61598228126061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2070.8893377615432</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0</v>
      </c>
      <c r="C8" s="544">
        <f>B48</f>
        <v>0</v>
      </c>
      <c r="D8" s="963"/>
      <c r="E8" s="963">
        <f>E48</f>
        <v>0</v>
      </c>
      <c r="F8" s="964"/>
      <c r="G8" s="545"/>
      <c r="H8" s="963">
        <f>I48</f>
        <v>0</v>
      </c>
      <c r="I8" s="963">
        <f>G48+F48</f>
        <v>0</v>
      </c>
      <c r="J8" s="963">
        <f>H48+D48+C48</f>
        <v>0</v>
      </c>
      <c r="K8" s="963"/>
      <c r="L8" s="963"/>
      <c r="M8" s="963"/>
      <c r="N8" s="546"/>
      <c r="O8" s="547">
        <f>C8*$C$12+D8*$D$12+E8*$E$12+F8*$F$12+G8*$G$12+H8*$H$12+I8*$I$12+J8*$J$12</f>
        <v>0</v>
      </c>
      <c r="P8" s="1253"/>
      <c r="Q8" s="1254"/>
      <c r="S8" s="996"/>
      <c r="T8" s="1250"/>
      <c r="U8" s="1250"/>
    </row>
    <row r="9" spans="1:21" s="532" customFormat="1" ht="17.45" customHeight="1" thickBot="1">
      <c r="A9" s="548" t="s">
        <v>237</v>
      </c>
      <c r="B9" s="1000">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2070.8893377615432</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0</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59"/>
      <c r="O17" s="572">
        <f>C17*$C$22+E17*$E$22+H17*$H$22+I17*$I$22+J17*$J$22+D17*$D$22+F17*$F$22+G17*$G$22+K17*$K$22+L17*$L$22</f>
        <v>0</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2021-11-11T13:41:59Z</dcterms:modified>
</cp:coreProperties>
</file>