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0C605B04-6ED6-4464-B2BF-B838F4D7F53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G20" i="18" l="1"/>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H26" i="14"/>
  <c r="E25" i="14"/>
  <c r="E55" i="14" s="1"/>
  <c r="Q26" i="14"/>
  <c r="J26" i="14"/>
  <c r="I26" i="14"/>
  <c r="D5" i="17"/>
  <c r="P31" i="48" l="1"/>
  <c r="O32" i="48"/>
  <c r="D14" i="48"/>
  <c r="P32" i="48"/>
  <c r="R25" i="14"/>
  <c r="O25" i="48"/>
  <c r="B50" i="18"/>
  <c r="C17" i="18" s="1"/>
  <c r="D87" i="14" s="1"/>
  <c r="D17" i="55" s="1"/>
  <c r="D20" i="55" s="1"/>
  <c r="L20" i="55"/>
  <c r="F50" i="18"/>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Q11" i="14" s="1"/>
  <c r="B37" i="13"/>
  <c r="B36" i="13"/>
  <c r="B33" i="13"/>
  <c r="B32" i="13"/>
  <c r="B35" i="13"/>
  <c r="C35" i="13" s="1"/>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P4" i="48" l="1"/>
  <c r="P22" i="48" s="1"/>
  <c r="I5" i="48"/>
  <c r="J10" i="14"/>
  <c r="J16" i="14" s="1"/>
  <c r="J27" i="14" s="1"/>
  <c r="J63" i="14" s="1"/>
  <c r="K5" i="48"/>
  <c r="L10" i="14"/>
  <c r="L46" i="14"/>
  <c r="L61" i="14" s="1"/>
  <c r="L16" i="14"/>
  <c r="L27" i="14" s="1"/>
  <c r="Q11" i="48"/>
  <c r="P22" i="16"/>
  <c r="Q43" i="14" s="1"/>
  <c r="P8" i="48"/>
  <c r="P26" i="48" s="1"/>
  <c r="Q13" i="14"/>
  <c r="Q16" i="14" s="1"/>
  <c r="Q27"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P15" i="48" l="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<sst xmlns="http://schemas.openxmlformats.org/spreadsheetml/2006/main" count="2579" uniqueCount="981">
  <si>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</si>
  <si>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</si>
  <si>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</si>
  <si>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</si>
  <si>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</si>
  <si>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</si>
  <si>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</si>
  <si>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</si>
  <si>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</si>
  <si>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</si>
  <si>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</si>
  <si>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</si>
  <si>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</si>
  <si>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</si>
  <si>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</si>
  <si>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</si>
  <si>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</si>
  <si>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</si>
  <si>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</si>
  <si>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</si>
  <si>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</si>
  <si>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</si>
  <si>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</si>
  <si>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</si>
  <si>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</si>
  <si>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</si>
  <si>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</si>
  <si>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</si>
  <si>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</si>
  <si>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</si>
  <si>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</si>
  <si>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</si>
  <si>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</si>
  <si>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</si>
  <si>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</si>
  <si>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</si>
  <si>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</si>
  <si>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</si>
  <si>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</si>
  <si>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</si>
  <si>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</si>
  <si>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</si>
  <si>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</si>
  <si>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</si>
  <si>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</si>
  <si>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</si>
  <si>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</si>
  <si>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</si>
  <si>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</si>
  <si>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</si>
  <si>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</si>
  <si>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</si>
  <si>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</si>
  <si>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</si>
  <si>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</si>
  <si>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</si>
  <si>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</si>
  <si>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</si>
  <si>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</si>
  <si>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</si>
  <si>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</si>
  <si>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</si>
  <si>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</si>
  <si>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</si>
  <si>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</si>
  <si>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</si>
  <si>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</si>
  <si>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</si>
  <si>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</si>
  <si>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</si>
  <si>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</si>
  <si>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</si>
  <si>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</si>
  <si>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</si>
  <si>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</si>
  <si>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</si>
  <si>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</si>
  <si>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</si>
  <si>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</si>
  <si>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</si>
  <si>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</si>
  <si>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</si>
  <si>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</si>
  <si>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</si>
  <si>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</si>
  <si>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</si>
  <si>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</si>
  <si>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</si>
  <si>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</si>
  <si>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</si>
  <si>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</si>
  <si>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</si>
  <si>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</si>
  <si>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</si>
  <si>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</si>
  <si>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</si>
  <si>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</si>
  <si>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</si>
  <si>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</si>
  <si>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</si>
  <si>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</si>
  <si>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</si>
  <si>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</si>
  <si>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</si>
  <si>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</si>
  <si>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</si>
  <si>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</si>
  <si>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</si>
  <si>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</si>
  <si>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</si>
  <si>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</si>
  <si>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</si>
  <si>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</si>
  <si>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</si>
  <si>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</si>
  <si>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</si>
  <si>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</si>
  <si>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</si>
  <si>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</si>
  <si>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</si>
  <si>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</si>
  <si>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</si>
  <si>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</si>
  <si>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</si>
  <si>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</si>
  <si>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</si>
  <si>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</si>
  <si>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</si>
  <si>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</si>
  <si>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</si>
  <si>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</si>
  <si>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</si>
  <si>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</si>
  <si>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</si>
  <si>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</si>
  <si>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</si>
  <si>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</si>
  <si>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</si>
  <si>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</si>
  <si>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</si>
  <si>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</si>
  <si>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</si>
  <si>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</si>
  <si>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</si>
  <si>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</si>
  <si>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</si>
  <si>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</si>
  <si>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</si>
  <si>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</si>
  <si>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</si>
  <si>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</si>
  <si>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</si>
  <si>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</si>
  <si>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</si>
  <si>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</si>
  <si>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</si>
  <si>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</si>
  <si>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</si>
  <si>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</si>
  <si>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</si>
  <si>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</si>
  <si>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</si>
  <si>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</si>
  <si>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</si>
  <si>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</si>
  <si>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</si>
  <si>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</si>
  <si>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</si>
  <si>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</si>
  <si>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</si>
  <si>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</si>
  <si>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</si>
  <si>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</si>
  <si>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</si>
  <si>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</si>
  <si>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</si>
  <si>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</si>
  <si>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</si>
  <si>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</si>
  <si>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</si>
  <si>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</si>
  <si>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</si>
  <si>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</si>
  <si>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</si>
  <si>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</si>
  <si>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</si>
  <si>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</si>
  <si>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</si>
  <si>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</si>
  <si>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</si>
  <si>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</si>
  <si>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</si>
  <si>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</si>
  <si>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</si>
  <si>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</si>
  <si>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</si>
  <si>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</si>
  <si>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</si>
  <si>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</si>
  <si>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</si>
  <si>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</si>
  <si>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</si>
  <si>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</si>
  <si>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</si>
  <si>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</si>
  <si>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</si>
  <si>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</si>
  <si>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</si>
  <si>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</si>
  <si>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</si>
  <si>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</si>
  <si>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</si>
  <si>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</si>
  <si>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</si>
  <si>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</si>
  <si>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</si>
  <si>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</si>
  <si>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</si>
  <si>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</si>
  <si>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</si>
  <si>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</si>
  <si>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</si>
  <si>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</si>
  <si>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</si>
  <si>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</si>
  <si>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</si>
  <si>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</si>
  <si>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</si>
  <si>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</si>
  <si>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</si>
  <si>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</si>
  <si>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</si>
  <si>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</si>
  <si>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</si>
  <si>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</si>
  <si>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</si>
  <si>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</si>
  <si>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</si>
  <si>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</si>
  <si>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</si>
  <si>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</si>
  <si>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</si>
  <si>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</si>
  <si>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</si>
  <si>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</si>
  <si>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</si>
  <si>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</si>
  <si>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</si>
  <si>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</si>
  <si>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</si>
  <si>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</si>
  <si>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</si>
  <si>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</si>
  <si>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</si>
  <si>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</si>
  <si>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</si>
  <si>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</si>
  <si>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</si>
  <si>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</si>
  <si>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</si>
  <si>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</si>
  <si>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</si>
  <si>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</si>
  <si>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</si>
  <si>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</si>
  <si>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</si>
  <si>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</si>
  <si>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</si>
  <si>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</si>
  <si>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</si>
  <si>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</si>
  <si>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</si>
  <si>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</si>
  <si>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</si>
  <si>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</si>
  <si>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</si>
  <si>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</si>
  <si>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</si>
  <si>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</si>
  <si>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</si>
  <si>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</si>
  <si>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</si>
  <si>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</si>
  <si>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</si>
  <si>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</si>
  <si>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</si>
  <si>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</si>
  <si>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</si>
  <si>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</si>
  <si>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</si>
  <si>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</si>
  <si>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</si>
  <si>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</si>
  <si>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</si>
  <si>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</si>
  <si>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</si>
  <si>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</si>
  <si>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</si>
  <si>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</si>
  <si>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</si>
  <si>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</si>
  <si>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</si>
  <si>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</si>
  <si>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</si>
  <si>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</si>
  <si>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</si>
  <si>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</si>
  <si>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</si>
  <si>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</si>
  <si>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</si>
  <si>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</si>
  <si>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</si>
  <si>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</si>
  <si>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</si>
  <si>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</si>
  <si>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</si>
  <si>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</si>
  <si>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</si>
  <si>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</si>
  <si>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</si>
  <si>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</si>
  <si>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</si>
  <si>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</si>
  <si>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</si>
  <si>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</si>
  <si>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</si>
  <si>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</si>
  <si>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</si>
  <si>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</si>
  <si>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</si>
  <si>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</si>
  <si>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</si>
  <si>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</si>
  <si>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</si>
  <si>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</si>
  <si>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</si>
  <si>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</si>
  <si>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</si>
  <si>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</si>
  <si>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</si>
  <si>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</si>
  <si>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</si>
  <si>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</si>
  <si>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</si>
  <si>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</si>
  <si>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</si>
  <si>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</si>
  <si>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</si>
  <si>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</si>
  <si>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</si>
  <si>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</si>
  <si>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</si>
  <si>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</si>
  <si>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</si>
  <si>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</si>
  <si>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</si>
  <si>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</si>
  <si>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</si>
  <si>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</si>
  <si>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</si>
  <si>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</si>
  <si>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</si>
  <si>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</si>
  <si>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</si>
  <si>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</si>
  <si>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</si>
  <si>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</si>
  <si>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</si>
  <si>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</si>
  <si>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</si>
  <si>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</si>
  <si>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</si>
  <si>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</si>
  <si>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</si>
  <si>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</si>
  <si>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</si>
  <si>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</si>
  <si>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</si>
  <si>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</si>
  <si>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</si>
  <si>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</si>
  <si>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</si>
  <si>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</si>
  <si>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</si>
  <si>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</si>
  <si>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</si>
  <si>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</si>
  <si>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</si>
  <si>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</si>
  <si>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</si>
  <si>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</si>
  <si>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</si>
  <si>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</si>
  <si>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</si>
  <si>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</si>
  <si>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</si>
  <si>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</si>
  <si>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</si>
  <si>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</si>
  <si>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</si>
  <si>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</si>
  <si>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</si>
  <si>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</si>
  <si>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</si>
  <si>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</si>
  <si>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</si>
  <si>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</si>
  <si>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</si>
  <si>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</si>
  <si>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</si>
  <si>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</si>
  <si>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</si>
  <si>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</si>
  <si>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</si>
  <si>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</si>
  <si>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</si>
  <si>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</si>
  <si>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</si>
  <si>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</si>
  <si>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</si>
  <si>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</si>
  <si>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</si>
  <si>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</si>
  <si>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</si>
  <si>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</si>
  <si>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</si>
  <si>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</si>
  <si>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</si>
  <si>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</si>
  <si>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</si>
  <si>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</si>
  <si>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</si>
  <si>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</si>
  <si>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</si>
  <si>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</si>
  <si>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</si>
  <si>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</si>
  <si>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</si>
  <si>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</si>
  <si>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</si>
  <si>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</si>
  <si>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</si>
  <si>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</si>
  <si>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</si>
  <si>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</si>
  <si>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</si>
  <si>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</si>
  <si>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</si>
  <si>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</si>
  <si>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</si>
  <si>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</si>
  <si>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</si>
  <si>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</si>
  <si>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</si>
  <si>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</si>
  <si>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</si>
  <si>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</si>
  <si>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</si>
  <si>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</si>
  <si>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</si>
  <si>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</si>
  <si>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</si>
  <si>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</si>
  <si>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</si>
  <si>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</si>
  <si>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</si>
  <si>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</si>
  <si>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</si>
  <si>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</si>
  <si>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</si>
  <si>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</si>
  <si>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</si>
  <si>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</si>
  <si>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</si>
  <si>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</si>
  <si>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</si>
  <si>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</si>
  <si>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</si>
  <si>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</si>
  <si>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</si>
  <si>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</si>
  <si>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</si>
  <si>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</si>
  <si>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</si>
  <si>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</si>
  <si>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</si>
  <si>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</si>
  <si>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</si>
  <si>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</si>
  <si>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</si>
  <si>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</si>
  <si>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</si>
  <si>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</si>
  <si>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</si>
  <si>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</si>
  <si>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</si>
  <si>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</si>
  <si>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</si>
  <si>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</si>
  <si>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</si>
  <si>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</si>
  <si>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</si>
  <si>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</si>
  <si>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</si>
  <si>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</si>
  <si>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</si>
  <si>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</si>
  <si>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</si>
  <si>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</si>
  <si>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</si>
  <si>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</si>
  <si>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</si>
  <si>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</si>
  <si>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</si>
  <si>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</si>
  <si>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</si>
  <si>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</si>
  <si>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</si>
  <si>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</si>
  <si>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</si>
  <si>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</si>
  <si>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</si>
  <si>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</si>
  <si>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</si>
  <si>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</si>
  <si>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</si>
  <si>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</si>
  <si>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</si>
  <si>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</si>
  <si>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</si>
  <si>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</si>
  <si>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</si>
  <si>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</si>
  <si>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</si>
  <si>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</si>
  <si>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</si>
  <si>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</si>
  <si>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</si>
  <si>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</si>
  <si>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</si>
  <si>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</si>
  <si>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</si>
  <si>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</si>
  <si>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</si>
  <si>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</si>
  <si>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</si>
  <si>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</si>
  <si>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</si>
  <si>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</si>
  <si>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</si>
  <si>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</si>
  <si>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</si>
  <si>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</si>
  <si>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</si>
  <si>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</si>
  <si>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</si>
  <si>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</si>
  <si>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</si>
  <si>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</si>
  <si>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</si>
  <si>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</si>
  <si>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</si>
  <si>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</si>
  <si>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</si>
  <si>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</si>
  <si>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</si>
  <si>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</si>
  <si>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</si>
  <si>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</si>
  <si>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</si>
  <si>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</si>
  <si>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</si>
  <si>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</si>
  <si>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</si>
  <si>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</si>
  <si>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</si>
  <si>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</si>
  <si>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</si>
  <si>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</si>
  <si>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</si>
  <si>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</si>
  <si>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</si>
  <si>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</si>
  <si>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</si>
  <si>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</si>
  <si>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</si>
  <si>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</si>
  <si>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</si>
  <si>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</si>
  <si>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</si>
  <si>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</si>
  <si>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</si>
  <si>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</si>
  <si>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</si>
  <si>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</si>
  <si>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</si>
  <si>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</si>
  <si>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</si>
  <si>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</si>
  <si>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</si>
  <si>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</si>
  <si>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</si>
  <si>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</si>
  <si>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</si>
  <si>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</si>
  <si>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</si>
  <si>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</si>
  <si>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</si>
  <si>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</si>
  <si>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</si>
  <si>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</si>
  <si>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</si>
  <si>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</si>
  <si>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</si>
  <si>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</si>
  <si>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</si>
  <si>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</si>
  <si>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</si>
  <si>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</si>
  <si>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</si>
  <si>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</si>
  <si>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</si>
  <si>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</si>
  <si>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</si>
  <si>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</si>
  <si>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</si>
  <si>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</si>
  <si>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</si>
  <si>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</si>
  <si>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</si>
  <si>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</si>
  <si>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</si>
  <si>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</si>
  <si>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</si>
  <si>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</si>
  <si>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</si>
  <si>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</si>
  <si>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</si>
  <si>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</si>
  <si>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</si>
  <si>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</si>
  <si>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</si>
  <si>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</si>
  <si>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</si>
  <si>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</si>
  <si>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</si>
  <si>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</si>
  <si>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</si>
  <si>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</si>
  <si>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</si>
  <si>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</si>
  <si>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</si>
  <si>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</si>
  <si>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</si>
  <si>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</si>
  <si>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</si>
  <si>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</si>
  <si>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</si>
  <si>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</si>
  <si>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</si>
  <si>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</si>
  <si>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</si>
  <si>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</si>
  <si>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</si>
  <si>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</si>
  <si>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</si>
  <si>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</si>
  <si>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</si>
  <si>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</si>
  <si>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</si>
  <si>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</si>
  <si>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</si>
  <si>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</si>
  <si>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</si>
  <si>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</si>
  <si>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</si>
  <si>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</si>
  <si>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</si>
  <si>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</si>
  <si>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</si>
  <si>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</si>
  <si>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</si>
  <si>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</si>
  <si>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</si>
  <si>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</si>
  <si>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</si>
  <si>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</si>
  <si>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</si>
  <si>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</si>
  <si>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</si>
  <si>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</si>
  <si>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</si>
  <si>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</si>
  <si>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</si>
  <si>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</si>
  <si>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</si>
  <si>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</si>
  <si>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</si>
  <si>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</si>
  <si>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</si>
  <si>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</si>
  <si>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</si>
  <si>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</si>
  <si>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</si>
  <si>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</si>
  <si>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</si>
  <si>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</si>
  <si>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</si>
  <si>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</si>
  <si>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</si>
  <si>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</si>
  <si>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</si>
  <si>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</si>
  <si>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</si>
  <si>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</si>
  <si>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</si>
  <si>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</si>
  <si>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</si>
  <si>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</si>
  <si>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</si>
  <si>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</si>
  <si>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</si>
  <si>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</si>
  <si>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</si>
  <si>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</si>
  <si>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</si>
  <si>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</si>
  <si>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</si>
  <si>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</si>
  <si>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</si>
  <si>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</si>
  <si>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</si>
  <si>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</si>
  <si>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</si>
  <si>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</si>
  <si>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</si>
  <si>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</si>
  <si>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</si>
  <si>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</si>
  <si>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</si>
  <si>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</si>
  <si>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</si>
  <si>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</si>
  <si>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</si>
  <si>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</si>
  <si>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</si>
  <si>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</si>
  <si>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</si>
  <si>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</si>
  <si>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</si>
  <si>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</si>
  <si>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</si>
  <si>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</si>
  <si>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</si>
  <si>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</si>
  <si>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</si>
  <si>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</si>
  <si>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</si>
  <si>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</si>
  <si>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</si>
  <si>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</si>
  <si>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</si>
  <si>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</si>
  <si>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</si>
  <si>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</si>
  <si>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</si>
  <si>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</si>
  <si>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</si>
  <si>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</si>
  <si>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</si>
  <si>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</si>
  <si>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</si>
  <si>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</si>
  <si>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</si>
  <si>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</si>
  <si>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</si>
  <si>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</si>
  <si>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</si>
  <si>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</si>
  <si>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</si>
  <si>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</si>
  <si>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</si>
  <si>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</si>
  <si>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</si>
  <si>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</si>
  <si>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</si>
  <si>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</si>
  <si>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</si>
  <si>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</si>
  <si>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</si>
  <si>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</si>
  <si>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</si>
  <si>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</si>
  <si>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</si>
  <si>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</si>
  <si>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</si>
  <si>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</si>
  <si>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</si>
  <si>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</si>
  <si>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</si>
  <si>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</si>
  <si>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</si>
  <si>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</si>
  <si>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</si>
  <si>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</si>
  <si>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</si>
  <si>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</si>
  <si>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</si>
  <si>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</si>
  <si>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</si>
  <si>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</si>
  <si>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</si>
  <si>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</si>
  <si>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</si>
  <si>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</si>
  <si>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</si>
  <si>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</si>
  <si>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</si>
  <si>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</si>
  <si>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</si>
  <si>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</si>
  <si>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</si>
  <si>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</si>
  <si>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</si>
  <si>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</si>
  <si>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</si>
  <si>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</si>
  <si>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</si>
  <si>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</si>
  <si>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</si>
  <si>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</si>
  <si>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</si>
  <si>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</si>
  <si>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</si>
  <si>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</si>
  <si>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</si>
  <si>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</si>
  <si>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</si>
  <si>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</si>
  <si>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</si>
  <si>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</si>
  <si>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</si>
  <si>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</si>
  <si>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</si>
  <si>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</si>
  <si>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</si>
  <si>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</si>
  <si>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</si>
  <si>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</si>
  <si>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</si>
  <si>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</si>
  <si>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</si>
  <si>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</si>
  <si>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</si>
  <si>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</si>
  <si>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</si>
  <si>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</si>
  <si>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</si>
  <si>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</si>
  <si>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</si>
  <si>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</si>
  <si>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</si>
  <si>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</si>
  <si>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</si>
  <si>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</si>
  <si>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</si>
  <si>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</si>
  <si>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</si>
  <si>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</si>
  <si>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</si>
  <si>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</si>
  <si>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</si>
  <si>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</si>
  <si>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</si>
  <si>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</si>
  <si>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</si>
  <si>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</si>
  <si>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</si>
  <si>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</si>
  <si>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</si>
  <si>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</si>
  <si>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</si>
  <si>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</si>
  <si>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</si>
  <si>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</si>
  <si>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</si>
  <si>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</si>
  <si>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</si>
  <si>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</si>
  <si>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</si>
  <si>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</si>
  <si>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</si>
  <si>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</si>
  <si>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</si>
  <si>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</si>
  <si>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</si>
  <si>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</si>
  <si>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</si>
  <si>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</si>
  <si>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</si>
  <si>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</si>
  <si>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</si>
  <si>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</si>
  <si>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</si>
  <si>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</si>
  <si>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</si>
  <si>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</si>
  <si>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</si>
  <si>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</si>
  <si>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</si>
  <si>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</si>
  <si>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</si>
  <si>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</si>
  <si>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</si>
  <si>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</si>
  <si>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</si>
  <si>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</si>
  <si>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</si>
  <si>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</si>
  <si>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</si>
  <si>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</si>
  <si>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</si>
  <si>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</si>
  <si>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</si>
  <si>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</si>
  <si>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</si>
  <si>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</si>
  <si>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</si>
  <si>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</si>
  <si>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</si>
  <si>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</si>
  <si>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</si>
  <si>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</si>
  <si>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</si>
  <si>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</si>
  <si>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</si>
  <si>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</si>
  <si>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</si>
  <si>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</si>
  <si>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</si>
  <si>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</si>
  <si>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</si>
  <si>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</si>
  <si>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</si>
  <si>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</si>
  <si>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</si>
  <si>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</si>
  <si>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</si>
  <si>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</si>
  <si>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</si>
  <si>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</si>
  <si>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</si>
  <si>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</si>
  <si>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</si>
  <si>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</si>
  <si>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</si>
  <si>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</si>
  <si>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</si>
  <si>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</si>
  <si>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</si>
  <si>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</si>
  <si>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</si>
  <si>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</si>
  <si>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</si>
  <si>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</si>
  <si>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</si>
  <si>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</si>
  <si>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</si>
  <si>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</si>
  <si>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</si>
  <si>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13021</t>
  </si>
  <si>
    <t>MEERHOUT</t>
  </si>
  <si>
    <t>Paarden&amp;pony's 200 - 600 kg</t>
  </si>
  <si>
    <t>Paarden&amp;pony's &lt; 200 kg</t>
  </si>
  <si>
    <t>Fluvius</t>
  </si>
  <si>
    <t xml:space="preserve">Bron: </t>
  </si>
  <si>
    <t>referentietaak LNE (2017); Jaarverslag De Lijn</t>
  </si>
  <si>
    <t>stirlingmotor</t>
  </si>
  <si>
    <t>IVEKA</t>
  </si>
  <si>
    <t>interne verbrandingsmotor</t>
  </si>
  <si>
    <t>WKK interne verbrandinsgmotor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</si>
</sst>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5D82503F-C7F0-4DD0-A505-BFFC1084744A}"/>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13021</v>
      </c>
      <c r="B6" s="384"/>
      <c r="C6" s="385"/>
    </row>
    <row r="7" spans="1:7" s="382" customFormat="1" ht="15.75" customHeight="1">
      <c r="A7" s="386" t="str">
        <f>txtMunicipality</f>
        <v>MEERHOUT</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29154.243093590307</v>
      </c>
      <c r="D10" s="674">
        <f ca="1">tertiair!C16</f>
        <v>15</v>
      </c>
      <c r="E10" s="674">
        <f ca="1">tertiair!D16</f>
        <v>15243.452723814391</v>
      </c>
      <c r="F10" s="674">
        <f>tertiair!E16</f>
        <v>615.8885812371077</v>
      </c>
      <c r="G10" s="674">
        <f ca="1">tertiair!F16</f>
        <v>5557.9802807402666</v>
      </c>
      <c r="H10" s="674">
        <f>tertiair!G16</f>
        <v>0</v>
      </c>
      <c r="I10" s="674">
        <f>tertiair!H16</f>
        <v>0</v>
      </c>
      <c r="J10" s="674">
        <f>tertiair!I16</f>
        <v>0</v>
      </c>
      <c r="K10" s="674">
        <f>tertiair!J16</f>
        <v>0</v>
      </c>
      <c r="L10" s="674">
        <f>tertiair!K16</f>
        <v>0</v>
      </c>
      <c r="M10" s="674">
        <f ca="1">tertiair!L16</f>
        <v>0</v>
      </c>
      <c r="N10" s="674">
        <f>tertiair!M16</f>
        <v>0</v>
      </c>
      <c r="O10" s="674">
        <f ca="1">tertiair!N16</f>
        <v>863.88400858500677</v>
      </c>
      <c r="P10" s="674">
        <f>tertiair!O16</f>
        <v>0</v>
      </c>
      <c r="Q10" s="675">
        <f>tertiair!P16</f>
        <v>0</v>
      </c>
      <c r="R10" s="677">
        <f ca="1">SUM(C10:Q10)</f>
        <v>51450.44868796708</v>
      </c>
      <c r="S10" s="67"/>
    </row>
    <row r="11" spans="1:19" s="443" customFormat="1">
      <c r="A11" s="789" t="s">
        <v>214</v>
      </c>
      <c r="B11" s="794"/>
      <c r="C11" s="674">
        <f>huishoudens!B8</f>
        <v>16867.390194656109</v>
      </c>
      <c r="D11" s="674">
        <f>huishoudens!C8</f>
        <v>0</v>
      </c>
      <c r="E11" s="674">
        <f>huishoudens!D8</f>
        <v>27468.848148814643</v>
      </c>
      <c r="F11" s="674">
        <f>huishoudens!E8</f>
        <v>1116.7600186086809</v>
      </c>
      <c r="G11" s="674">
        <f>huishoudens!F8</f>
        <v>38119.928311778785</v>
      </c>
      <c r="H11" s="674">
        <f>huishoudens!G8</f>
        <v>0</v>
      </c>
      <c r="I11" s="674">
        <f>huishoudens!H8</f>
        <v>0</v>
      </c>
      <c r="J11" s="674">
        <f>huishoudens!I8</f>
        <v>0</v>
      </c>
      <c r="K11" s="674">
        <f>huishoudens!J8</f>
        <v>858.36414061559333</v>
      </c>
      <c r="L11" s="674">
        <f>huishoudens!K8</f>
        <v>0</v>
      </c>
      <c r="M11" s="674">
        <f>huishoudens!L8</f>
        <v>0</v>
      </c>
      <c r="N11" s="674">
        <f>huishoudens!M8</f>
        <v>0</v>
      </c>
      <c r="O11" s="674">
        <f>huishoudens!N8</f>
        <v>5089.9506630102342</v>
      </c>
      <c r="P11" s="674">
        <f>huishoudens!O8</f>
        <v>78.166666666666671</v>
      </c>
      <c r="Q11" s="675">
        <f>huishoudens!P8</f>
        <v>305.06666666666666</v>
      </c>
      <c r="R11" s="677">
        <f>SUM(C11:Q11)</f>
        <v>89904.474810817395</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2453.6340767730308</v>
      </c>
      <c r="D13" s="674">
        <f>industrie!C18</f>
        <v>0</v>
      </c>
      <c r="E13" s="674">
        <f>industrie!D18</f>
        <v>1179.9362439972272</v>
      </c>
      <c r="F13" s="674">
        <f>industrie!E18</f>
        <v>23.242300884326458</v>
      </c>
      <c r="G13" s="674">
        <f>industrie!F18</f>
        <v>609.38332877678943</v>
      </c>
      <c r="H13" s="674">
        <f>industrie!G18</f>
        <v>0</v>
      </c>
      <c r="I13" s="674">
        <f>industrie!H18</f>
        <v>0</v>
      </c>
      <c r="J13" s="674">
        <f>industrie!I18</f>
        <v>0</v>
      </c>
      <c r="K13" s="674">
        <f>industrie!J18</f>
        <v>24.947708012854164</v>
      </c>
      <c r="L13" s="674">
        <f>industrie!K18</f>
        <v>0</v>
      </c>
      <c r="M13" s="674">
        <f>industrie!L18</f>
        <v>0</v>
      </c>
      <c r="N13" s="674">
        <f>industrie!M18</f>
        <v>0</v>
      </c>
      <c r="O13" s="674">
        <f>industrie!N18</f>
        <v>51.137860009899072</v>
      </c>
      <c r="P13" s="674">
        <f>industrie!O18</f>
        <v>0</v>
      </c>
      <c r="Q13" s="675">
        <f>industrie!P18</f>
        <v>0</v>
      </c>
      <c r="R13" s="677">
        <f>SUM(C13:Q13)</f>
        <v>4342.2815184541278</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48475.267365019448</v>
      </c>
      <c r="D16" s="707">
        <f t="shared" ref="D16:R16" ca="1" si="0">SUM(D9:D15)</f>
        <v>15</v>
      </c>
      <c r="E16" s="707">
        <f t="shared" ca="1" si="0"/>
        <v>43892.23711662626</v>
      </c>
      <c r="F16" s="707">
        <f t="shared" si="0"/>
        <v>1755.8909007301149</v>
      </c>
      <c r="G16" s="707">
        <f t="shared" ca="1" si="0"/>
        <v>44287.291921295844</v>
      </c>
      <c r="H16" s="707">
        <f t="shared" si="0"/>
        <v>0</v>
      </c>
      <c r="I16" s="707">
        <f t="shared" si="0"/>
        <v>0</v>
      </c>
      <c r="J16" s="707">
        <f t="shared" si="0"/>
        <v>0</v>
      </c>
      <c r="K16" s="707">
        <f t="shared" si="0"/>
        <v>883.31184862844748</v>
      </c>
      <c r="L16" s="707">
        <f t="shared" si="0"/>
        <v>0</v>
      </c>
      <c r="M16" s="707">
        <f t="shared" ca="1" si="0"/>
        <v>0</v>
      </c>
      <c r="N16" s="707">
        <f t="shared" si="0"/>
        <v>0</v>
      </c>
      <c r="O16" s="707">
        <f t="shared" ca="1" si="0"/>
        <v>6004.9725316051399</v>
      </c>
      <c r="P16" s="707">
        <f t="shared" si="0"/>
        <v>78.166666666666671</v>
      </c>
      <c r="Q16" s="707">
        <f t="shared" si="0"/>
        <v>305.06666666666666</v>
      </c>
      <c r="R16" s="707">
        <f t="shared" ca="1" si="0"/>
        <v>145697.20501723862</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3.1399337193527166</v>
      </c>
      <c r="D19" s="674">
        <f>transport!C54</f>
        <v>0</v>
      </c>
      <c r="E19" s="674">
        <f>transport!D54</f>
        <v>0</v>
      </c>
      <c r="F19" s="674">
        <f>transport!E54</f>
        <v>0</v>
      </c>
      <c r="G19" s="674">
        <f>transport!F54</f>
        <v>0</v>
      </c>
      <c r="H19" s="674">
        <f>transport!G54</f>
        <v>681.17709592378776</v>
      </c>
      <c r="I19" s="674">
        <f>transport!H54</f>
        <v>0</v>
      </c>
      <c r="J19" s="674">
        <f>transport!I54</f>
        <v>0</v>
      </c>
      <c r="K19" s="674">
        <f>transport!J54</f>
        <v>0</v>
      </c>
      <c r="L19" s="674">
        <f>transport!K54</f>
        <v>0</v>
      </c>
      <c r="M19" s="674">
        <f>transport!L54</f>
        <v>0</v>
      </c>
      <c r="N19" s="674">
        <f>transport!M54</f>
        <v>29.165386676599166</v>
      </c>
      <c r="O19" s="674">
        <f>transport!N54</f>
        <v>0</v>
      </c>
      <c r="P19" s="674">
        <f>transport!O54</f>
        <v>0</v>
      </c>
      <c r="Q19" s="675">
        <f>transport!P54</f>
        <v>0</v>
      </c>
      <c r="R19" s="677">
        <f>SUM(C19:Q19)</f>
        <v>713.48241631973963</v>
      </c>
      <c r="S19" s="67"/>
    </row>
    <row r="20" spans="1:19" s="443" customFormat="1">
      <c r="A20" s="789" t="s">
        <v>296</v>
      </c>
      <c r="B20" s="794"/>
      <c r="C20" s="674">
        <f>transport!B14</f>
        <v>0.96563946630373609</v>
      </c>
      <c r="D20" s="674">
        <f>transport!C14</f>
        <v>0</v>
      </c>
      <c r="E20" s="674">
        <f>transport!D14</f>
        <v>3.0606164483783367</v>
      </c>
      <c r="F20" s="674">
        <f>transport!E14</f>
        <v>338.83964425518701</v>
      </c>
      <c r="G20" s="674">
        <f>transport!F14</f>
        <v>0</v>
      </c>
      <c r="H20" s="674">
        <f>transport!G14</f>
        <v>66591.813085418908</v>
      </c>
      <c r="I20" s="674">
        <f>transport!H14</f>
        <v>10315.366214515727</v>
      </c>
      <c r="J20" s="674">
        <f>transport!I14</f>
        <v>0</v>
      </c>
      <c r="K20" s="674">
        <f>transport!J14</f>
        <v>0</v>
      </c>
      <c r="L20" s="674">
        <f>transport!K14</f>
        <v>0</v>
      </c>
      <c r="M20" s="674">
        <f>transport!L14</f>
        <v>0</v>
      </c>
      <c r="N20" s="674">
        <f>transport!M14</f>
        <v>3343.4858261717868</v>
      </c>
      <c r="O20" s="674">
        <f>transport!N14</f>
        <v>0</v>
      </c>
      <c r="P20" s="674">
        <f>transport!O14</f>
        <v>0</v>
      </c>
      <c r="Q20" s="675">
        <f>transport!P14</f>
        <v>0</v>
      </c>
      <c r="R20" s="677">
        <f>SUM(C20:Q20)</f>
        <v>80593.531026276294</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4.1055731856564526</v>
      </c>
      <c r="D22" s="792">
        <f t="shared" ref="D22:R22" si="1">SUM(D18:D21)</f>
        <v>0</v>
      </c>
      <c r="E22" s="792">
        <f t="shared" si="1"/>
        <v>3.0606164483783367</v>
      </c>
      <c r="F22" s="792">
        <f t="shared" si="1"/>
        <v>338.83964425518701</v>
      </c>
      <c r="G22" s="792">
        <f t="shared" si="1"/>
        <v>0</v>
      </c>
      <c r="H22" s="792">
        <f t="shared" si="1"/>
        <v>67272.990181342699</v>
      </c>
      <c r="I22" s="792">
        <f t="shared" si="1"/>
        <v>10315.366214515727</v>
      </c>
      <c r="J22" s="792">
        <f t="shared" si="1"/>
        <v>0</v>
      </c>
      <c r="K22" s="792">
        <f t="shared" si="1"/>
        <v>0</v>
      </c>
      <c r="L22" s="792">
        <f t="shared" si="1"/>
        <v>0</v>
      </c>
      <c r="M22" s="792">
        <f t="shared" si="1"/>
        <v>0</v>
      </c>
      <c r="N22" s="792">
        <f t="shared" si="1"/>
        <v>3372.651212848386</v>
      </c>
      <c r="O22" s="792">
        <f t="shared" si="1"/>
        <v>0</v>
      </c>
      <c r="P22" s="792">
        <f t="shared" si="1"/>
        <v>0</v>
      </c>
      <c r="Q22" s="792">
        <f t="shared" si="1"/>
        <v>0</v>
      </c>
      <c r="R22" s="792">
        <f t="shared" si="1"/>
        <v>81307.013442596028</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1196.9936111180566</v>
      </c>
      <c r="D24" s="674">
        <f>+landbouw!C8</f>
        <v>1568.5714285714287</v>
      </c>
      <c r="E24" s="674">
        <f>+landbouw!D8</f>
        <v>123.55051397162732</v>
      </c>
      <c r="F24" s="674">
        <f>+landbouw!E8</f>
        <v>12.535176234177488</v>
      </c>
      <c r="G24" s="674">
        <f>+landbouw!F8</f>
        <v>5124.042177566087</v>
      </c>
      <c r="H24" s="674">
        <f>+landbouw!G8</f>
        <v>0</v>
      </c>
      <c r="I24" s="674">
        <f>+landbouw!H8</f>
        <v>0</v>
      </c>
      <c r="J24" s="674">
        <f>+landbouw!I8</f>
        <v>0</v>
      </c>
      <c r="K24" s="674">
        <f>+landbouw!J8</f>
        <v>106.90225830960922</v>
      </c>
      <c r="L24" s="674">
        <f>+landbouw!K8</f>
        <v>0</v>
      </c>
      <c r="M24" s="674">
        <f>+landbouw!L8</f>
        <v>0</v>
      </c>
      <c r="N24" s="674">
        <f>+landbouw!M8</f>
        <v>0</v>
      </c>
      <c r="O24" s="674">
        <f>+landbouw!N8</f>
        <v>0</v>
      </c>
      <c r="P24" s="674">
        <f>+landbouw!O8</f>
        <v>0</v>
      </c>
      <c r="Q24" s="675">
        <f>+landbouw!P8</f>
        <v>0</v>
      </c>
      <c r="R24" s="677">
        <f>SUM(C24:Q24)</f>
        <v>8132.5951657709866</v>
      </c>
      <c r="S24" s="67"/>
    </row>
    <row r="25" spans="1:19" s="443" customFormat="1" ht="15" thickBot="1">
      <c r="A25" s="811" t="s">
        <v>889</v>
      </c>
      <c r="B25" s="966"/>
      <c r="C25" s="967">
        <f>IF(Onbekend_ele_kWh="---",0,Onbekend_ele_kWh)/1000+IF(REST_rest_ele_kWh="---",0,REST_rest_ele_kWh)/1000</f>
        <v>766.22894940245203</v>
      </c>
      <c r="D25" s="967"/>
      <c r="E25" s="967">
        <f>IF(onbekend_gas_kWh="---",0,onbekend_gas_kWh)/1000+IF(REST_rest_gas_kWh="---",0,REST_rest_gas_kWh)/1000</f>
        <v>1258.09720116991</v>
      </c>
      <c r="F25" s="967"/>
      <c r="G25" s="967"/>
      <c r="H25" s="967"/>
      <c r="I25" s="967"/>
      <c r="J25" s="967"/>
      <c r="K25" s="967"/>
      <c r="L25" s="967"/>
      <c r="M25" s="967"/>
      <c r="N25" s="967"/>
      <c r="O25" s="967"/>
      <c r="P25" s="967"/>
      <c r="Q25" s="968"/>
      <c r="R25" s="677">
        <f>SUM(C25:Q25)</f>
        <v>2024.3261505723622</v>
      </c>
      <c r="S25" s="67"/>
    </row>
    <row r="26" spans="1:19" s="443" customFormat="1" ht="15.75" thickBot="1">
      <c r="A26" s="680" t="s">
        <v>890</v>
      </c>
      <c r="B26" s="797"/>
      <c r="C26" s="792">
        <f>SUM(C24:C25)</f>
        <v>1963.2225605205085</v>
      </c>
      <c r="D26" s="792">
        <f t="shared" ref="D26:R26" si="2">SUM(D24:D25)</f>
        <v>1568.5714285714287</v>
      </c>
      <c r="E26" s="792">
        <f t="shared" si="2"/>
        <v>1381.6477151415374</v>
      </c>
      <c r="F26" s="792">
        <f t="shared" si="2"/>
        <v>12.535176234177488</v>
      </c>
      <c r="G26" s="792">
        <f t="shared" si="2"/>
        <v>5124.042177566087</v>
      </c>
      <c r="H26" s="792">
        <f t="shared" si="2"/>
        <v>0</v>
      </c>
      <c r="I26" s="792">
        <f t="shared" si="2"/>
        <v>0</v>
      </c>
      <c r="J26" s="792">
        <f t="shared" si="2"/>
        <v>0</v>
      </c>
      <c r="K26" s="792">
        <f t="shared" si="2"/>
        <v>106.90225830960922</v>
      </c>
      <c r="L26" s="792">
        <f t="shared" si="2"/>
        <v>0</v>
      </c>
      <c r="M26" s="792">
        <f t="shared" si="2"/>
        <v>0</v>
      </c>
      <c r="N26" s="792">
        <f t="shared" si="2"/>
        <v>0</v>
      </c>
      <c r="O26" s="792">
        <f t="shared" si="2"/>
        <v>0</v>
      </c>
      <c r="P26" s="792">
        <f t="shared" si="2"/>
        <v>0</v>
      </c>
      <c r="Q26" s="792">
        <f t="shared" si="2"/>
        <v>0</v>
      </c>
      <c r="R26" s="792">
        <f t="shared" si="2"/>
        <v>10156.921316343349</v>
      </c>
      <c r="S26" s="67"/>
    </row>
    <row r="27" spans="1:19" s="443" customFormat="1" ht="17.25" thickTop="1" thickBot="1">
      <c r="A27" s="681" t="s">
        <v>109</v>
      </c>
      <c r="B27" s="784"/>
      <c r="C27" s="682">
        <f ca="1">C22+C16+C26</f>
        <v>50442.595498725612</v>
      </c>
      <c r="D27" s="682">
        <f t="shared" ref="D27:R27" ca="1" si="3">D22+D16+D26</f>
        <v>1583.5714285714287</v>
      </c>
      <c r="E27" s="682">
        <f t="shared" ca="1" si="3"/>
        <v>45276.945448216175</v>
      </c>
      <c r="F27" s="682">
        <f t="shared" si="3"/>
        <v>2107.2657212194795</v>
      </c>
      <c r="G27" s="682">
        <f t="shared" ca="1" si="3"/>
        <v>49411.334098861931</v>
      </c>
      <c r="H27" s="682">
        <f t="shared" si="3"/>
        <v>67272.990181342699</v>
      </c>
      <c r="I27" s="682">
        <f t="shared" si="3"/>
        <v>10315.366214515727</v>
      </c>
      <c r="J27" s="682">
        <f t="shared" si="3"/>
        <v>0</v>
      </c>
      <c r="K27" s="682">
        <f t="shared" si="3"/>
        <v>990.21410693805672</v>
      </c>
      <c r="L27" s="682">
        <f t="shared" si="3"/>
        <v>0</v>
      </c>
      <c r="M27" s="682">
        <f t="shared" ca="1" si="3"/>
        <v>0</v>
      </c>
      <c r="N27" s="682">
        <f t="shared" si="3"/>
        <v>3372.651212848386</v>
      </c>
      <c r="O27" s="682">
        <f t="shared" ca="1" si="3"/>
        <v>6004.9725316051399</v>
      </c>
      <c r="P27" s="682">
        <f t="shared" si="3"/>
        <v>78.166666666666671</v>
      </c>
      <c r="Q27" s="682">
        <f t="shared" si="3"/>
        <v>305.06666666666666</v>
      </c>
      <c r="R27" s="682">
        <f t="shared" ca="1" si="3"/>
        <v>237161.139776178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4077.7481499087285</v>
      </c>
      <c r="D40" s="674">
        <f ca="1">tertiair!C20</f>
        <v>2.2573435504469989E-2</v>
      </c>
      <c r="E40" s="674">
        <f ca="1">tertiair!D20</f>
        <v>3079.1774502105072</v>
      </c>
      <c r="F40" s="674">
        <f>tertiair!E20</f>
        <v>139.80670794082346</v>
      </c>
      <c r="G40" s="674">
        <f ca="1">tertiair!F20</f>
        <v>1483.9807349576513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8780.7356164532139</v>
      </c>
    </row>
    <row r="41" spans="1:18">
      <c r="A41" s="802" t="s">
        <v>214</v>
      </c>
      <c r="B41" s="809"/>
      <c r="C41" s="674">
        <f ca="1">huishoudens!B12</f>
        <v>2359.2095647706724</v>
      </c>
      <c r="D41" s="674">
        <f ca="1">huishoudens!C12</f>
        <v>0</v>
      </c>
      <c r="E41" s="674">
        <f>huishoudens!D12</f>
        <v>5548.7073260605584</v>
      </c>
      <c r="F41" s="674">
        <f>huishoudens!E12</f>
        <v>253.50452422417055</v>
      </c>
      <c r="G41" s="674">
        <f>huishoudens!F12</f>
        <v>10178.020859244936</v>
      </c>
      <c r="H41" s="674">
        <f>huishoudens!G12</f>
        <v>0</v>
      </c>
      <c r="I41" s="674">
        <f>huishoudens!H12</f>
        <v>0</v>
      </c>
      <c r="J41" s="674">
        <f>huishoudens!I12</f>
        <v>0</v>
      </c>
      <c r="K41" s="674">
        <f>huishoudens!J12</f>
        <v>303.86090577792004</v>
      </c>
      <c r="L41" s="674">
        <f>huishoudens!K12</f>
        <v>0</v>
      </c>
      <c r="M41" s="674">
        <f>huishoudens!L12</f>
        <v>0</v>
      </c>
      <c r="N41" s="674">
        <f>huishoudens!M12</f>
        <v>0</v>
      </c>
      <c r="O41" s="674">
        <f>huishoudens!N12</f>
        <v>0</v>
      </c>
      <c r="P41" s="674">
        <f>huishoudens!O12</f>
        <v>0</v>
      </c>
      <c r="Q41" s="749">
        <f>huishoudens!P12</f>
        <v>0</v>
      </c>
      <c r="R41" s="830">
        <f t="shared" ca="1" si="4"/>
        <v>18643.303180078259</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343.18509950662883</v>
      </c>
      <c r="D43" s="674">
        <f ca="1">industrie!C22</f>
        <v>0</v>
      </c>
      <c r="E43" s="674">
        <f>industrie!D22</f>
        <v>238.3471212874399</v>
      </c>
      <c r="F43" s="674">
        <f>industrie!E22</f>
        <v>5.276002300742106</v>
      </c>
      <c r="G43" s="674">
        <f>industrie!F22</f>
        <v>162.7053487834028</v>
      </c>
      <c r="H43" s="674">
        <f>industrie!G22</f>
        <v>0</v>
      </c>
      <c r="I43" s="674">
        <f>industrie!H22</f>
        <v>0</v>
      </c>
      <c r="J43" s="674">
        <f>industrie!I22</f>
        <v>0</v>
      </c>
      <c r="K43" s="674">
        <f>industrie!J22</f>
        <v>8.8314886365503735</v>
      </c>
      <c r="L43" s="674">
        <f>industrie!K22</f>
        <v>0</v>
      </c>
      <c r="M43" s="674">
        <f>industrie!L22</f>
        <v>0</v>
      </c>
      <c r="N43" s="674">
        <f>industrie!M22</f>
        <v>0</v>
      </c>
      <c r="O43" s="674">
        <f>industrie!N22</f>
        <v>0</v>
      </c>
      <c r="P43" s="674">
        <f>industrie!O22</f>
        <v>0</v>
      </c>
      <c r="Q43" s="749">
        <f>industrie!P22</f>
        <v>0</v>
      </c>
      <c r="R43" s="829">
        <f t="shared" ca="1" si="4"/>
        <v>758.34506051476399</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6780.1428141860297</v>
      </c>
      <c r="D46" s="707">
        <f t="shared" ref="D46:Q46" ca="1" si="5">SUM(D39:D45)</f>
        <v>2.2573435504469989E-2</v>
      </c>
      <c r="E46" s="707">
        <f t="shared" ca="1" si="5"/>
        <v>8866.231897558504</v>
      </c>
      <c r="F46" s="707">
        <f t="shared" si="5"/>
        <v>398.58723446573612</v>
      </c>
      <c r="G46" s="707">
        <f t="shared" ca="1" si="5"/>
        <v>11824.706942985991</v>
      </c>
      <c r="H46" s="707">
        <f t="shared" si="5"/>
        <v>0</v>
      </c>
      <c r="I46" s="707">
        <f t="shared" si="5"/>
        <v>0</v>
      </c>
      <c r="J46" s="707">
        <f t="shared" si="5"/>
        <v>0</v>
      </c>
      <c r="K46" s="707">
        <f t="shared" si="5"/>
        <v>312.69239441447041</v>
      </c>
      <c r="L46" s="707">
        <f t="shared" si="5"/>
        <v>0</v>
      </c>
      <c r="M46" s="707">
        <f t="shared" ca="1" si="5"/>
        <v>0</v>
      </c>
      <c r="N46" s="707">
        <f t="shared" si="5"/>
        <v>0</v>
      </c>
      <c r="O46" s="707">
        <f t="shared" ca="1" si="5"/>
        <v>0</v>
      </c>
      <c r="P46" s="707">
        <f t="shared" si="5"/>
        <v>0</v>
      </c>
      <c r="Q46" s="707">
        <f t="shared" si="5"/>
        <v>0</v>
      </c>
      <c r="R46" s="707">
        <f ca="1">SUM(R39:R45)</f>
        <v>28182.383857046236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0.4391765162218037</v>
      </c>
      <c r="D49" s="674">
        <f ca="1">transport!C58</f>
        <v>0</v>
      </c>
      <c r="E49" s="674">
        <f>transport!D58</f>
        <v>0</v>
      </c>
      <c r="F49" s="674">
        <f>transport!E58</f>
        <v>0</v>
      </c>
      <c r="G49" s="674">
        <f>transport!F58</f>
        <v>0</v>
      </c>
      <c r="H49" s="674">
        <f>transport!G58</f>
        <v>181.87428461165135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182.31346112787315</v>
      </c>
    </row>
    <row r="50" spans="1:18">
      <c r="A50" s="805" t="s">
        <v>296</v>
      </c>
      <c r="B50" s="815"/>
      <c r="C50" s="973">
        <f ca="1">transport!B18</f>
        <v>0.13506214291204213</v>
      </c>
      <c r="D50" s="973">
        <f>transport!C18</f>
        <v>0</v>
      </c>
      <c r="E50" s="973">
        <f>transport!D18</f>
        <v>0.61824452257242402</v>
      </c>
      <c r="F50" s="973">
        <f>transport!E18</f>
        <v>76.916599245927458</v>
      </c>
      <c r="G50" s="973">
        <f>transport!F18</f>
        <v>0</v>
      </c>
      <c r="H50" s="973">
        <f>transport!G18</f>
        <v>17780.014093806851</v>
      </c>
      <c r="I50" s="973">
        <f>transport!H18</f>
        <v>2568.5261874144157</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20426.210187132678</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0.57423865913384586</v>
      </c>
      <c r="D52" s="707">
        <f t="shared" ref="D52:Q52" ca="1" si="6">SUM(D48:D51)</f>
        <v>0</v>
      </c>
      <c r="E52" s="707">
        <f t="shared" si="6"/>
        <v>0.61824452257242402</v>
      </c>
      <c r="F52" s="707">
        <f t="shared" si="6"/>
        <v>76.916599245927458</v>
      </c>
      <c r="G52" s="707">
        <f t="shared" si="6"/>
        <v>0</v>
      </c>
      <c r="H52" s="707">
        <f t="shared" si="6"/>
        <v>17961.888378418502</v>
      </c>
      <c r="I52" s="707">
        <f t="shared" si="6"/>
        <v>2568.5261874144157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20608.523648260551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167.42120409438246</v>
      </c>
      <c r="D54" s="973">
        <f ca="1">+landbouw!C12</f>
        <v>2.3605363984674335</v>
      </c>
      <c r="E54" s="973">
        <f>+landbouw!D12</f>
        <v>24.95720382226872</v>
      </c>
      <c r="F54" s="973">
        <f>+landbouw!E12</f>
        <v>2.8454850051582898</v>
      </c>
      <c r="G54" s="973">
        <f>+landbouw!F12</f>
        <v>1368.1192614101453</v>
      </c>
      <c r="H54" s="973">
        <f>+landbouw!G12</f>
        <v>0</v>
      </c>
      <c r="I54" s="973">
        <f>+landbouw!H12</f>
        <v>0</v>
      </c>
      <c r="J54" s="973">
        <f>+landbouw!I12</f>
        <v>0</v>
      </c>
      <c r="K54" s="973">
        <f>+landbouw!J12</f>
        <v>37.843399441601662</v>
      </c>
      <c r="L54" s="973">
        <f>+landbouw!K12</f>
        <v>0</v>
      </c>
      <c r="M54" s="973">
        <f>+landbouw!L12</f>
        <v>0</v>
      </c>
      <c r="N54" s="973">
        <f>+landbouw!M12</f>
        <v>0</v>
      </c>
      <c r="O54" s="973">
        <f>+landbouw!N12</f>
        <v>0</v>
      </c>
      <c r="P54" s="973">
        <f>+landbouw!O12</f>
        <v>0</v>
      </c>
      <c r="Q54" s="974">
        <f>+landbouw!P12</f>
        <v>0</v>
      </c>
      <c r="R54" s="706">
        <f ca="1">SUM(C54:Q54)</f>
        <v>1603.5470901720239</v>
      </c>
    </row>
    <row r="55" spans="1:18" ht="15" thickBot="1">
      <c r="A55" s="805" t="s">
        <v>889</v>
      </c>
      <c r="B55" s="815"/>
      <c r="C55" s="973">
        <f ca="1">C25*'EF ele_warmte'!B12</f>
        <v>107.17097579251818</v>
      </c>
      <c r="D55" s="973"/>
      <c r="E55" s="973">
        <f>E25*EF_CO2_aardgas</f>
        <v>254.13563463632184</v>
      </c>
      <c r="F55" s="973"/>
      <c r="G55" s="973"/>
      <c r="H55" s="973"/>
      <c r="I55" s="973"/>
      <c r="J55" s="973"/>
      <c r="K55" s="973"/>
      <c r="L55" s="973"/>
      <c r="M55" s="973"/>
      <c r="N55" s="973"/>
      <c r="O55" s="973"/>
      <c r="P55" s="973"/>
      <c r="Q55" s="974"/>
      <c r="R55" s="706">
        <f ca="1">SUM(C55:Q55)</f>
        <v>361.30661042884003</v>
      </c>
    </row>
    <row r="56" spans="1:18" ht="15.75" thickBot="1">
      <c r="A56" s="803" t="s">
        <v>890</v>
      </c>
      <c r="B56" s="816"/>
      <c r="C56" s="707">
        <f ca="1">SUM(C54:C55)</f>
        <v>274.59217988690062</v>
      </c>
      <c r="D56" s="707">
        <f t="shared" ref="D56:Q56" ca="1" si="7">SUM(D54:D55)</f>
        <v>2.3605363984674335</v>
      </c>
      <c r="E56" s="707">
        <f t="shared" si="7"/>
        <v>279.09283845859056</v>
      </c>
      <c r="F56" s="707">
        <f t="shared" si="7"/>
        <v>2.8454850051582898</v>
      </c>
      <c r="G56" s="707">
        <f t="shared" si="7"/>
        <v>1368.1192614101453</v>
      </c>
      <c r="H56" s="707">
        <f t="shared" si="7"/>
        <v>0</v>
      </c>
      <c r="I56" s="707">
        <f t="shared" si="7"/>
        <v>0</v>
      </c>
      <c r="J56" s="707">
        <f t="shared" si="7"/>
        <v>0</v>
      </c>
      <c r="K56" s="707">
        <f t="shared" si="7"/>
        <v>37.843399441601662</v>
      </c>
      <c r="L56" s="707">
        <f t="shared" si="7"/>
        <v>0</v>
      </c>
      <c r="M56" s="707">
        <f t="shared" si="7"/>
        <v>0</v>
      </c>
      <c r="N56" s="707">
        <f t="shared" si="7"/>
        <v>0</v>
      </c>
      <c r="O56" s="707">
        <f t="shared" si="7"/>
        <v>0</v>
      </c>
      <c r="P56" s="707">
        <f t="shared" si="7"/>
        <v>0</v>
      </c>
      <c r="Q56" s="708">
        <f t="shared" si="7"/>
        <v>0</v>
      </c>
      <c r="R56" s="709">
        <f ca="1">SUM(R54:R55)</f>
        <v>1964.8537006008639</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7055.3092327320637</v>
      </c>
      <c r="D61" s="715">
        <f t="shared" ref="D61:Q61" ca="1" si="8">D46+D52+D56</f>
        <v>2.3831098339719032</v>
      </c>
      <c r="E61" s="715">
        <f t="shared" ca="1" si="8"/>
        <v>9145.9429805396685</v>
      </c>
      <c r="F61" s="715">
        <f t="shared" si="8"/>
        <v>478.34931871682187</v>
      </c>
      <c r="G61" s="715">
        <f t="shared" ca="1" si="8"/>
        <v>13192.826204396137</v>
      </c>
      <c r="H61" s="715">
        <f t="shared" si="8"/>
        <v>17961.888378418502</v>
      </c>
      <c r="I61" s="715">
        <f t="shared" si="8"/>
        <v>2568.5261874144157</v>
      </c>
      <c r="J61" s="715">
        <f t="shared" si="8"/>
        <v>0</v>
      </c>
      <c r="K61" s="715">
        <f t="shared" si="8"/>
        <v>350.53579385607208</v>
      </c>
      <c r="L61" s="715">
        <f t="shared" si="8"/>
        <v>0</v>
      </c>
      <c r="M61" s="715">
        <f t="shared" ca="1" si="8"/>
        <v>0</v>
      </c>
      <c r="N61" s="715">
        <f t="shared" si="8"/>
        <v>0</v>
      </c>
      <c r="O61" s="715">
        <f t="shared" ca="1" si="8"/>
        <v>0</v>
      </c>
      <c r="P61" s="715">
        <f t="shared" si="8"/>
        <v>0</v>
      </c>
      <c r="Q61" s="715">
        <f t="shared" si="8"/>
        <v>0</v>
      </c>
      <c r="R61" s="715">
        <f ca="1">R46+R52+R56</f>
        <v>50755.761205907649</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0.13986808495828312</v>
      </c>
      <c r="D63" s="759">
        <f t="shared" ca="1" si="9"/>
        <v>1.5048957002979993E-3</v>
      </c>
      <c r="E63" s="975">
        <f t="shared" ca="1" si="9"/>
        <v>0.20200000000000004</v>
      </c>
      <c r="F63" s="759">
        <f t="shared" si="9"/>
        <v>0.22700000000000001</v>
      </c>
      <c r="G63" s="759">
        <f t="shared" ca="1" si="9"/>
        <v>0.26700000000000002</v>
      </c>
      <c r="H63" s="759">
        <f t="shared" si="9"/>
        <v>0.26700000000000002</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14866.817932190655</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2557.7986408967854</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1094.0253393665159</v>
      </c>
      <c r="C76" s="725">
        <f>'lokale energieproductie'!B8*IFERROR(SUM(D76:H76)/SUM(D76:O76),0)</f>
        <v>6.9746606334841621</v>
      </c>
      <c r="D76" s="985">
        <f>'lokale energieproductie'!C8</f>
        <v>8.2024265644955303</v>
      </c>
      <c r="E76" s="986">
        <f>'lokale energieproductie'!D8</f>
        <v>0</v>
      </c>
      <c r="F76" s="986">
        <f>'lokale energieproductie'!E8</f>
        <v>0</v>
      </c>
      <c r="G76" s="986">
        <f>'lokale energieproductie'!F8</f>
        <v>0</v>
      </c>
      <c r="H76" s="986">
        <f>'lokale energieproductie'!G8</f>
        <v>0</v>
      </c>
      <c r="I76" s="986">
        <f>'lokale energieproductie'!I8</f>
        <v>0</v>
      </c>
      <c r="J76" s="986">
        <f>'lokale energieproductie'!J8</f>
        <v>1286.6091954022991</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1.6568901660280972</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18518.641912453957</v>
      </c>
      <c r="C78" s="730">
        <f>SUM(C72:C77)</f>
        <v>6.9746606334841621</v>
      </c>
      <c r="D78" s="731">
        <f t="shared" ref="D78:H78" si="10">SUM(D76:D77)</f>
        <v>8.2024265644955303</v>
      </c>
      <c r="E78" s="731">
        <f t="shared" si="10"/>
        <v>0</v>
      </c>
      <c r="F78" s="731">
        <f t="shared" si="10"/>
        <v>0</v>
      </c>
      <c r="G78" s="731">
        <f t="shared" si="10"/>
        <v>0</v>
      </c>
      <c r="H78" s="731">
        <f t="shared" si="10"/>
        <v>0</v>
      </c>
      <c r="I78" s="731">
        <f>SUM(I76:I77)</f>
        <v>0</v>
      </c>
      <c r="J78" s="731">
        <f>SUM(J76:J77)</f>
        <v>1286.6091954022991</v>
      </c>
      <c r="K78" s="731">
        <f t="shared" ref="K78:L78" si="11">SUM(K76:K77)</f>
        <v>0</v>
      </c>
      <c r="L78" s="731">
        <f t="shared" si="11"/>
        <v>0</v>
      </c>
      <c r="M78" s="731">
        <f>SUM(M76:M77)</f>
        <v>0</v>
      </c>
      <c r="N78" s="731">
        <f>SUM(N76:N77)</f>
        <v>0</v>
      </c>
      <c r="O78" s="840">
        <f>SUM(O76:O77)</f>
        <v>0</v>
      </c>
      <c r="P78" s="732">
        <v>0</v>
      </c>
      <c r="Q78" s="732">
        <f>SUM(Q76:Q77)</f>
        <v>1.6568901660280972</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1573.5397543632837</v>
      </c>
      <c r="C87" s="741">
        <f>'lokale energieproductie'!B17*IFERROR(SUM(D87:H87)/SUM(D87:O87),0)</f>
        <v>10.031674208144796</v>
      </c>
      <c r="D87" s="752">
        <f>'lokale energieproductie'!C17</f>
        <v>11.797573435504471</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1850.5336617405587</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2.3831098339719032</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1573.5397543632837</v>
      </c>
      <c r="C90" s="730">
        <f>SUM(C87:C89)</f>
        <v>10.031674208144796</v>
      </c>
      <c r="D90" s="730">
        <f t="shared" ref="D90:H90" si="12">SUM(D87:D89)</f>
        <v>11.797573435504471</v>
      </c>
      <c r="E90" s="730">
        <f t="shared" si="12"/>
        <v>0</v>
      </c>
      <c r="F90" s="730">
        <f t="shared" si="12"/>
        <v>0</v>
      </c>
      <c r="G90" s="730">
        <f t="shared" si="12"/>
        <v>0</v>
      </c>
      <c r="H90" s="730">
        <f t="shared" si="12"/>
        <v>0</v>
      </c>
      <c r="I90" s="730">
        <f>SUM(I87:I89)</f>
        <v>0</v>
      </c>
      <c r="J90" s="730">
        <f>SUM(J87:J89)</f>
        <v>1850.5336617405587</v>
      </c>
      <c r="K90" s="730">
        <f t="shared" ref="K90:L90" si="13">SUM(K87:K89)</f>
        <v>0</v>
      </c>
      <c r="L90" s="730">
        <f t="shared" si="13"/>
        <v>0</v>
      </c>
      <c r="M90" s="730">
        <f>SUM(M87:M89)</f>
        <v>0</v>
      </c>
      <c r="N90" s="730">
        <f>SUM(N87:N89)</f>
        <v>0</v>
      </c>
      <c r="O90" s="730">
        <f>SUM(O87:O89)</f>
        <v>0</v>
      </c>
      <c r="P90" s="730">
        <v>0</v>
      </c>
      <c r="Q90" s="730">
        <f>SUM(Q87:Q89)</f>
        <v>2.3831098339719032</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16867.390194656109</v>
      </c>
      <c r="C4" s="447">
        <f>huishoudens!C8</f>
        <v>0</v>
      </c>
      <c r="D4" s="447">
        <f>huishoudens!D8</f>
        <v>27468.848148814643</v>
      </c>
      <c r="E4" s="447">
        <f>huishoudens!E8</f>
        <v>1116.7600186086809</v>
      </c>
      <c r="F4" s="447">
        <f>huishoudens!F8</f>
        <v>38119.928311778785</v>
      </c>
      <c r="G4" s="447">
        <f>huishoudens!G8</f>
        <v>0</v>
      </c>
      <c r="H4" s="447">
        <f>huishoudens!H8</f>
        <v>0</v>
      </c>
      <c r="I4" s="447">
        <f>huishoudens!I8</f>
        <v>0</v>
      </c>
      <c r="J4" s="447">
        <f>huishoudens!J8</f>
        <v>858.36414061559333</v>
      </c>
      <c r="K4" s="447">
        <f>huishoudens!K8</f>
        <v>0</v>
      </c>
      <c r="L4" s="447">
        <f>huishoudens!L8</f>
        <v>0</v>
      </c>
      <c r="M4" s="447">
        <f>huishoudens!M8</f>
        <v>0</v>
      </c>
      <c r="N4" s="447">
        <f>huishoudens!N8</f>
        <v>5089.9506630102342</v>
      </c>
      <c r="O4" s="447">
        <f>huishoudens!O8</f>
        <v>78.166666666666671</v>
      </c>
      <c r="P4" s="448">
        <f>huishoudens!P8</f>
        <v>305.06666666666666</v>
      </c>
      <c r="Q4" s="449">
        <f>SUM(B4:P4)</f>
        <v>89904.474810817395</v>
      </c>
    </row>
    <row r="5" spans="1:17">
      <c r="A5" s="446" t="s">
        <v>149</v>
      </c>
      <c r="B5" s="447">
        <f ca="1">tertiair!B16</f>
        <v>28740.341093590308</v>
      </c>
      <c r="C5" s="447">
        <f ca="1">tertiair!C16</f>
        <v>15</v>
      </c>
      <c r="D5" s="447">
        <f ca="1">tertiair!D16</f>
        <v>15243.452723814391</v>
      </c>
      <c r="E5" s="447">
        <f>tertiair!E16</f>
        <v>615.8885812371077</v>
      </c>
      <c r="F5" s="447">
        <f ca="1">tertiair!F16</f>
        <v>5557.9802807402666</v>
      </c>
      <c r="G5" s="447">
        <f>tertiair!G16</f>
        <v>0</v>
      </c>
      <c r="H5" s="447">
        <f>tertiair!H16</f>
        <v>0</v>
      </c>
      <c r="I5" s="447">
        <f>tertiair!I16</f>
        <v>0</v>
      </c>
      <c r="J5" s="447">
        <f>tertiair!J16</f>
        <v>0</v>
      </c>
      <c r="K5" s="447">
        <f>tertiair!K16</f>
        <v>0</v>
      </c>
      <c r="L5" s="447">
        <f ca="1">tertiair!L16</f>
        <v>0</v>
      </c>
      <c r="M5" s="447">
        <f>tertiair!M16</f>
        <v>0</v>
      </c>
      <c r="N5" s="447">
        <f ca="1">tertiair!N16</f>
        <v>863.88400858500677</v>
      </c>
      <c r="O5" s="447">
        <f>tertiair!O16</f>
        <v>0</v>
      </c>
      <c r="P5" s="448">
        <f>tertiair!P16</f>
        <v>0</v>
      </c>
      <c r="Q5" s="446">
        <f t="shared" ref="Q5:Q14" ca="1" si="0">SUM(B5:P5)</f>
        <v>51036.546687967086</v>
      </c>
    </row>
    <row r="6" spans="1:17">
      <c r="A6" s="446" t="s">
        <v>187</v>
      </c>
      <c r="B6" s="447">
        <f>'openbare verlichting'!B8</f>
        <v>413.90199999999999</v>
      </c>
      <c r="C6" s="447"/>
      <c r="D6" s="447"/>
      <c r="E6" s="447"/>
      <c r="F6" s="447"/>
      <c r="G6" s="447"/>
      <c r="H6" s="447"/>
      <c r="I6" s="447"/>
      <c r="J6" s="447"/>
      <c r="K6" s="447"/>
      <c r="L6" s="447"/>
      <c r="M6" s="447"/>
      <c r="N6" s="447"/>
      <c r="O6" s="447"/>
      <c r="P6" s="448"/>
      <c r="Q6" s="446">
        <f t="shared" si="0"/>
        <v>413.90199999999999</v>
      </c>
    </row>
    <row r="7" spans="1:17">
      <c r="A7" s="446" t="s">
        <v>105</v>
      </c>
      <c r="B7" s="447">
        <f>landbouw!B8</f>
        <v>1196.9936111180566</v>
      </c>
      <c r="C7" s="447">
        <f>landbouw!C8</f>
        <v>1568.5714285714287</v>
      </c>
      <c r="D7" s="447">
        <f>landbouw!D8</f>
        <v>123.55051397162732</v>
      </c>
      <c r="E7" s="447">
        <f>landbouw!E8</f>
        <v>12.535176234177488</v>
      </c>
      <c r="F7" s="447">
        <f>landbouw!F8</f>
        <v>5124.042177566087</v>
      </c>
      <c r="G7" s="447">
        <f>landbouw!G8</f>
        <v>0</v>
      </c>
      <c r="H7" s="447">
        <f>landbouw!H8</f>
        <v>0</v>
      </c>
      <c r="I7" s="447">
        <f>landbouw!I8</f>
        <v>0</v>
      </c>
      <c r="J7" s="447">
        <f>landbouw!J8</f>
        <v>106.90225830960922</v>
      </c>
      <c r="K7" s="447">
        <f>landbouw!K8</f>
        <v>0</v>
      </c>
      <c r="L7" s="447">
        <f>landbouw!L8</f>
        <v>0</v>
      </c>
      <c r="M7" s="447">
        <f>landbouw!M8</f>
        <v>0</v>
      </c>
      <c r="N7" s="447">
        <f>landbouw!N8</f>
        <v>0</v>
      </c>
      <c r="O7" s="447">
        <f>landbouw!O8</f>
        <v>0</v>
      </c>
      <c r="P7" s="448">
        <f>landbouw!P8</f>
        <v>0</v>
      </c>
      <c r="Q7" s="446">
        <f t="shared" si="0"/>
        <v>8132.5951657709866</v>
      </c>
    </row>
    <row r="8" spans="1:17">
      <c r="A8" s="446" t="s">
        <v>637</v>
      </c>
      <c r="B8" s="447">
        <f>industrie!B18</f>
        <v>2453.6340767730308</v>
      </c>
      <c r="C8" s="447">
        <f>industrie!C18</f>
        <v>0</v>
      </c>
      <c r="D8" s="447">
        <f>industrie!D18</f>
        <v>1179.9362439972272</v>
      </c>
      <c r="E8" s="447">
        <f>industrie!E18</f>
        <v>23.242300884326458</v>
      </c>
      <c r="F8" s="447">
        <f>industrie!F18</f>
        <v>609.38332877678943</v>
      </c>
      <c r="G8" s="447">
        <f>industrie!G18</f>
        <v>0</v>
      </c>
      <c r="H8" s="447">
        <f>industrie!H18</f>
        <v>0</v>
      </c>
      <c r="I8" s="447">
        <f>industrie!I18</f>
        <v>0</v>
      </c>
      <c r="J8" s="447">
        <f>industrie!J18</f>
        <v>24.947708012854164</v>
      </c>
      <c r="K8" s="447">
        <f>industrie!K18</f>
        <v>0</v>
      </c>
      <c r="L8" s="447">
        <f>industrie!L18</f>
        <v>0</v>
      </c>
      <c r="M8" s="447">
        <f>industrie!M18</f>
        <v>0</v>
      </c>
      <c r="N8" s="447">
        <f>industrie!N18</f>
        <v>51.137860009899072</v>
      </c>
      <c r="O8" s="447">
        <f>industrie!O18</f>
        <v>0</v>
      </c>
      <c r="P8" s="448">
        <f>industrie!P18</f>
        <v>0</v>
      </c>
      <c r="Q8" s="446">
        <f t="shared" si="0"/>
        <v>4342.2815184541278</v>
      </c>
    </row>
    <row r="9" spans="1:17" s="452" customFormat="1">
      <c r="A9" s="450" t="s">
        <v>556</v>
      </c>
      <c r="B9" s="451">
        <f>transport!B14</f>
        <v>0.96563946630373609</v>
      </c>
      <c r="C9" s="451">
        <f>transport!C14</f>
        <v>0</v>
      </c>
      <c r="D9" s="451">
        <f>transport!D14</f>
        <v>3.0606164483783367</v>
      </c>
      <c r="E9" s="451">
        <f>transport!E14</f>
        <v>338.83964425518701</v>
      </c>
      <c r="F9" s="451">
        <f>transport!F14</f>
        <v>0</v>
      </c>
      <c r="G9" s="451">
        <f>transport!G14</f>
        <v>66591.813085418908</v>
      </c>
      <c r="H9" s="451">
        <f>transport!H14</f>
        <v>10315.366214515727</v>
      </c>
      <c r="I9" s="451">
        <f>transport!I14</f>
        <v>0</v>
      </c>
      <c r="J9" s="451">
        <f>transport!J14</f>
        <v>0</v>
      </c>
      <c r="K9" s="451">
        <f>transport!K14</f>
        <v>0</v>
      </c>
      <c r="L9" s="451">
        <f>transport!L14</f>
        <v>0</v>
      </c>
      <c r="M9" s="451">
        <f>transport!M14</f>
        <v>3343.4858261717868</v>
      </c>
      <c r="N9" s="451">
        <f>transport!N14</f>
        <v>0</v>
      </c>
      <c r="O9" s="451">
        <f>transport!O14</f>
        <v>0</v>
      </c>
      <c r="P9" s="451">
        <f>transport!P14</f>
        <v>0</v>
      </c>
      <c r="Q9" s="450">
        <f>SUM(B9:P9)</f>
        <v>80593.531026276294</v>
      </c>
    </row>
    <row r="10" spans="1:17">
      <c r="A10" s="446" t="s">
        <v>546</v>
      </c>
      <c r="B10" s="447">
        <f>transport!B54</f>
        <v>3.1399337193527166</v>
      </c>
      <c r="C10" s="447">
        <f>transport!C54</f>
        <v>0</v>
      </c>
      <c r="D10" s="447">
        <f>transport!D54</f>
        <v>0</v>
      </c>
      <c r="E10" s="447">
        <f>transport!E54</f>
        <v>0</v>
      </c>
      <c r="F10" s="447">
        <f>transport!F54</f>
        <v>0</v>
      </c>
      <c r="G10" s="447">
        <f>transport!G54</f>
        <v>681.17709592378776</v>
      </c>
      <c r="H10" s="447">
        <f>transport!H54</f>
        <v>0</v>
      </c>
      <c r="I10" s="447">
        <f>transport!I54</f>
        <v>0</v>
      </c>
      <c r="J10" s="447">
        <f>transport!J54</f>
        <v>0</v>
      </c>
      <c r="K10" s="447">
        <f>transport!K54</f>
        <v>0</v>
      </c>
      <c r="L10" s="447">
        <f>transport!L54</f>
        <v>0</v>
      </c>
      <c r="M10" s="447">
        <f>transport!M54</f>
        <v>29.165386676599166</v>
      </c>
      <c r="N10" s="447">
        <f>transport!N54</f>
        <v>0</v>
      </c>
      <c r="O10" s="447">
        <f>transport!O54</f>
        <v>0</v>
      </c>
      <c r="P10" s="448">
        <f>transport!P54</f>
        <v>0</v>
      </c>
      <c r="Q10" s="446">
        <f t="shared" si="0"/>
        <v>713.48241631973963</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766.22894940245203</v>
      </c>
      <c r="C14" s="454"/>
      <c r="D14" s="454">
        <f>'SEAP template'!E25</f>
        <v>1258.09720116991</v>
      </c>
      <c r="E14" s="454"/>
      <c r="F14" s="454"/>
      <c r="G14" s="454"/>
      <c r="H14" s="454"/>
      <c r="I14" s="454"/>
      <c r="J14" s="454"/>
      <c r="K14" s="454"/>
      <c r="L14" s="454"/>
      <c r="M14" s="454"/>
      <c r="N14" s="454"/>
      <c r="O14" s="454"/>
      <c r="P14" s="455"/>
      <c r="Q14" s="446">
        <f t="shared" si="0"/>
        <v>2024.3261505723622</v>
      </c>
    </row>
    <row r="15" spans="1:17" s="459" customFormat="1">
      <c r="A15" s="456" t="s">
        <v>550</v>
      </c>
      <c r="B15" s="457">
        <f ca="1">SUM(B4:B14)</f>
        <v>50442.595498725612</v>
      </c>
      <c r="C15" s="457">
        <f t="shared" ref="C15:Q15" ca="1" si="1">SUM(C4:C14)</f>
        <v>1583.5714285714287</v>
      </c>
      <c r="D15" s="457">
        <f t="shared" ca="1" si="1"/>
        <v>45276.945448216175</v>
      </c>
      <c r="E15" s="457">
        <f t="shared" si="1"/>
        <v>2107.2657212194795</v>
      </c>
      <c r="F15" s="457">
        <f t="shared" ca="1" si="1"/>
        <v>49411.334098861931</v>
      </c>
      <c r="G15" s="457">
        <f t="shared" si="1"/>
        <v>67272.990181342699</v>
      </c>
      <c r="H15" s="457">
        <f t="shared" si="1"/>
        <v>10315.366214515727</v>
      </c>
      <c r="I15" s="457">
        <f t="shared" si="1"/>
        <v>0</v>
      </c>
      <c r="J15" s="457">
        <f t="shared" si="1"/>
        <v>990.21410693805672</v>
      </c>
      <c r="K15" s="457">
        <f t="shared" si="1"/>
        <v>0</v>
      </c>
      <c r="L15" s="457">
        <f t="shared" ca="1" si="1"/>
        <v>0</v>
      </c>
      <c r="M15" s="457">
        <f t="shared" si="1"/>
        <v>3372.651212848386</v>
      </c>
      <c r="N15" s="457">
        <f t="shared" ca="1" si="1"/>
        <v>6004.9725316051399</v>
      </c>
      <c r="O15" s="457">
        <f t="shared" si="1"/>
        <v>78.166666666666671</v>
      </c>
      <c r="P15" s="457">
        <f t="shared" si="1"/>
        <v>305.06666666666666</v>
      </c>
      <c r="Q15" s="457">
        <f t="shared" ca="1" si="1"/>
        <v>237161.13977617802</v>
      </c>
    </row>
    <row r="17" spans="1:17">
      <c r="A17" s="460" t="s">
        <v>551</v>
      </c>
      <c r="B17" s="764">
        <f ca="1">huishoudens!B10</f>
        <v>0.13986808495828312</v>
      </c>
      <c r="C17" s="764">
        <f ca="1">huishoudens!C10</f>
        <v>1.5048957002979993E-3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2359.2095647706724</v>
      </c>
      <c r="C22" s="447">
        <f t="shared" ref="C22:C32" ca="1" si="3">C4*$C$17</f>
        <v>0</v>
      </c>
      <c r="D22" s="447">
        <f t="shared" ref="D22:D32" si="4">D4*$D$17</f>
        <v>5548.7073260605584</v>
      </c>
      <c r="E22" s="447">
        <f t="shared" ref="E22:E32" si="5">E4*$E$17</f>
        <v>253.50452422417055</v>
      </c>
      <c r="F22" s="447">
        <f t="shared" ref="F22:F32" si="6">F4*$F$17</f>
        <v>10178.020859244936</v>
      </c>
      <c r="G22" s="447">
        <f t="shared" ref="G22:G32" si="7">G4*$G$17</f>
        <v>0</v>
      </c>
      <c r="H22" s="447">
        <f t="shared" ref="H22:H32" si="8">H4*$H$17</f>
        <v>0</v>
      </c>
      <c r="I22" s="447">
        <f t="shared" ref="I22:I32" si="9">I4*$I$17</f>
        <v>0</v>
      </c>
      <c r="J22" s="447">
        <f t="shared" ref="J22:J32" si="10">J4*$J$17</f>
        <v>303.86090577792004</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18643.303180078259</v>
      </c>
    </row>
    <row r="23" spans="1:17">
      <c r="A23" s="446" t="s">
        <v>149</v>
      </c>
      <c r="B23" s="447">
        <f t="shared" ca="1" si="2"/>
        <v>4019.8564698083251</v>
      </c>
      <c r="C23" s="447">
        <f t="shared" ca="1" si="3"/>
        <v>2.2573435504469989E-2</v>
      </c>
      <c r="D23" s="447">
        <f t="shared" ca="1" si="4"/>
        <v>3079.1774502105072</v>
      </c>
      <c r="E23" s="447">
        <f t="shared" si="5"/>
        <v>139.80670794082346</v>
      </c>
      <c r="F23" s="447">
        <f t="shared" ca="1" si="6"/>
        <v>1483.9807349576513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8722.8439363528123</v>
      </c>
    </row>
    <row r="24" spans="1:17">
      <c r="A24" s="446" t="s">
        <v>187</v>
      </c>
      <c r="B24" s="447">
        <f t="shared" ca="1" si="2"/>
        <v>57.891680100403299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57.891680100403299</v>
      </c>
    </row>
    <row r="25" spans="1:17">
      <c r="A25" s="446" t="s">
        <v>105</v>
      </c>
      <c r="B25" s="447">
        <f t="shared" ca="1" si="2"/>
        <v>167.42120409438246</v>
      </c>
      <c r="C25" s="447">
        <f t="shared" ca="1" si="3"/>
        <v>2.3605363984674335</v>
      </c>
      <c r="D25" s="447">
        <f t="shared" si="4"/>
        <v>24.95720382226872</v>
      </c>
      <c r="E25" s="447">
        <f t="shared" si="5"/>
        <v>2.8454850051582898</v>
      </c>
      <c r="F25" s="447">
        <f t="shared" si="6"/>
        <v>1368.1192614101453</v>
      </c>
      <c r="G25" s="447">
        <f t="shared" si="7"/>
        <v>0</v>
      </c>
      <c r="H25" s="447">
        <f t="shared" si="8"/>
        <v>0</v>
      </c>
      <c r="I25" s="447">
        <f t="shared" si="9"/>
        <v>0</v>
      </c>
      <c r="J25" s="447">
        <f t="shared" si="10"/>
        <v>37.843399441601662</v>
      </c>
      <c r="K25" s="447">
        <f t="shared" si="11"/>
        <v>0</v>
      </c>
      <c r="L25" s="447">
        <f t="shared" si="12"/>
        <v>0</v>
      </c>
      <c r="M25" s="447">
        <f t="shared" si="13"/>
        <v>0</v>
      </c>
      <c r="N25" s="447">
        <f t="shared" si="14"/>
        <v>0</v>
      </c>
      <c r="O25" s="447">
        <f t="shared" si="15"/>
        <v>0</v>
      </c>
      <c r="P25" s="448">
        <f t="shared" si="16"/>
        <v>0</v>
      </c>
      <c r="Q25" s="446">
        <f t="shared" ca="1" si="17"/>
        <v>1603.5470901720239</v>
      </c>
    </row>
    <row r="26" spans="1:17">
      <c r="A26" s="446" t="s">
        <v>637</v>
      </c>
      <c r="B26" s="447">
        <f t="shared" ca="1" si="2"/>
        <v>343.18509950662883</v>
      </c>
      <c r="C26" s="447">
        <f t="shared" ca="1" si="3"/>
        <v>0</v>
      </c>
      <c r="D26" s="447">
        <f t="shared" si="4"/>
        <v>238.3471212874399</v>
      </c>
      <c r="E26" s="447">
        <f t="shared" si="5"/>
        <v>5.276002300742106</v>
      </c>
      <c r="F26" s="447">
        <f t="shared" si="6"/>
        <v>162.7053487834028</v>
      </c>
      <c r="G26" s="447">
        <f t="shared" si="7"/>
        <v>0</v>
      </c>
      <c r="H26" s="447">
        <f t="shared" si="8"/>
        <v>0</v>
      </c>
      <c r="I26" s="447">
        <f t="shared" si="9"/>
        <v>0</v>
      </c>
      <c r="J26" s="447">
        <f t="shared" si="10"/>
        <v>8.8314886365503735</v>
      </c>
      <c r="K26" s="447">
        <f t="shared" si="11"/>
        <v>0</v>
      </c>
      <c r="L26" s="447">
        <f t="shared" si="12"/>
        <v>0</v>
      </c>
      <c r="M26" s="447">
        <f t="shared" si="13"/>
        <v>0</v>
      </c>
      <c r="N26" s="447">
        <f t="shared" si="14"/>
        <v>0</v>
      </c>
      <c r="O26" s="447">
        <f t="shared" si="15"/>
        <v>0</v>
      </c>
      <c r="P26" s="448">
        <f t="shared" si="16"/>
        <v>0</v>
      </c>
      <c r="Q26" s="446">
        <f t="shared" ca="1" si="17"/>
        <v>758.34506051476399</v>
      </c>
    </row>
    <row r="27" spans="1:17" s="452" customFormat="1">
      <c r="A27" s="450" t="s">
        <v>556</v>
      </c>
      <c r="B27" s="758">
        <f t="shared" ca="1" si="2"/>
        <v>0.13506214291204213</v>
      </c>
      <c r="C27" s="451">
        <f t="shared" ca="1" si="3"/>
        <v>0</v>
      </c>
      <c r="D27" s="451">
        <f t="shared" si="4"/>
        <v>0.61824452257242402</v>
      </c>
      <c r="E27" s="451">
        <f t="shared" si="5"/>
        <v>76.916599245927458</v>
      </c>
      <c r="F27" s="451">
        <f t="shared" si="6"/>
        <v>0</v>
      </c>
      <c r="G27" s="451">
        <f t="shared" si="7"/>
        <v>17780.014093806851</v>
      </c>
      <c r="H27" s="451">
        <f t="shared" si="8"/>
        <v>2568.5261874144157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20426.210187132678</v>
      </c>
    </row>
    <row r="28" spans="1:17">
      <c r="A28" s="446" t="s">
        <v>546</v>
      </c>
      <c r="B28" s="447">
        <f t="shared" ca="1" si="2"/>
        <v>0.4391765162218037</v>
      </c>
      <c r="C28" s="447">
        <f t="shared" ca="1" si="3"/>
        <v>0</v>
      </c>
      <c r="D28" s="447">
        <f t="shared" si="4"/>
        <v>0</v>
      </c>
      <c r="E28" s="447">
        <f t="shared" si="5"/>
        <v>0</v>
      </c>
      <c r="F28" s="447">
        <f t="shared" si="6"/>
        <v>0</v>
      </c>
      <c r="G28" s="447">
        <f t="shared" si="7"/>
        <v>181.87428461165135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182.31346112787315</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107.17097579251818</v>
      </c>
      <c r="C32" s="447">
        <f t="shared" ca="1" si="3"/>
        <v>0</v>
      </c>
      <c r="D32" s="447">
        <f t="shared" si="4"/>
        <v>254.13563463632184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361.30661042884003</v>
      </c>
    </row>
    <row r="33" spans="1:17" s="459" customFormat="1">
      <c r="A33" s="456" t="s">
        <v>550</v>
      </c>
      <c r="B33" s="457">
        <f ca="1">SUM(B22:B32)</f>
        <v>7055.3092327320637</v>
      </c>
      <c r="C33" s="457">
        <f t="shared" ref="C33:Q33" ca="1" si="19">SUM(C22:C32)</f>
        <v>2.3831098339719032</v>
      </c>
      <c r="D33" s="457">
        <f t="shared" ca="1" si="19"/>
        <v>9145.9429805396685</v>
      </c>
      <c r="E33" s="457">
        <f t="shared" si="19"/>
        <v>478.34931871682187</v>
      </c>
      <c r="F33" s="457">
        <f t="shared" ca="1" si="19"/>
        <v>13192.826204396137</v>
      </c>
      <c r="G33" s="457">
        <f t="shared" si="19"/>
        <v>17961.888378418502</v>
      </c>
      <c r="H33" s="457">
        <f t="shared" si="19"/>
        <v>2568.5261874144157</v>
      </c>
      <c r="I33" s="457">
        <f t="shared" si="19"/>
        <v>0</v>
      </c>
      <c r="J33" s="457">
        <f t="shared" si="19"/>
        <v>350.53579385607208</v>
      </c>
      <c r="K33" s="457">
        <f t="shared" si="19"/>
        <v>0</v>
      </c>
      <c r="L33" s="457">
        <f t="shared" ca="1" si="19"/>
        <v>0</v>
      </c>
      <c r="M33" s="457">
        <f t="shared" si="19"/>
        <v>0</v>
      </c>
      <c r="N33" s="457">
        <f t="shared" ca="1" si="19"/>
        <v>0</v>
      </c>
      <c r="O33" s="457">
        <f t="shared" si="19"/>
        <v>0</v>
      </c>
      <c r="P33" s="457">
        <f t="shared" si="19"/>
        <v>0</v>
      </c>
      <c r="Q33" s="457">
        <f t="shared" ca="1" si="19"/>
        <v>50755.761205907649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14866.817932190655</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2557.7986408967854</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1094.0253393665159</v>
      </c>
      <c r="C8" s="1006">
        <f>'SEAP template'!C76</f>
        <v>6.9746606334841621</v>
      </c>
      <c r="D8" s="1006">
        <f>'SEAP template'!D76</f>
        <v>8.2024265644955303</v>
      </c>
      <c r="E8" s="1006">
        <f>'SEAP template'!E76</f>
        <v>0</v>
      </c>
      <c r="F8" s="1006">
        <f>'SEAP template'!F76</f>
        <v>0</v>
      </c>
      <c r="G8" s="1006">
        <f>'SEAP template'!G76</f>
        <v>0</v>
      </c>
      <c r="H8" s="1006">
        <f>'SEAP template'!H76</f>
        <v>0</v>
      </c>
      <c r="I8" s="1006">
        <f>'SEAP template'!I76</f>
        <v>0</v>
      </c>
      <c r="J8" s="1006">
        <f>'SEAP template'!J76</f>
        <v>1286.6091954022991</v>
      </c>
      <c r="K8" s="1006">
        <f>'SEAP template'!K76</f>
        <v>0</v>
      </c>
      <c r="L8" s="1006">
        <f>'SEAP template'!L76</f>
        <v>0</v>
      </c>
      <c r="M8" s="1006">
        <f>'SEAP template'!M76</f>
        <v>0</v>
      </c>
      <c r="N8" s="1006">
        <f>'SEAP template'!N76</f>
        <v>0</v>
      </c>
      <c r="O8" s="1006">
        <f>'SEAP template'!O76</f>
        <v>0</v>
      </c>
      <c r="P8" s="1007">
        <f>'SEAP template'!Q76</f>
        <v>1.6568901660280972</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18518.641912453957</v>
      </c>
      <c r="C10" s="1010">
        <f>SUM(C4:C9)</f>
        <v>6.9746606334841621</v>
      </c>
      <c r="D10" s="1010">
        <f t="shared" ref="D10:H10" si="0">SUM(D8:D9)</f>
        <v>8.2024265644955303</v>
      </c>
      <c r="E10" s="1010">
        <f t="shared" si="0"/>
        <v>0</v>
      </c>
      <c r="F10" s="1010">
        <f t="shared" si="0"/>
        <v>0</v>
      </c>
      <c r="G10" s="1010">
        <f t="shared" si="0"/>
        <v>0</v>
      </c>
      <c r="H10" s="1010">
        <f t="shared" si="0"/>
        <v>0</v>
      </c>
      <c r="I10" s="1010">
        <f>SUM(I8:I9)</f>
        <v>0</v>
      </c>
      <c r="J10" s="1010">
        <f>SUM(J8:J9)</f>
        <v>1286.6091954022991</v>
      </c>
      <c r="K10" s="1010">
        <f t="shared" ref="K10:L10" si="1">SUM(K8:K9)</f>
        <v>0</v>
      </c>
      <c r="L10" s="1010">
        <f t="shared" si="1"/>
        <v>0</v>
      </c>
      <c r="M10" s="1010">
        <f>SUM(M8:M9)</f>
        <v>0</v>
      </c>
      <c r="N10" s="1010">
        <f>SUM(N8:N9)</f>
        <v>0</v>
      </c>
      <c r="O10" s="1010">
        <f>SUM(O8:O9)</f>
        <v>0</v>
      </c>
      <c r="P10" s="1010">
        <f>SUM(P8:P9)</f>
        <v>1.6568901660280972</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0.13986808495828312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1573.5397543632837</v>
      </c>
      <c r="C17" s="1013">
        <f>'SEAP template'!C87</f>
        <v>10.031674208144796</v>
      </c>
      <c r="D17" s="1007">
        <f>'SEAP template'!D87</f>
        <v>11.797573435504471</v>
      </c>
      <c r="E17" s="1007">
        <f>'SEAP template'!E87</f>
        <v>0</v>
      </c>
      <c r="F17" s="1007">
        <f>'SEAP template'!F87</f>
        <v>0</v>
      </c>
      <c r="G17" s="1007">
        <f>'SEAP template'!G87</f>
        <v>0</v>
      </c>
      <c r="H17" s="1007">
        <f>'SEAP template'!H87</f>
        <v>0</v>
      </c>
      <c r="I17" s="1007">
        <f>'SEAP template'!I87</f>
        <v>0</v>
      </c>
      <c r="J17" s="1007">
        <f>'SEAP template'!J87</f>
        <v>1850.5336617405587</v>
      </c>
      <c r="K17" s="1007">
        <f>'SEAP template'!K87</f>
        <v>0</v>
      </c>
      <c r="L17" s="1007">
        <f>'SEAP template'!L87</f>
        <v>0</v>
      </c>
      <c r="M17" s="1007">
        <f>'SEAP template'!M87</f>
        <v>0</v>
      </c>
      <c r="N17" s="1007">
        <f>'SEAP template'!N87</f>
        <v>0</v>
      </c>
      <c r="O17" s="1007">
        <f>'SEAP template'!O87</f>
        <v>0</v>
      </c>
      <c r="P17" s="1007">
        <f>'SEAP template'!Q87</f>
        <v>2.3831098339719032</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1573.5397543632837</v>
      </c>
      <c r="C20" s="1010">
        <f>SUM(C17:C19)</f>
        <v>10.031674208144796</v>
      </c>
      <c r="D20" s="1010">
        <f t="shared" ref="D20:H20" si="2">SUM(D17:D19)</f>
        <v>11.797573435504471</v>
      </c>
      <c r="E20" s="1010">
        <f t="shared" si="2"/>
        <v>0</v>
      </c>
      <c r="F20" s="1010">
        <f t="shared" si="2"/>
        <v>0</v>
      </c>
      <c r="G20" s="1010">
        <f t="shared" si="2"/>
        <v>0</v>
      </c>
      <c r="H20" s="1010">
        <f t="shared" si="2"/>
        <v>0</v>
      </c>
      <c r="I20" s="1010">
        <f>SUM(I17:I19)</f>
        <v>0</v>
      </c>
      <c r="J20" s="1010">
        <f>SUM(J17:J19)</f>
        <v>1850.5336617405587</v>
      </c>
      <c r="K20" s="1010">
        <f t="shared" ref="K20:L20" si="3">SUM(K17:K19)</f>
        <v>0</v>
      </c>
      <c r="L20" s="1010">
        <f t="shared" si="3"/>
        <v>0</v>
      </c>
      <c r="M20" s="1010">
        <f>SUM(M17:M19)</f>
        <v>0</v>
      </c>
      <c r="N20" s="1010">
        <f>SUM(N17:N19)</f>
        <v>0</v>
      </c>
      <c r="O20" s="1010">
        <f>SUM(O17:O19)</f>
        <v>0</v>
      </c>
      <c r="P20" s="1010">
        <f>SUM(P17:P19)</f>
        <v>2.3831098339719032</v>
      </c>
    </row>
    <row r="22" spans="1:16">
      <c r="A22" s="460" t="s">
        <v>910</v>
      </c>
      <c r="B22" s="764" t="s">
        <v>904</v>
      </c>
      <c r="C22" s="764">
        <f ca="1">'EF ele_warmte'!B22</f>
        <v>1.5048957002979993E-3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0.13986808495828312</v>
      </c>
      <c r="C17" s="496">
        <f ca="1">'EF ele_warmte'!B22</f>
        <v>1.5048957002979993E-3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0.13986808495828312</v>
      </c>
      <c r="C17" s="496">
        <f ca="1">'EF ele_warmte'!B22</f>
        <v>1.5048957002979993E-3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0.13986808495828312</v>
      </c>
      <c r="C29" s="497">
        <f ca="1">'EF ele_warmte'!B22</f>
        <v>1.5048957002979993E-3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4033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1743</v>
      </c>
      <c r="C14" s="326"/>
      <c r="D14" s="326"/>
      <c r="E14" s="326"/>
      <c r="F14" s="326"/>
    </row>
    <row r="15" spans="1:6">
      <c r="A15" s="1280" t="s">
        <v>177</v>
      </c>
      <c r="B15" s="1281">
        <v>1722</v>
      </c>
      <c r="C15" s="326"/>
      <c r="D15" s="326"/>
      <c r="E15" s="326"/>
      <c r="F15" s="326"/>
    </row>
    <row r="16" spans="1:6">
      <c r="A16" s="1280" t="s">
        <v>6</v>
      </c>
      <c r="B16" s="1281">
        <v>1772</v>
      </c>
      <c r="C16" s="326"/>
      <c r="D16" s="326"/>
      <c r="E16" s="326"/>
      <c r="F16" s="326"/>
    </row>
    <row r="17" spans="1:6">
      <c r="A17" s="1280" t="s">
        <v>7</v>
      </c>
      <c r="B17" s="1281">
        <v>129</v>
      </c>
      <c r="C17" s="326"/>
      <c r="D17" s="326"/>
      <c r="E17" s="326"/>
      <c r="F17" s="326"/>
    </row>
    <row r="18" spans="1:6">
      <c r="A18" s="1280" t="s">
        <v>8</v>
      </c>
      <c r="B18" s="1281">
        <v>1108</v>
      </c>
      <c r="C18" s="326"/>
      <c r="D18" s="326"/>
      <c r="E18" s="326"/>
      <c r="F18" s="326"/>
    </row>
    <row r="19" spans="1:6">
      <c r="A19" s="1280" t="s">
        <v>9</v>
      </c>
      <c r="B19" s="1281">
        <v>953</v>
      </c>
      <c r="C19" s="326"/>
      <c r="D19" s="326"/>
      <c r="E19" s="326"/>
      <c r="F19" s="326"/>
    </row>
    <row r="20" spans="1:6">
      <c r="A20" s="1280" t="s">
        <v>10</v>
      </c>
      <c r="B20" s="1281">
        <v>586</v>
      </c>
      <c r="C20" s="326"/>
      <c r="D20" s="326"/>
      <c r="E20" s="326"/>
      <c r="F20" s="326"/>
    </row>
    <row r="21" spans="1:6">
      <c r="A21" s="1280" t="s">
        <v>11</v>
      </c>
      <c r="B21" s="1281">
        <v>0</v>
      </c>
      <c r="C21" s="326"/>
      <c r="D21" s="326"/>
      <c r="E21" s="326"/>
      <c r="F21" s="326"/>
    </row>
    <row r="22" spans="1:6">
      <c r="A22" s="1280" t="s">
        <v>12</v>
      </c>
      <c r="B22" s="1281">
        <v>3277</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239</v>
      </c>
      <c r="C26" s="326"/>
      <c r="D26" s="326"/>
      <c r="E26" s="326"/>
      <c r="F26" s="326"/>
    </row>
    <row r="27" spans="1:6">
      <c r="A27" s="1280" t="s">
        <v>17</v>
      </c>
      <c r="B27" s="1281">
        <v>4</v>
      </c>
      <c r="C27" s="326"/>
      <c r="D27" s="326"/>
      <c r="E27" s="326"/>
      <c r="F27" s="326"/>
    </row>
    <row r="28" spans="1:6">
      <c r="A28" s="1280" t="s">
        <v>18</v>
      </c>
      <c r="B28" s="1282">
        <v>85427</v>
      </c>
      <c r="C28" s="326"/>
      <c r="D28" s="326"/>
      <c r="E28" s="326"/>
      <c r="F28" s="326"/>
    </row>
    <row r="29" spans="1:6">
      <c r="A29" s="1280" t="s">
        <v>972</v>
      </c>
      <c r="B29" s="1282">
        <v>193</v>
      </c>
      <c r="C29" s="326"/>
      <c r="D29" s="326"/>
      <c r="E29" s="326"/>
      <c r="F29" s="326"/>
    </row>
    <row r="30" spans="1:6">
      <c r="A30" s="1275" t="s">
        <v>973</v>
      </c>
      <c r="B30" s="1283">
        <v>34</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155652.37352645199</v>
      </c>
      <c r="E38" s="1281">
        <v>2</v>
      </c>
      <c r="F38" s="1281">
        <v>5362.35064521</v>
      </c>
    </row>
    <row r="39" spans="1:6">
      <c r="A39" s="1280" t="s">
        <v>29</v>
      </c>
      <c r="B39" s="1280" t="s">
        <v>30</v>
      </c>
      <c r="C39" s="1281">
        <v>1793</v>
      </c>
      <c r="D39" s="1281">
        <v>30453268.457665902</v>
      </c>
      <c r="E39" s="1281">
        <v>3959</v>
      </c>
      <c r="F39" s="1281">
        <v>15473157.045936599</v>
      </c>
    </row>
    <row r="40" spans="1:6">
      <c r="A40" s="1280" t="s">
        <v>29</v>
      </c>
      <c r="B40" s="1280" t="s">
        <v>28</v>
      </c>
      <c r="C40" s="1281">
        <v>0</v>
      </c>
      <c r="D40" s="1281">
        <v>0</v>
      </c>
      <c r="E40" s="1281">
        <v>0</v>
      </c>
      <c r="F40" s="1281">
        <v>0</v>
      </c>
    </row>
    <row r="41" spans="1:6">
      <c r="A41" s="1280" t="s">
        <v>31</v>
      </c>
      <c r="B41" s="1280" t="s">
        <v>32</v>
      </c>
      <c r="C41" s="1281">
        <v>11</v>
      </c>
      <c r="D41" s="1281">
        <v>231967.84814966301</v>
      </c>
      <c r="E41" s="1281">
        <v>46</v>
      </c>
      <c r="F41" s="1281">
        <v>349875.612123147</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3</v>
      </c>
      <c r="D44" s="1281">
        <v>139919.701743154</v>
      </c>
      <c r="E44" s="1281">
        <v>8</v>
      </c>
      <c r="F44" s="1281">
        <v>824269.40226770297</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14</v>
      </c>
      <c r="D48" s="1281">
        <v>936245.75830810005</v>
      </c>
      <c r="E48" s="1281">
        <v>29</v>
      </c>
      <c r="F48" s="1281">
        <v>1009647.9665200399</v>
      </c>
    </row>
    <row r="49" spans="1:6">
      <c r="A49" s="1280" t="s">
        <v>31</v>
      </c>
      <c r="B49" s="1280" t="s">
        <v>39</v>
      </c>
      <c r="C49" s="1281">
        <v>0</v>
      </c>
      <c r="D49" s="1281">
        <v>0</v>
      </c>
      <c r="E49" s="1281">
        <v>0</v>
      </c>
      <c r="F49" s="1281">
        <v>0</v>
      </c>
    </row>
    <row r="50" spans="1:6">
      <c r="A50" s="1280" t="s">
        <v>31</v>
      </c>
      <c r="B50" s="1280" t="s">
        <v>40</v>
      </c>
      <c r="C50" s="1281">
        <v>0</v>
      </c>
      <c r="D50" s="1281">
        <v>0</v>
      </c>
      <c r="E50" s="1281">
        <v>9</v>
      </c>
      <c r="F50" s="1281">
        <v>269841.095862141</v>
      </c>
    </row>
    <row r="51" spans="1:6">
      <c r="A51" s="1280" t="s">
        <v>41</v>
      </c>
      <c r="B51" s="1280" t="s">
        <v>42</v>
      </c>
      <c r="C51" s="1281">
        <v>3</v>
      </c>
      <c r="D51" s="1281">
        <v>57593.4145446697</v>
      </c>
      <c r="E51" s="1281">
        <v>56</v>
      </c>
      <c r="F51" s="1281">
        <v>1123062.6467853801</v>
      </c>
    </row>
    <row r="52" spans="1:6">
      <c r="A52" s="1280" t="s">
        <v>41</v>
      </c>
      <c r="B52" s="1280" t="s">
        <v>28</v>
      </c>
      <c r="C52" s="1281">
        <v>4</v>
      </c>
      <c r="D52" s="1281">
        <v>79380.547729861704</v>
      </c>
      <c r="E52" s="1281">
        <v>8</v>
      </c>
      <c r="F52" s="1281">
        <v>73930.964332676507</v>
      </c>
    </row>
    <row r="53" spans="1:6">
      <c r="A53" s="1280" t="s">
        <v>43</v>
      </c>
      <c r="B53" s="1280" t="s">
        <v>44</v>
      </c>
      <c r="C53" s="1281">
        <v>61</v>
      </c>
      <c r="D53" s="1281">
        <v>1258097.2011699099</v>
      </c>
      <c r="E53" s="1281">
        <v>152</v>
      </c>
      <c r="F53" s="1281">
        <v>766228.94940245198</v>
      </c>
    </row>
    <row r="54" spans="1:6">
      <c r="A54" s="1280" t="s">
        <v>45</v>
      </c>
      <c r="B54" s="1280" t="s">
        <v>46</v>
      </c>
      <c r="C54" s="1281">
        <v>0</v>
      </c>
      <c r="D54" s="1281">
        <v>0</v>
      </c>
      <c r="E54" s="1281">
        <v>1</v>
      </c>
      <c r="F54" s="1281">
        <v>413902</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5</v>
      </c>
      <c r="D57" s="1281">
        <v>121386.12855037799</v>
      </c>
      <c r="E57" s="1281">
        <v>76</v>
      </c>
      <c r="F57" s="1281">
        <v>959362.49128613702</v>
      </c>
    </row>
    <row r="58" spans="1:6">
      <c r="A58" s="1280" t="s">
        <v>48</v>
      </c>
      <c r="B58" s="1280" t="s">
        <v>50</v>
      </c>
      <c r="C58" s="1281">
        <v>0</v>
      </c>
      <c r="D58" s="1281">
        <v>0</v>
      </c>
      <c r="E58" s="1281">
        <v>8</v>
      </c>
      <c r="F58" s="1281">
        <v>108468.509729123</v>
      </c>
    </row>
    <row r="59" spans="1:6">
      <c r="A59" s="1280" t="s">
        <v>48</v>
      </c>
      <c r="B59" s="1280" t="s">
        <v>51</v>
      </c>
      <c r="C59" s="1281">
        <v>22</v>
      </c>
      <c r="D59" s="1281">
        <v>1122196.46413933</v>
      </c>
      <c r="E59" s="1281">
        <v>78</v>
      </c>
      <c r="F59" s="1281">
        <v>2639883.40630126</v>
      </c>
    </row>
    <row r="60" spans="1:6">
      <c r="A60" s="1280" t="s">
        <v>48</v>
      </c>
      <c r="B60" s="1280" t="s">
        <v>52</v>
      </c>
      <c r="C60" s="1281">
        <v>22</v>
      </c>
      <c r="D60" s="1281">
        <v>924902.29630590905</v>
      </c>
      <c r="E60" s="1281">
        <v>46</v>
      </c>
      <c r="F60" s="1281">
        <v>1034013.31142944</v>
      </c>
    </row>
    <row r="61" spans="1:6">
      <c r="A61" s="1280" t="s">
        <v>48</v>
      </c>
      <c r="B61" s="1280" t="s">
        <v>53</v>
      </c>
      <c r="C61" s="1281">
        <v>48</v>
      </c>
      <c r="D61" s="1281">
        <v>2257727.8104360499</v>
      </c>
      <c r="E61" s="1281">
        <v>118</v>
      </c>
      <c r="F61" s="1281">
        <v>1845659.2176586599</v>
      </c>
    </row>
    <row r="62" spans="1:6">
      <c r="A62" s="1280" t="s">
        <v>48</v>
      </c>
      <c r="B62" s="1280" t="s">
        <v>54</v>
      </c>
      <c r="C62" s="1281">
        <v>6</v>
      </c>
      <c r="D62" s="1281">
        <v>1110890.2856715899</v>
      </c>
      <c r="E62" s="1281">
        <v>5</v>
      </c>
      <c r="F62" s="1281">
        <v>74752.587125487204</v>
      </c>
    </row>
    <row r="63" spans="1:6">
      <c r="A63" s="1280" t="s">
        <v>48</v>
      </c>
      <c r="B63" s="1280" t="s">
        <v>28</v>
      </c>
      <c r="C63" s="1281">
        <v>61</v>
      </c>
      <c r="D63" s="1281">
        <v>11384684.957041301</v>
      </c>
      <c r="E63" s="1281">
        <v>73</v>
      </c>
      <c r="F63" s="1281">
        <v>22075201.570060201</v>
      </c>
    </row>
    <row r="64" spans="1:6">
      <c r="A64" s="1280" t="s">
        <v>55</v>
      </c>
      <c r="B64" s="1280" t="s">
        <v>56</v>
      </c>
      <c r="C64" s="1281">
        <v>0</v>
      </c>
      <c r="D64" s="1281">
        <v>0</v>
      </c>
      <c r="E64" s="1281">
        <v>0</v>
      </c>
      <c r="F64" s="1281">
        <v>0</v>
      </c>
    </row>
    <row r="65" spans="1:6">
      <c r="A65" s="1280" t="s">
        <v>55</v>
      </c>
      <c r="B65" s="1280" t="s">
        <v>28</v>
      </c>
      <c r="C65" s="1281">
        <v>0</v>
      </c>
      <c r="D65" s="1281">
        <v>0</v>
      </c>
      <c r="E65" s="1281">
        <v>1</v>
      </c>
      <c r="F65" s="1281">
        <v>6999.5119393836003</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4</v>
      </c>
      <c r="F68" s="1283">
        <v>21412.4291598399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50531010</v>
      </c>
      <c r="E73" s="445"/>
      <c r="F73" s="326"/>
    </row>
    <row r="74" spans="1:6">
      <c r="A74" s="1280" t="s">
        <v>63</v>
      </c>
      <c r="B74" s="1280" t="s">
        <v>754</v>
      </c>
      <c r="C74" s="1293" t="s">
        <v>755</v>
      </c>
      <c r="D74" s="1281">
        <v>1615526.2684299108</v>
      </c>
      <c r="E74" s="445"/>
      <c r="F74" s="326"/>
    </row>
    <row r="75" spans="1:6">
      <c r="A75" s="1280" t="s">
        <v>64</v>
      </c>
      <c r="B75" s="1280" t="s">
        <v>752</v>
      </c>
      <c r="C75" s="1293" t="s">
        <v>756</v>
      </c>
      <c r="D75" s="1281">
        <v>7576388</v>
      </c>
      <c r="E75" s="445"/>
      <c r="F75" s="326"/>
    </row>
    <row r="76" spans="1:6">
      <c r="A76" s="1280" t="s">
        <v>64</v>
      </c>
      <c r="B76" s="1280" t="s">
        <v>754</v>
      </c>
      <c r="C76" s="1293" t="s">
        <v>757</v>
      </c>
      <c r="D76" s="1281">
        <v>520726.26842991076</v>
      </c>
      <c r="E76" s="445"/>
      <c r="F76" s="326"/>
    </row>
    <row r="77" spans="1:6">
      <c r="A77" s="1280" t="s">
        <v>65</v>
      </c>
      <c r="B77" s="1280" t="s">
        <v>752</v>
      </c>
      <c r="C77" s="1293" t="s">
        <v>758</v>
      </c>
      <c r="D77" s="1281">
        <v>28575097</v>
      </c>
      <c r="E77" s="445"/>
      <c r="F77" s="326"/>
    </row>
    <row r="78" spans="1:6">
      <c r="A78" s="1275" t="s">
        <v>65</v>
      </c>
      <c r="B78" s="1275" t="s">
        <v>754</v>
      </c>
      <c r="C78" s="1275" t="s">
        <v>759</v>
      </c>
      <c r="D78" s="1283">
        <v>6627026</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186827.4631401785</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14866.817932190655</v>
      </c>
      <c r="C90" s="326"/>
      <c r="D90" s="326"/>
      <c r="E90" s="326"/>
      <c r="F90" s="326"/>
    </row>
    <row r="91" spans="1:6">
      <c r="A91" s="1280" t="s">
        <v>67</v>
      </c>
      <c r="B91" s="1281">
        <v>1394.2331487195102</v>
      </c>
      <c r="C91" s="326"/>
      <c r="D91" s="326"/>
      <c r="E91" s="326"/>
      <c r="F91" s="326"/>
    </row>
    <row r="92" spans="1:6">
      <c r="A92" s="1275" t="s">
        <v>68</v>
      </c>
      <c r="B92" s="1276">
        <v>1163.5654921772752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823</v>
      </c>
      <c r="C97" s="326"/>
      <c r="D97" s="326"/>
      <c r="E97" s="326"/>
      <c r="F97" s="326"/>
    </row>
    <row r="98" spans="1:6">
      <c r="A98" s="1280" t="s">
        <v>71</v>
      </c>
      <c r="B98" s="1281">
        <v>2</v>
      </c>
      <c r="C98" s="326"/>
      <c r="D98" s="326"/>
      <c r="E98" s="326"/>
      <c r="F98" s="326"/>
    </row>
    <row r="99" spans="1:6">
      <c r="A99" s="1280" t="s">
        <v>72</v>
      </c>
      <c r="B99" s="1281">
        <v>34</v>
      </c>
      <c r="C99" s="326"/>
      <c r="D99" s="326"/>
      <c r="E99" s="326"/>
      <c r="F99" s="326"/>
    </row>
    <row r="100" spans="1:6">
      <c r="A100" s="1280" t="s">
        <v>73</v>
      </c>
      <c r="B100" s="1281">
        <v>92</v>
      </c>
      <c r="C100" s="326"/>
      <c r="D100" s="326"/>
      <c r="E100" s="326"/>
      <c r="F100" s="326"/>
    </row>
    <row r="101" spans="1:6">
      <c r="A101" s="1280" t="s">
        <v>74</v>
      </c>
      <c r="B101" s="1281">
        <v>58</v>
      </c>
      <c r="C101" s="326"/>
      <c r="D101" s="326"/>
      <c r="E101" s="326"/>
      <c r="F101" s="326"/>
    </row>
    <row r="102" spans="1:6">
      <c r="A102" s="1280" t="s">
        <v>75</v>
      </c>
      <c r="B102" s="1281">
        <v>26</v>
      </c>
      <c r="C102" s="326"/>
      <c r="D102" s="326"/>
      <c r="E102" s="326"/>
      <c r="F102" s="326"/>
    </row>
    <row r="103" spans="1:6">
      <c r="A103" s="1280" t="s">
        <v>76</v>
      </c>
      <c r="B103" s="1281">
        <v>149</v>
      </c>
      <c r="C103" s="326"/>
      <c r="D103" s="326"/>
      <c r="E103" s="326"/>
      <c r="F103" s="326"/>
    </row>
    <row r="104" spans="1:6">
      <c r="A104" s="1280" t="s">
        <v>77</v>
      </c>
      <c r="B104" s="1281">
        <v>2312</v>
      </c>
      <c r="C104" s="326"/>
      <c r="D104" s="326"/>
      <c r="E104" s="326"/>
      <c r="F104" s="326"/>
    </row>
    <row r="105" spans="1:6">
      <c r="A105" s="1275" t="s">
        <v>78</v>
      </c>
      <c r="B105" s="128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6</v>
      </c>
      <c r="C123" s="1281">
        <v>4</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46</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10</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50442.595498725612</v>
      </c>
      <c r="C3" s="43" t="s">
        <v>163</v>
      </c>
      <c r="D3" s="43"/>
      <c r="E3" s="156"/>
      <c r="F3" s="43"/>
      <c r="G3" s="43"/>
      <c r="H3" s="43"/>
      <c r="I3" s="43"/>
      <c r="J3" s="43"/>
      <c r="K3" s="96"/>
    </row>
    <row r="4" spans="1:11">
      <c r="A4" s="352" t="s">
        <v>164</v>
      </c>
      <c r="B4" s="49">
        <f>IF(ISERROR('SEAP template'!B78+'SEAP template'!C78),0,'SEAP template'!B78+'SEAP template'!C78)</f>
        <v>18525.616573087442</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1.6568901660280972</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0.13986808495828312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2.3831098339719032</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1583.5714285714287</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1.5048957002979993E-3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413.90199999999999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413.90199999999999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0.13986808495828312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57.891680100403299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15473.157045936599</v>
      </c>
      <c r="C5" s="17">
        <f>IF(ISERROR('Eigen informatie GS &amp; warmtenet'!B57),0,'Eigen informatie GS &amp; warmtenet'!B57)</f>
        <v>0</v>
      </c>
      <c r="D5" s="30">
        <f>(SUM(HH_hh_gas_kWh,HH_rest_gas_kWh)/1000)*0.902</f>
        <v>27468.848148814643</v>
      </c>
      <c r="E5" s="17">
        <f>B32*B41</f>
        <v>1116.7600186086809</v>
      </c>
      <c r="F5" s="17">
        <f>B36*B45</f>
        <v>38119.928311778785</v>
      </c>
      <c r="G5" s="18"/>
      <c r="H5" s="17"/>
      <c r="I5" s="17"/>
      <c r="J5" s="17">
        <f>B35*B44+C35*C44</f>
        <v>858.36414061559333</v>
      </c>
      <c r="K5" s="17"/>
      <c r="L5" s="17"/>
      <c r="M5" s="17"/>
      <c r="N5" s="17">
        <f>B34*B43+C34*C43</f>
        <v>5089.9506630102342</v>
      </c>
      <c r="O5" s="17">
        <f>B52*B53*B54</f>
        <v>78.166666666666671</v>
      </c>
      <c r="P5" s="17">
        <f>B60*B61*B62/1000-B60*B61*B62/1000/B63</f>
        <v>305.06666666666666</v>
      </c>
    </row>
    <row r="6" spans="1:16">
      <c r="A6" s="16" t="s">
        <v>615</v>
      </c>
      <c r="B6" s="766">
        <f>kWh_PV_kleiner_dan_10kW</f>
        <v>1394.2331487195102</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16867.390194656109</v>
      </c>
      <c r="C8" s="21">
        <f>C5</f>
        <v>0</v>
      </c>
      <c r="D8" s="21">
        <f>D5</f>
        <v>27468.848148814643</v>
      </c>
      <c r="E8" s="21">
        <f>E5</f>
        <v>1116.7600186086809</v>
      </c>
      <c r="F8" s="21">
        <f>F5</f>
        <v>38119.928311778785</v>
      </c>
      <c r="G8" s="21"/>
      <c r="H8" s="21"/>
      <c r="I8" s="21"/>
      <c r="J8" s="21">
        <f>J5</f>
        <v>858.36414061559333</v>
      </c>
      <c r="K8" s="21"/>
      <c r="L8" s="21">
        <f>L5</f>
        <v>0</v>
      </c>
      <c r="M8" s="21">
        <f>M5</f>
        <v>0</v>
      </c>
      <c r="N8" s="21">
        <f>N5</f>
        <v>5089.9506630102342</v>
      </c>
      <c r="O8" s="21">
        <f>O5</f>
        <v>78.166666666666671</v>
      </c>
      <c r="P8" s="21">
        <f>P5</f>
        <v>305.06666666666666</v>
      </c>
    </row>
    <row r="9" spans="1:16">
      <c r="B9" s="19"/>
      <c r="C9" s="19"/>
      <c r="D9" s="256"/>
      <c r="E9" s="19"/>
      <c r="F9" s="19"/>
      <c r="G9" s="19"/>
      <c r="H9" s="19"/>
      <c r="I9" s="19"/>
      <c r="J9" s="19"/>
      <c r="K9" s="19"/>
      <c r="L9" s="19"/>
      <c r="M9" s="19"/>
      <c r="N9" s="19"/>
      <c r="O9" s="19"/>
      <c r="P9" s="19"/>
    </row>
    <row r="10" spans="1:16">
      <c r="A10" s="24" t="s">
        <v>207</v>
      </c>
      <c r="B10" s="25">
        <f ca="1">'EF ele_warmte'!B12</f>
        <v>0.13986808495828312</v>
      </c>
      <c r="C10" s="25">
        <f ca="1">'EF ele_warmte'!B22</f>
        <v>1.5048957002979993E-3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2359.2095647706724</v>
      </c>
      <c r="C12" s="23">
        <f ca="1">C10*C8</f>
        <v>0</v>
      </c>
      <c r="D12" s="23">
        <f>D8*D10</f>
        <v>5548.7073260605584</v>
      </c>
      <c r="E12" s="23">
        <f>E10*E8</f>
        <v>253.50452422417055</v>
      </c>
      <c r="F12" s="23">
        <f>F10*F8</f>
        <v>10178.020859244936</v>
      </c>
      <c r="G12" s="23"/>
      <c r="H12" s="23"/>
      <c r="I12" s="23"/>
      <c r="J12" s="23">
        <f>J10*J8</f>
        <v>303.86090577792004</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4033</v>
      </c>
      <c r="C26" s="36"/>
      <c r="D26" s="226"/>
    </row>
    <row r="27" spans="1:5" s="15" customFormat="1">
      <c r="A27" s="228" t="s">
        <v>695</v>
      </c>
      <c r="B27" s="37">
        <f>SUM(HH_hh_gas_aantal,HH_rest_gas_aantal)</f>
        <v>1793</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1703.35</v>
      </c>
      <c r="C31" s="34" t="s">
        <v>104</v>
      </c>
      <c r="D31" s="172"/>
    </row>
    <row r="32" spans="1:5">
      <c r="A32" s="169" t="s">
        <v>72</v>
      </c>
      <c r="B32" s="33">
        <f>IF((B21*($B$26-($B$27-0.05*$B$27)-$B$60))&lt;0,0,B21*($B$26-($B$27-0.05*$B$27)-$B$60))</f>
        <v>16.402780510121577</v>
      </c>
      <c r="C32" s="34" t="s">
        <v>104</v>
      </c>
      <c r="D32" s="172"/>
    </row>
    <row r="33" spans="1:6">
      <c r="A33" s="169" t="s">
        <v>73</v>
      </c>
      <c r="B33" s="33">
        <f>IF((B22*($B$26-($B$27-0.05*$B$27)-$B$60))&lt;0,0,B22*($B$26-($B$27-0.05*$B$27)-$B$60))</f>
        <v>470.10145774926679</v>
      </c>
      <c r="C33" s="34" t="s">
        <v>104</v>
      </c>
      <c r="D33" s="172"/>
    </row>
    <row r="34" spans="1:6">
      <c r="A34" s="169" t="s">
        <v>74</v>
      </c>
      <c r="B34" s="33">
        <f>IF((B24*($B$26-($B$27-0.05*$B$27)-$B$60))&lt;0,0,B24*($B$26-($B$27-0.05*$B$27)-$B$60))</f>
        <v>93.74319885742058</v>
      </c>
      <c r="C34" s="33">
        <f>B26*C24</f>
        <v>824.65822020608687</v>
      </c>
      <c r="D34" s="231"/>
    </row>
    <row r="35" spans="1:6">
      <c r="A35" s="169" t="s">
        <v>76</v>
      </c>
      <c r="B35" s="33">
        <f>IF((B19*($B$26-($B$27-0.05*$B$27)-$B$60))&lt;0,0,B19*($B$26-($B$27-0.05*$B$27)-$B$60))</f>
        <v>48.817799137266604</v>
      </c>
      <c r="C35" s="33">
        <f>B35/2</f>
        <v>24.408899568633302</v>
      </c>
      <c r="D35" s="231"/>
    </row>
    <row r="36" spans="1:6">
      <c r="A36" s="169" t="s">
        <v>77</v>
      </c>
      <c r="B36" s="33">
        <f>IF((B18*($B$26-($B$27-0.05*$B$27)-$B$60))&lt;0,0,B18*($B$26-($B$27-0.05*$B$27)-$B$60))</f>
        <v>1684.5847637459244</v>
      </c>
      <c r="C36" s="34" t="s">
        <v>104</v>
      </c>
      <c r="D36" s="172"/>
    </row>
    <row r="37" spans="1:6">
      <c r="A37" s="169" t="s">
        <v>78</v>
      </c>
      <c r="B37" s="33">
        <f>B60</f>
        <v>16</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50</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16</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28737.341093590308</v>
      </c>
      <c r="C5" s="17">
        <f>IF(ISERROR('Eigen informatie GS &amp; warmtenet'!B58),0,'Eigen informatie GS &amp; warmtenet'!B58)</f>
        <v>0</v>
      </c>
      <c r="D5" s="30">
        <f>SUM(D6:D12)</f>
        <v>15263.452723814391</v>
      </c>
      <c r="E5" s="17">
        <f>SUM(E6:E12)</f>
        <v>615.8885812371077</v>
      </c>
      <c r="F5" s="17">
        <f>SUM(F6:F12)</f>
        <v>5557.9802807402666</v>
      </c>
      <c r="G5" s="18"/>
      <c r="H5" s="17"/>
      <c r="I5" s="17"/>
      <c r="J5" s="17">
        <f>SUM(J6:J12)</f>
        <v>0</v>
      </c>
      <c r="K5" s="17"/>
      <c r="L5" s="17"/>
      <c r="M5" s="17"/>
      <c r="N5" s="17">
        <f>SUM(N6:N12)</f>
        <v>863.88400858500677</v>
      </c>
      <c r="O5" s="17">
        <f>B38*B39*B40</f>
        <v>0</v>
      </c>
      <c r="P5" s="17">
        <f>B46*B47*B48/1000-B46*B47*B48/1000/B49</f>
        <v>0</v>
      </c>
      <c r="R5" s="32"/>
    </row>
    <row r="6" spans="1:18">
      <c r="A6" s="32" t="s">
        <v>53</v>
      </c>
      <c r="B6" s="37">
        <f>B26</f>
        <v>1845.6592176586598</v>
      </c>
      <c r="C6" s="33"/>
      <c r="D6" s="37">
        <f>IF(ISERROR(TER_kantoor_gas_kWh/1000),0,TER_kantoor_gas_kWh/1000)*0.902</f>
        <v>2036.4704850133171</v>
      </c>
      <c r="E6" s="33">
        <f>$C$26*'E Balans VL '!I12/100/3.6*1000000</f>
        <v>64.605332973790354</v>
      </c>
      <c r="F6" s="33">
        <f>$C$26*('E Balans VL '!L12+'E Balans VL '!N12)/100/3.6*1000000</f>
        <v>279.84156331215758</v>
      </c>
      <c r="G6" s="34"/>
      <c r="H6" s="33"/>
      <c r="I6" s="33"/>
      <c r="J6" s="33">
        <f>$C$26*('E Balans VL '!D12+'E Balans VL '!E12)/100/3.6*1000000</f>
        <v>0</v>
      </c>
      <c r="K6" s="33"/>
      <c r="L6" s="33"/>
      <c r="M6" s="33"/>
      <c r="N6" s="33">
        <f>$C$26*'E Balans VL '!Y12/100/3.6*1000000</f>
        <v>14.266368077064655</v>
      </c>
      <c r="O6" s="33"/>
      <c r="P6" s="33"/>
      <c r="R6" s="32"/>
    </row>
    <row r="7" spans="1:18">
      <c r="A7" s="32" t="s">
        <v>52</v>
      </c>
      <c r="B7" s="37">
        <f t="shared" ref="B7:B12" si="0">B27</f>
        <v>1034.0133114294401</v>
      </c>
      <c r="C7" s="33"/>
      <c r="D7" s="37">
        <f>IF(ISERROR(TER_horeca_gas_kWh/1000),0,TER_horeca_gas_kWh/1000)*0.902</f>
        <v>834.26187126793002</v>
      </c>
      <c r="E7" s="33">
        <f>$C$27*'E Balans VL '!I9/100/3.6*1000000</f>
        <v>58.332099793206616</v>
      </c>
      <c r="F7" s="33">
        <f>$C$27*('E Balans VL '!L9+'E Balans VL '!N9)/100/3.6*1000000</f>
        <v>180.13084115414486</v>
      </c>
      <c r="G7" s="34"/>
      <c r="H7" s="33"/>
      <c r="I7" s="33"/>
      <c r="J7" s="33">
        <f>$C$27*('E Balans VL '!D9+'E Balans VL '!E9)/100/3.6*1000000</f>
        <v>0</v>
      </c>
      <c r="K7" s="33"/>
      <c r="L7" s="33"/>
      <c r="M7" s="33"/>
      <c r="N7" s="33">
        <f>$C$27*'E Balans VL '!Y9/100/3.6*1000000</f>
        <v>0</v>
      </c>
      <c r="O7" s="33"/>
      <c r="P7" s="33"/>
      <c r="R7" s="32"/>
    </row>
    <row r="8" spans="1:18">
      <c r="A8" s="6" t="s">
        <v>51</v>
      </c>
      <c r="B8" s="37">
        <f t="shared" si="0"/>
        <v>2639.88340630126</v>
      </c>
      <c r="C8" s="33"/>
      <c r="D8" s="37">
        <f>IF(ISERROR(TER_handel_gas_kWh/1000),0,TER_handel_gas_kWh/1000)*0.902</f>
        <v>1012.2212106536756</v>
      </c>
      <c r="E8" s="33">
        <f>$C$28*'E Balans VL '!I13/100/3.6*1000000</f>
        <v>13.552893199686512</v>
      </c>
      <c r="F8" s="33">
        <f>$C$28*('E Balans VL '!L13+'E Balans VL '!N13)/100/3.6*1000000</f>
        <v>407.02923086571099</v>
      </c>
      <c r="G8" s="34"/>
      <c r="H8" s="33"/>
      <c r="I8" s="33"/>
      <c r="J8" s="33">
        <f>$C$28*('E Balans VL '!D13+'E Balans VL '!E13)/100/3.6*1000000</f>
        <v>0</v>
      </c>
      <c r="K8" s="33"/>
      <c r="L8" s="33"/>
      <c r="M8" s="33"/>
      <c r="N8" s="33">
        <f>$C$28*'E Balans VL '!Y13/100/3.6*1000000</f>
        <v>1.2347056932415599</v>
      </c>
      <c r="O8" s="33"/>
      <c r="P8" s="33"/>
      <c r="R8" s="32"/>
    </row>
    <row r="9" spans="1:18">
      <c r="A9" s="32" t="s">
        <v>50</v>
      </c>
      <c r="B9" s="37">
        <f t="shared" si="0"/>
        <v>108.468509729123</v>
      </c>
      <c r="C9" s="33"/>
      <c r="D9" s="37">
        <f>IF(ISERROR(TER_gezond_gas_kWh/1000),0,TER_gezond_gas_kWh/1000)*0.902</f>
        <v>0</v>
      </c>
      <c r="E9" s="33">
        <f>$C$29*'E Balans VL '!I10/100/3.6*1000000</f>
        <v>4.4959424797680898E-2</v>
      </c>
      <c r="F9" s="33">
        <f>$C$29*('E Balans VL '!L10+'E Balans VL '!N10)/100/3.6*1000000</f>
        <v>26.714238300341947</v>
      </c>
      <c r="G9" s="34"/>
      <c r="H9" s="33"/>
      <c r="I9" s="33"/>
      <c r="J9" s="33">
        <f>$C$29*('E Balans VL '!D10+'E Balans VL '!E10)/100/3.6*1000000</f>
        <v>0</v>
      </c>
      <c r="K9" s="33"/>
      <c r="L9" s="33"/>
      <c r="M9" s="33"/>
      <c r="N9" s="33">
        <f>$C$29*'E Balans VL '!Y10/100/3.6*1000000</f>
        <v>0.93743639719254857</v>
      </c>
      <c r="O9" s="33"/>
      <c r="P9" s="33"/>
      <c r="R9" s="32"/>
    </row>
    <row r="10" spans="1:18">
      <c r="A10" s="32" t="s">
        <v>49</v>
      </c>
      <c r="B10" s="37">
        <f t="shared" si="0"/>
        <v>959.36249128613701</v>
      </c>
      <c r="C10" s="33"/>
      <c r="D10" s="37">
        <f>IF(ISERROR(TER_ander_gas_kWh/1000),0,TER_ander_gas_kWh/1000)*0.902</f>
        <v>109.49028795244095</v>
      </c>
      <c r="E10" s="33">
        <f>$C$30*'E Balans VL '!I14/100/3.6*1000000</f>
        <v>5.8482974169407838</v>
      </c>
      <c r="F10" s="33">
        <f>$C$30*('E Balans VL '!L14+'E Balans VL '!N14)/100/3.6*1000000</f>
        <v>254.34013821534919</v>
      </c>
      <c r="G10" s="34"/>
      <c r="H10" s="33"/>
      <c r="I10" s="33"/>
      <c r="J10" s="33">
        <f>$C$30*('E Balans VL '!D14+'E Balans VL '!E14)/100/3.6*1000000</f>
        <v>0</v>
      </c>
      <c r="K10" s="33"/>
      <c r="L10" s="33"/>
      <c r="M10" s="33"/>
      <c r="N10" s="33">
        <f>$C$30*'E Balans VL '!Y14/100/3.6*1000000</f>
        <v>221.11232394385522</v>
      </c>
      <c r="O10" s="33"/>
      <c r="P10" s="33"/>
      <c r="R10" s="32"/>
    </row>
    <row r="11" spans="1:18">
      <c r="A11" s="32" t="s">
        <v>54</v>
      </c>
      <c r="B11" s="37">
        <f t="shared" si="0"/>
        <v>74.75258712548721</v>
      </c>
      <c r="C11" s="33"/>
      <c r="D11" s="37">
        <f>IF(ISERROR(TER_onderwijs_gas_kWh/1000),0,TER_onderwijs_gas_kWh/1000)*0.902</f>
        <v>1002.0230376757742</v>
      </c>
      <c r="E11" s="33">
        <f>$C$31*'E Balans VL '!I11/100/3.6*1000000</f>
        <v>5.6965363797953583E-2</v>
      </c>
      <c r="F11" s="33">
        <f>$C$31*('E Balans VL '!L11+'E Balans VL '!N11)/100/3.6*1000000</f>
        <v>54.095068656228143</v>
      </c>
      <c r="G11" s="34"/>
      <c r="H11" s="33"/>
      <c r="I11" s="33"/>
      <c r="J11" s="33">
        <f>$C$31*('E Balans VL '!D11+'E Balans VL '!E11)/100/3.6*1000000</f>
        <v>0</v>
      </c>
      <c r="K11" s="33"/>
      <c r="L11" s="33"/>
      <c r="M11" s="33"/>
      <c r="N11" s="33">
        <f>$C$31*'E Balans VL '!Y11/100/3.6*1000000</f>
        <v>0.22031373980158847</v>
      </c>
      <c r="O11" s="33"/>
      <c r="P11" s="33"/>
      <c r="R11" s="32"/>
    </row>
    <row r="12" spans="1:18">
      <c r="A12" s="32" t="s">
        <v>249</v>
      </c>
      <c r="B12" s="37">
        <f t="shared" si="0"/>
        <v>22075.201570060202</v>
      </c>
      <c r="C12" s="33"/>
      <c r="D12" s="37">
        <f>IF(ISERROR(TER_rest_gas_kWh/1000),0,TER_rest_gas_kWh/1000)*0.902</f>
        <v>10268.985831251253</v>
      </c>
      <c r="E12" s="33">
        <f>$C$32*'E Balans VL '!I8/100/3.6*1000000</f>
        <v>473.44803306488785</v>
      </c>
      <c r="F12" s="33">
        <f>$C$32*('E Balans VL '!L8+'E Balans VL '!N8)/100/3.6*1000000</f>
        <v>4355.8292002363332</v>
      </c>
      <c r="G12" s="34"/>
      <c r="H12" s="33"/>
      <c r="I12" s="33"/>
      <c r="J12" s="33">
        <f>$C$32*('E Balans VL '!D8+'E Balans VL '!E8)/100/3.6*1000000</f>
        <v>0</v>
      </c>
      <c r="K12" s="33"/>
      <c r="L12" s="33"/>
      <c r="M12" s="33"/>
      <c r="N12" s="33">
        <f>$C$32*'E Balans VL '!Y8/100/3.6*1000000</f>
        <v>626.11286073385122</v>
      </c>
      <c r="O12" s="33"/>
      <c r="P12" s="33"/>
      <c r="R12" s="32"/>
    </row>
    <row r="13" spans="1:18">
      <c r="A13" s="16" t="s">
        <v>483</v>
      </c>
      <c r="B13" s="244">
        <f ca="1">'lokale energieproductie'!N39+'lokale energieproductie'!N32</f>
        <v>3</v>
      </c>
      <c r="C13" s="244">
        <f ca="1">'lokale energieproductie'!O39+'lokale energieproductie'!O32</f>
        <v>15</v>
      </c>
      <c r="D13" s="304">
        <f ca="1">('lokale energieproductie'!P32+'lokale energieproductie'!P39)*(-1)</f>
        <v>-20</v>
      </c>
      <c r="E13" s="245"/>
      <c r="F13" s="304">
        <f ca="1">('lokale energieproductie'!S32+'lokale energieproductie'!S39)*(-1)</f>
        <v>0</v>
      </c>
      <c r="G13" s="246"/>
      <c r="H13" s="245"/>
      <c r="I13" s="245"/>
      <c r="J13" s="245"/>
      <c r="K13" s="245"/>
      <c r="L13" s="304">
        <f ca="1">('lokale energieproductie'!U32+'lokale energieproductie'!T32+'lokale energieproductie'!U39+'lokale energieproductie'!T39)*(-1)</f>
        <v>0</v>
      </c>
      <c r="M13" s="245"/>
      <c r="N13" s="304">
        <f ca="1">('lokale energieproductie'!Q32+'lokale energieproductie'!R32+'lokale energieproductie'!V32+'lokale energieproductie'!Q39+'lokale energieproductie'!R39+'lokale energieproductie'!V39)*(-1)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28740.341093590308</v>
      </c>
      <c r="C16" s="21">
        <f ca="1">C5+C13+C14</f>
        <v>15</v>
      </c>
      <c r="D16" s="21">
        <f t="shared" ref="D16:N16" ca="1" si="1">MAX((D5+D13+D14),0)</f>
        <v>15243.452723814391</v>
      </c>
      <c r="E16" s="21">
        <f t="shared" si="1"/>
        <v>615.8885812371077</v>
      </c>
      <c r="F16" s="21">
        <f t="shared" ca="1" si="1"/>
        <v>5557.9802807402666</v>
      </c>
      <c r="G16" s="21">
        <f t="shared" si="1"/>
        <v>0</v>
      </c>
      <c r="H16" s="21">
        <f t="shared" si="1"/>
        <v>0</v>
      </c>
      <c r="I16" s="21">
        <f t="shared" si="1"/>
        <v>0</v>
      </c>
      <c r="J16" s="21">
        <f t="shared" si="1"/>
        <v>0</v>
      </c>
      <c r="K16" s="21">
        <f t="shared" si="1"/>
        <v>0</v>
      </c>
      <c r="L16" s="21">
        <f t="shared" ca="1" si="1"/>
        <v>0</v>
      </c>
      <c r="M16" s="21">
        <f t="shared" si="1"/>
        <v>0</v>
      </c>
      <c r="N16" s="21">
        <f t="shared" ca="1" si="1"/>
        <v>863.88400858500677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0.13986808495828312</v>
      </c>
      <c r="C18" s="25">
        <f ca="1">'EF ele_warmte'!B22</f>
        <v>1.5048957002979993E-3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4019.8564698083251</v>
      </c>
      <c r="C20" s="23">
        <f t="shared" ref="C20:P20" ca="1" si="2">C16*C18</f>
        <v>2.2573435504469989E-2</v>
      </c>
      <c r="D20" s="23">
        <f t="shared" ca="1" si="2"/>
        <v>3079.1774502105072</v>
      </c>
      <c r="E20" s="23">
        <f t="shared" si="2"/>
        <v>139.80670794082346</v>
      </c>
      <c r="F20" s="23">
        <f t="shared" ca="1" si="2"/>
        <v>1483.9807349576513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1845.6592176586598</v>
      </c>
      <c r="C26" s="39">
        <f>IF(ISERROR(B26*3.6/1000000/'E Balans VL '!Z12*100),0,B26*3.6/1000000/'E Balans VL '!Z12*100)</f>
        <v>3.8838837440207469E-2</v>
      </c>
      <c r="D26" s="234" t="s">
        <v>700</v>
      </c>
      <c r="F26" s="6"/>
    </row>
    <row r="27" spans="1:18">
      <c r="A27" s="229" t="s">
        <v>52</v>
      </c>
      <c r="B27" s="33">
        <f>IF(ISERROR(TER_horeca_ele_kWh/1000),0,TER_horeca_ele_kWh/1000)</f>
        <v>1034.0133114294401</v>
      </c>
      <c r="C27" s="39">
        <f>IF(ISERROR(B27*3.6/1000000/'E Balans VL '!Z9*100),0,B27*3.6/1000000/'E Balans VL '!Z9*100)</f>
        <v>8.7547001528232804E-2</v>
      </c>
      <c r="D27" s="234" t="s">
        <v>700</v>
      </c>
      <c r="F27" s="6"/>
    </row>
    <row r="28" spans="1:18">
      <c r="A28" s="169" t="s">
        <v>51</v>
      </c>
      <c r="B28" s="33">
        <f>IF(ISERROR(TER_handel_ele_kWh/1000),0,TER_handel_ele_kWh/1000)</f>
        <v>2639.88340630126</v>
      </c>
      <c r="C28" s="39">
        <f>IF(ISERROR(B28*3.6/1000000/'E Balans VL '!Z13*100),0,B28*3.6/1000000/'E Balans VL '!Z13*100)</f>
        <v>7.3084807062892179E-2</v>
      </c>
      <c r="D28" s="234" t="s">
        <v>700</v>
      </c>
      <c r="F28" s="6"/>
    </row>
    <row r="29" spans="1:18">
      <c r="A29" s="229" t="s">
        <v>50</v>
      </c>
      <c r="B29" s="33">
        <f>IF(ISERROR(TER_gezond_ele_kWh/1000),0,TER_gezond_ele_kWh/1000)</f>
        <v>108.468509729123</v>
      </c>
      <c r="C29" s="39">
        <f>IF(ISERROR(B29*3.6/1000000/'E Balans VL '!Z10*100),0,B29*3.6/1000000/'E Balans VL '!Z10*100)</f>
        <v>1.4099703751154918E-2</v>
      </c>
      <c r="D29" s="234" t="s">
        <v>700</v>
      </c>
      <c r="F29" s="6"/>
    </row>
    <row r="30" spans="1:18">
      <c r="A30" s="229" t="s">
        <v>49</v>
      </c>
      <c r="B30" s="33">
        <f>IF(ISERROR(TER_ander_ele_kWh/1000),0,TER_ander_ele_kWh/1000)</f>
        <v>959.36249128613701</v>
      </c>
      <c r="C30" s="39">
        <f>IF(ISERROR(B30*3.6/1000000/'E Balans VL '!Z14*100),0,B30*3.6/1000000/'E Balans VL '!Z14*100)</f>
        <v>7.4359391100810884E-2</v>
      </c>
      <c r="D30" s="234" t="s">
        <v>700</v>
      </c>
      <c r="F30" s="6"/>
    </row>
    <row r="31" spans="1:18">
      <c r="A31" s="229" t="s">
        <v>54</v>
      </c>
      <c r="B31" s="33">
        <f>IF(ISERROR(TER_onderwijs_ele_kWh/1000),0,TER_onderwijs_ele_kWh/1000)</f>
        <v>74.75258712548721</v>
      </c>
      <c r="C31" s="39">
        <f>IF(ISERROR(B31*3.6/1000000/'E Balans VL '!Z11*100),0,B31*3.6/1000000/'E Balans VL '!Z11*100)</f>
        <v>1.4301443674234889E-2</v>
      </c>
      <c r="D31" s="234" t="s">
        <v>700</v>
      </c>
    </row>
    <row r="32" spans="1:18">
      <c r="A32" s="229" t="s">
        <v>249</v>
      </c>
      <c r="B32" s="33">
        <f>IF(ISERROR(TER_rest_ele_kWh/1000),0,TER_rest_ele_kWh/1000)</f>
        <v>22075.201570060202</v>
      </c>
      <c r="C32" s="39">
        <f>IF(ISERROR(B32*3.6/1000000/'E Balans VL '!Z8*100),0,B32*3.6/1000000/'E Balans VL '!Z8*100)</f>
        <v>0.18202698883599377</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2453.6340767730308</v>
      </c>
      <c r="C5" s="17">
        <f>IF(ISERROR('Eigen informatie GS &amp; warmtenet'!B59),0,'Eigen informatie GS &amp; warmtenet'!B59)</f>
        <v>0</v>
      </c>
      <c r="D5" s="30">
        <f>SUM(D6:D15)</f>
        <v>1179.9362439972272</v>
      </c>
      <c r="E5" s="17">
        <f>SUM(E6:E15)</f>
        <v>23.242300884326458</v>
      </c>
      <c r="F5" s="17">
        <f>SUM(F6:F15)</f>
        <v>609.38332877678943</v>
      </c>
      <c r="G5" s="18"/>
      <c r="H5" s="17"/>
      <c r="I5" s="17"/>
      <c r="J5" s="17">
        <f>SUM(J6:J15)</f>
        <v>24.947708012854164</v>
      </c>
      <c r="K5" s="17"/>
      <c r="L5" s="17"/>
      <c r="M5" s="17"/>
      <c r="N5" s="17">
        <f>SUM(N6:N15)</f>
        <v>51.137860009899072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824.26940226770296</v>
      </c>
      <c r="C8" s="33"/>
      <c r="D8" s="37">
        <f>IF( ISERROR(IND_metaal_Gas_kWH/1000),0,IND_metaal_Gas_kWH/1000)*0.902</f>
        <v>126.20757097232492</v>
      </c>
      <c r="E8" s="33">
        <f>C30*'E Balans VL '!I18/100/3.6*1000000</f>
        <v>5.7919592229410641</v>
      </c>
      <c r="F8" s="33">
        <f>C30*'E Balans VL '!L18/100/3.6*1000000+C30*'E Balans VL '!N18/100/3.6*1000000</f>
        <v>90.499957918323744</v>
      </c>
      <c r="G8" s="34"/>
      <c r="H8" s="33"/>
      <c r="I8" s="33"/>
      <c r="J8" s="40">
        <f>C30*'E Balans VL '!D18/100/3.6*1000000+C30*'E Balans VL '!E18/100/3.6*1000000</f>
        <v>17.006454392270609</v>
      </c>
      <c r="K8" s="33"/>
      <c r="L8" s="33"/>
      <c r="M8" s="33"/>
      <c r="N8" s="33">
        <f>C30*'E Balans VL '!Y18/100/3.6*1000000</f>
        <v>3.0894210835180274</v>
      </c>
      <c r="O8" s="33"/>
      <c r="P8" s="33"/>
      <c r="R8" s="32"/>
    </row>
    <row r="9" spans="1:18">
      <c r="A9" s="6" t="s">
        <v>32</v>
      </c>
      <c r="B9" s="37">
        <f t="shared" si="0"/>
        <v>349.87561212314699</v>
      </c>
      <c r="C9" s="33"/>
      <c r="D9" s="37">
        <f>IF( ISERROR(IND_andere_gas_kWh/1000),0,IND_andere_gas_kWh/1000)*0.902</f>
        <v>209.23499903099605</v>
      </c>
      <c r="E9" s="33">
        <f>C31*'E Balans VL '!I19/100/3.6*1000000</f>
        <v>5.8765895169179014</v>
      </c>
      <c r="F9" s="33">
        <f>C31*'E Balans VL '!L19/100/3.6*1000000+C31*'E Balans VL '!N19/100/3.6*1000000</f>
        <v>273.51282613094236</v>
      </c>
      <c r="G9" s="34"/>
      <c r="H9" s="33"/>
      <c r="I9" s="33"/>
      <c r="J9" s="40">
        <f>C31*'E Balans VL '!D19/100/3.6*1000000+C31*'E Balans VL '!E19/100/3.6*1000000</f>
        <v>3.1555691726807722E-2</v>
      </c>
      <c r="K9" s="33"/>
      <c r="L9" s="33"/>
      <c r="M9" s="33"/>
      <c r="N9" s="33">
        <f>C31*'E Balans VL '!Y19/100/3.6*1000000</f>
        <v>25.931396118345635</v>
      </c>
      <c r="O9" s="33"/>
      <c r="P9" s="33"/>
      <c r="R9" s="32"/>
    </row>
    <row r="10" spans="1:18">
      <c r="A10" s="6" t="s">
        <v>40</v>
      </c>
      <c r="B10" s="37">
        <f t="shared" si="0"/>
        <v>269.841095862141</v>
      </c>
      <c r="C10" s="33"/>
      <c r="D10" s="37">
        <f>IF( ISERROR(IND_voed_gas_kWh/1000),0,IND_voed_gas_kWh/1000)*0.902</f>
        <v>0</v>
      </c>
      <c r="E10" s="33">
        <f>C32*'E Balans VL '!I20/100/3.6*1000000</f>
        <v>2.46191802618418</v>
      </c>
      <c r="F10" s="33">
        <f>C32*'E Balans VL '!L20/100/3.6*1000000+C32*'E Balans VL '!N20/100/3.6*1000000</f>
        <v>43.533808898107985</v>
      </c>
      <c r="G10" s="34"/>
      <c r="H10" s="33"/>
      <c r="I10" s="33"/>
      <c r="J10" s="40">
        <f>C32*'E Balans VL '!D20/100/3.6*1000000+C32*'E Balans VL '!E20/100/3.6*1000000</f>
        <v>1.1113825491463958</v>
      </c>
      <c r="K10" s="33"/>
      <c r="L10" s="33"/>
      <c r="M10" s="33"/>
      <c r="N10" s="33">
        <f>C32*'E Balans VL '!Y20/100/3.6*1000000</f>
        <v>3.9475624567872591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1009.64796652004</v>
      </c>
      <c r="C15" s="33"/>
      <c r="D15" s="37">
        <f>IF( ISERROR(IND_rest_gas_kWh/1000),0,IND_rest_gas_kWh/1000)*0.902</f>
        <v>844.49367399390621</v>
      </c>
      <c r="E15" s="33">
        <f>C37*'E Balans VL '!I15/100/3.6*1000000</f>
        <v>9.111834118283312</v>
      </c>
      <c r="F15" s="33">
        <f>C37*'E Balans VL '!L15/100/3.6*1000000+C37*'E Balans VL '!N15/100/3.6*1000000</f>
        <v>201.83673582941537</v>
      </c>
      <c r="G15" s="34"/>
      <c r="H15" s="33"/>
      <c r="I15" s="33"/>
      <c r="J15" s="40">
        <f>C37*'E Balans VL '!D15/100/3.6*1000000+C37*'E Balans VL '!E15/100/3.6*1000000</f>
        <v>6.7983153797103526</v>
      </c>
      <c r="K15" s="33"/>
      <c r="L15" s="33"/>
      <c r="M15" s="33"/>
      <c r="N15" s="33">
        <f>C37*'E Balans VL '!Y15/100/3.6*1000000</f>
        <v>18.169480351248154</v>
      </c>
      <c r="O15" s="33"/>
      <c r="P15" s="33"/>
      <c r="R15" s="32"/>
    </row>
    <row r="16" spans="1:18">
      <c r="A16" s="16" t="s">
        <v>483</v>
      </c>
      <c r="B16" s="244">
        <f>'lokale energieproductie'!N38+'lokale energieproductie'!N31</f>
        <v>0</v>
      </c>
      <c r="C16" s="244">
        <f>'lokale energieproductie'!O38+'lokale energieproductie'!O31</f>
        <v>0</v>
      </c>
      <c r="D16" s="304">
        <f>('lokale energieproductie'!P31+'lokale energieproductie'!P38)*(-1)</f>
        <v>0</v>
      </c>
      <c r="E16" s="245"/>
      <c r="F16" s="304">
        <f>('lokale energieproductie'!S31+'lokale energieproductie'!S38)*(-1)</f>
        <v>0</v>
      </c>
      <c r="G16" s="246"/>
      <c r="H16" s="245"/>
      <c r="I16" s="245"/>
      <c r="J16" s="245"/>
      <c r="K16" s="245"/>
      <c r="L16" s="304">
        <f>('lokale energieproductie'!T31+'lokale energieproductie'!U31+'lokale energieproductie'!T38+'lokale energieproductie'!U38)*(-1)</f>
        <v>0</v>
      </c>
      <c r="M16" s="245"/>
      <c r="N16" s="304">
        <f>('lokale energieproductie'!Q31+'lokale energieproductie'!R31+'lokale energieproductie'!V31+'lokale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2453.6340767730308</v>
      </c>
      <c r="C18" s="21">
        <f>C5+C16</f>
        <v>0</v>
      </c>
      <c r="D18" s="21">
        <f>MAX((D5+D16),0)</f>
        <v>1179.9362439972272</v>
      </c>
      <c r="E18" s="21">
        <f>MAX((E5+E16),0)</f>
        <v>23.242300884326458</v>
      </c>
      <c r="F18" s="21">
        <f>MAX((F5+F16),0)</f>
        <v>609.38332877678943</v>
      </c>
      <c r="G18" s="21"/>
      <c r="H18" s="21"/>
      <c r="I18" s="21"/>
      <c r="J18" s="21">
        <f>MAX((J5+J16),0)</f>
        <v>24.947708012854164</v>
      </c>
      <c r="K18" s="21"/>
      <c r="L18" s="21">
        <f>MAX((L5+L16),0)</f>
        <v>0</v>
      </c>
      <c r="M18" s="21"/>
      <c r="N18" s="21">
        <f>MAX((N5+N16),0)</f>
        <v>51.137860009899072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0.13986808495828312</v>
      </c>
      <c r="C20" s="25">
        <f ca="1">'EF ele_warmte'!B22</f>
        <v>1.5048957002979993E-3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343.18509950662883</v>
      </c>
      <c r="C22" s="23">
        <f ca="1">C18*C20</f>
        <v>0</v>
      </c>
      <c r="D22" s="23">
        <f>D18*D20</f>
        <v>238.3471212874399</v>
      </c>
      <c r="E22" s="23">
        <f>E18*E20</f>
        <v>5.276002300742106</v>
      </c>
      <c r="F22" s="23">
        <f>F18*F20</f>
        <v>162.7053487834028</v>
      </c>
      <c r="G22" s="23"/>
      <c r="H22" s="23"/>
      <c r="I22" s="23"/>
      <c r="J22" s="23">
        <f>J18*J20</f>
        <v>8.8314886365503735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824.26940226770296</v>
      </c>
      <c r="C30" s="39">
        <f>IF(ISERROR(B30*3.6/1000000/'E Balans VL '!Z18*100),0,B30*3.6/1000000/'E Balans VL '!Z18*100)</f>
        <v>5.4872117450037103E-2</v>
      </c>
      <c r="D30" s="234" t="s">
        <v>700</v>
      </c>
    </row>
    <row r="31" spans="1:18">
      <c r="A31" s="6" t="s">
        <v>32</v>
      </c>
      <c r="B31" s="37">
        <f>IF( ISERROR(IND_ander_ele_kWh/1000),0,IND_ander_ele_kWh/1000)</f>
        <v>349.87561212314699</v>
      </c>
      <c r="C31" s="39">
        <f>IF(ISERROR(B31*3.6/1000000/'E Balans VL '!Z19*100),0,B31*3.6/1000000/'E Balans VL '!Z19*100)</f>
        <v>1.5508599346963524E-2</v>
      </c>
      <c r="D31" s="234" t="s">
        <v>700</v>
      </c>
    </row>
    <row r="32" spans="1:18">
      <c r="A32" s="169" t="s">
        <v>40</v>
      </c>
      <c r="B32" s="37">
        <f>IF( ISERROR(IND_voed_ele_kWh/1000),0,IND_voed_ele_kWh/1000)</f>
        <v>269.841095862141</v>
      </c>
      <c r="C32" s="39">
        <f>IF(ISERROR(B32*3.6/1000000/'E Balans VL '!Z20*100),0,B32*3.6/1000000/'E Balans VL '!Z20*100)</f>
        <v>9.0134666757147944E-3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1009.64796652004</v>
      </c>
      <c r="C37" s="39">
        <f>IF(ISERROR(B37*3.6/1000000/'E Balans VL '!Z15*100),0,B37*3.6/1000000/'E Balans VL '!Z15*100)</f>
        <v>7.51013601367179E-3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1196.9936111180566</v>
      </c>
      <c r="C5" s="17">
        <f>'Eigen informatie GS &amp; warmtenet'!B60</f>
        <v>0</v>
      </c>
      <c r="D5" s="30">
        <f>IF(ISERROR(SUM(LB_lb_gas_kWh,LB_rest_gas_kWh)/1000),0,SUM(LB_lb_gas_kWh,LB_rest_gas_kWh)/1000)*0.902</f>
        <v>123.55051397162732</v>
      </c>
      <c r="E5" s="17">
        <f>B17*'E Balans VL '!I25/3.6*1000000/100</f>
        <v>12.535176234177488</v>
      </c>
      <c r="F5" s="17">
        <f>B17*('E Balans VL '!L25/3.6*1000000+'E Balans VL '!N25/3.6*1000000)/100</f>
        <v>5124.042177566087</v>
      </c>
      <c r="G5" s="18"/>
      <c r="H5" s="17"/>
      <c r="I5" s="17"/>
      <c r="J5" s="17">
        <f>('E Balans VL '!D25+'E Balans VL '!E25)/3.6*1000000*landbouw!B17/100</f>
        <v>106.90225830960922</v>
      </c>
      <c r="K5" s="17"/>
      <c r="L5" s="17">
        <f>L6*(-1)</f>
        <v>0</v>
      </c>
      <c r="M5" s="17"/>
      <c r="N5" s="17">
        <f>N6*(-1)</f>
        <v>3137.1428571428573</v>
      </c>
      <c r="O5" s="17"/>
      <c r="P5" s="17"/>
      <c r="R5" s="32"/>
    </row>
    <row r="6" spans="1:18">
      <c r="A6" s="16" t="s">
        <v>483</v>
      </c>
      <c r="B6" s="17" t="s">
        <v>204</v>
      </c>
      <c r="C6" s="17">
        <f>'lokale energieproductie'!O40+'lokale energieproductie'!O33</f>
        <v>1568.5714285714287</v>
      </c>
      <c r="D6" s="304">
        <f>('lokale energieproductie'!P33+'lokale energieproductie'!P40)*(-1)</f>
        <v>0</v>
      </c>
      <c r="E6" s="245"/>
      <c r="F6" s="304">
        <f>('lokale energieproductie'!S33+'lokale energieproductie'!S40)*(-1)</f>
        <v>0</v>
      </c>
      <c r="G6" s="246"/>
      <c r="H6" s="245"/>
      <c r="I6" s="245"/>
      <c r="J6" s="245"/>
      <c r="K6" s="245"/>
      <c r="L6" s="304">
        <f>('lokale energieproductie'!T33+'lokale energieproductie'!U33+'lokale energieproductie'!T40+'lokale energieproductie'!U40)*(-1)</f>
        <v>0</v>
      </c>
      <c r="M6" s="245"/>
      <c r="N6" s="304">
        <f>('lokale energieproductie'!V33+'lokale energieproductie'!R33+'lokale energieproductie'!Q33+'lokale energieproductie'!Q40+'lokale energieproductie'!R40+'lokale energieproductie'!V40)*(-1)</f>
        <v>-3137.1428571428573</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1196.9936111180566</v>
      </c>
      <c r="C8" s="21">
        <f>C5+C6</f>
        <v>1568.5714285714287</v>
      </c>
      <c r="D8" s="21">
        <f>MAX((D5+D6),0)</f>
        <v>123.55051397162732</v>
      </c>
      <c r="E8" s="21">
        <f>MAX((E5+E6),0)</f>
        <v>12.535176234177488</v>
      </c>
      <c r="F8" s="21">
        <f>MAX((F5+F6),0)</f>
        <v>5124.042177566087</v>
      </c>
      <c r="G8" s="21"/>
      <c r="H8" s="21"/>
      <c r="I8" s="21"/>
      <c r="J8" s="21">
        <f>MAX((J5+J6),0)</f>
        <v>106.90225830960922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0.13986808495828312</v>
      </c>
      <c r="C10" s="31">
        <f ca="1">'EF ele_warmte'!B22</f>
        <v>1.5048957002979993E-3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167.42120409438246</v>
      </c>
      <c r="C12" s="23">
        <f ca="1">C8*C10</f>
        <v>2.3605363984674335</v>
      </c>
      <c r="D12" s="23">
        <f>D8*D10</f>
        <v>24.95720382226872</v>
      </c>
      <c r="E12" s="23">
        <f>E8*E10</f>
        <v>2.8454850051582898</v>
      </c>
      <c r="F12" s="23">
        <f>F8*F10</f>
        <v>1368.1192614101453</v>
      </c>
      <c r="G12" s="23"/>
      <c r="H12" s="23"/>
      <c r="I12" s="23"/>
      <c r="J12" s="23">
        <f>J8*J10</f>
        <v>37.843399441601662</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0.1842404229977618</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350.12547363229123</v>
      </c>
      <c r="C26" s="244">
        <f>B26*'GWP N2O_CH4'!B5</f>
        <v>7352.6349462781163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87.819559054402347</v>
      </c>
      <c r="C27" s="244">
        <f>B27*'GWP N2O_CH4'!B5</f>
        <v>1844.2107401424494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5.9315422815668279</v>
      </c>
      <c r="C28" s="244">
        <f>B28*'GWP N2O_CH4'!B4</f>
        <v>1838.7781072857167</v>
      </c>
      <c r="D28" s="50"/>
    </row>
    <row r="29" spans="1:4">
      <c r="A29" s="41" t="s">
        <v>266</v>
      </c>
      <c r="B29" s="244">
        <f>B34*'ha_N2O bodem landbouw'!B4</f>
        <v>15.681879703604798</v>
      </c>
      <c r="C29" s="244">
        <f>B29*'GWP N2O_CH4'!B4</f>
        <v>4861.3827081174877</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2.5916365820729524E-3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3.47630207869345E-6</v>
      </c>
      <c r="C5" s="433" t="s">
        <v>204</v>
      </c>
      <c r="D5" s="418">
        <f>SUM(D6:D11)</f>
        <v>1.1018219214162012E-5</v>
      </c>
      <c r="E5" s="418">
        <f>SUM(E6:E11)</f>
        <v>1.2198227193186732E-3</v>
      </c>
      <c r="F5" s="431" t="s">
        <v>204</v>
      </c>
      <c r="G5" s="418">
        <f>SUM(G6:G11)</f>
        <v>0.23973052710750808</v>
      </c>
      <c r="H5" s="418">
        <f>SUM(H6:H11)</f>
        <v>3.7135318372256615E-2</v>
      </c>
      <c r="I5" s="433" t="s">
        <v>204</v>
      </c>
      <c r="J5" s="433" t="s">
        <v>204</v>
      </c>
      <c r="K5" s="433" t="s">
        <v>204</v>
      </c>
      <c r="L5" s="433" t="s">
        <v>204</v>
      </c>
      <c r="M5" s="418">
        <f>SUM(M6:M11)</f>
        <v>1.2036548974218431E-2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1.9202541445286919E-6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6.0799489466559265E-6</v>
      </c>
      <c r="E6" s="421">
        <f>vkm_GW_PW*SUMIFS(TableVerdeelsleutelVkm[LPG],TableVerdeelsleutelVkm[Voertuigtype],"Lichte voertuigen")*SUMIFS(TableECFTransport[EnergieConsumptieFactor (PJ per km)],TableECFTransport[Index],CONCATENATE($A6,"_LPG_LPG"))</f>
        <v>6.3358354922162625E-4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8.4393486703922563E-2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2.0245815233006545E-2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4.5674170999131306E-3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3.3595776250940029E-8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1.5144208715469737E-2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4.100291680889127E-7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6.5241880899730002E-4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2.8791410378611963E-7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1.5492521303830212E-6</v>
      </c>
      <c r="E8" s="421">
        <f>vkm_NGW_PW*SUMIFS(TableVerdeelsleutelVkm[LPG],TableVerdeelsleutelVkm[Voertuigtype],"Lichte voertuigen")*SUMIFS(TableECFTransport[EnergieConsumptieFactor (PJ per km)],TableECFTransport[Index],CONCATENATE($A8,"_LPG_LPG"))</f>
        <v>1.5235908233213037E-4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1.9214907950568322E-2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4.8781679929537037E-3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1.0522804726892921E-3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1.082879526258672E-8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6.7614690614568656E-3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1.5952423138878996E-7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2.9128581529996053E-4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1.0858965305573627E-6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3.3890181371230643E-6</v>
      </c>
      <c r="E10" s="421">
        <f>vkm_SW_PW*SUMIFS(TableVerdeelsleutelVkm[LPG],TableVerdeelsleutelVkm[Voertuigtype],"Lichte voertuigen")*SUMIFS(TableECFTransport[EnergieConsumptieFactor (PJ per km)],TableECFTransport[Index],CONCATENATE($A10,"_LPG_LPG"))</f>
        <v>4.3388008776491647E-4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5.4273102216520222E-2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1.2009034382538898E-2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2.8907572446498406E-3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1.3781272830774852E-7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5.994335245957038E-2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1.7312103579884799E-6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2.5823895326689064E-3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0.96563946630373609</v>
      </c>
      <c r="C14" s="21"/>
      <c r="D14" s="21">
        <f t="shared" ref="D14:M14" si="0">((D5)*10^9/3600)+D12</f>
        <v>3.0606164483783367</v>
      </c>
      <c r="E14" s="21">
        <f t="shared" si="0"/>
        <v>338.83964425518701</v>
      </c>
      <c r="F14" s="21"/>
      <c r="G14" s="21">
        <f t="shared" si="0"/>
        <v>66591.813085418908</v>
      </c>
      <c r="H14" s="21">
        <f t="shared" si="0"/>
        <v>10315.366214515727</v>
      </c>
      <c r="I14" s="21"/>
      <c r="J14" s="21"/>
      <c r="K14" s="21"/>
      <c r="L14" s="21"/>
      <c r="M14" s="21">
        <f t="shared" si="0"/>
        <v>3343.4858261717868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0.13986808495828312</v>
      </c>
      <c r="C16" s="56">
        <f ca="1">'EF ele_warmte'!B22</f>
        <v>1.5048957002979993E-3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0.13506214291204213</v>
      </c>
      <c r="C18" s="23"/>
      <c r="D18" s="23">
        <f t="shared" ref="D18:M18" si="1">D14*D16</f>
        <v>0.61824452257242402</v>
      </c>
      <c r="E18" s="23">
        <f t="shared" si="1"/>
        <v>76.916599245927458</v>
      </c>
      <c r="F18" s="23"/>
      <c r="G18" s="23">
        <f t="shared" si="1"/>
        <v>17780.014093806851</v>
      </c>
      <c r="H18" s="23">
        <f t="shared" si="1"/>
        <v>2568.5261874144157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1.1303761389669781E-5</v>
      </c>
      <c r="C50" s="315">
        <f t="shared" ref="C50:P50" si="2">SUM(C51:C52)</f>
        <v>0</v>
      </c>
      <c r="D50" s="315">
        <f t="shared" si="2"/>
        <v>0</v>
      </c>
      <c r="E50" s="315">
        <f t="shared" si="2"/>
        <v>0</v>
      </c>
      <c r="F50" s="315">
        <f t="shared" si="2"/>
        <v>0</v>
      </c>
      <c r="G50" s="315">
        <f t="shared" si="2"/>
        <v>2.4522375453256361E-3</v>
      </c>
      <c r="H50" s="315">
        <f t="shared" si="2"/>
        <v>0</v>
      </c>
      <c r="I50" s="315">
        <f t="shared" si="2"/>
        <v>0</v>
      </c>
      <c r="J50" s="315">
        <f t="shared" si="2"/>
        <v>0</v>
      </c>
      <c r="K50" s="315">
        <f t="shared" si="2"/>
        <v>0</v>
      </c>
      <c r="L50" s="315">
        <f t="shared" si="2"/>
        <v>0</v>
      </c>
      <c r="M50" s="315">
        <f t="shared" si="2"/>
        <v>1.04995392035757E-4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1.1303761389669781E-5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2.4522375453256361E-3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1.04995392035757E-4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3.1399337193527166</v>
      </c>
      <c r="C54" s="21">
        <f t="shared" ref="C54:P54" si="3">(C50)*10^9/3600</f>
        <v>0</v>
      </c>
      <c r="D54" s="21">
        <f t="shared" si="3"/>
        <v>0</v>
      </c>
      <c r="E54" s="21">
        <f t="shared" si="3"/>
        <v>0</v>
      </c>
      <c r="F54" s="21">
        <f t="shared" si="3"/>
        <v>0</v>
      </c>
      <c r="G54" s="21">
        <f t="shared" si="3"/>
        <v>681.17709592378776</v>
      </c>
      <c r="H54" s="21">
        <f t="shared" si="3"/>
        <v>0</v>
      </c>
      <c r="I54" s="21">
        <f t="shared" si="3"/>
        <v>0</v>
      </c>
      <c r="J54" s="21">
        <f t="shared" si="3"/>
        <v>0</v>
      </c>
      <c r="K54" s="21">
        <f t="shared" si="3"/>
        <v>0</v>
      </c>
      <c r="L54" s="21">
        <f t="shared" si="3"/>
        <v>0</v>
      </c>
      <c r="M54" s="21">
        <f t="shared" si="3"/>
        <v>29.165386676599166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0.13986808495828312</v>
      </c>
      <c r="C56" s="56">
        <f ca="1">'EF ele_warmte'!B22</f>
        <v>1.5048957002979993E-3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0.4391765162218037</v>
      </c>
      <c r="C58" s="23">
        <f t="shared" ref="C58:P58" ca="1" si="4">C54*C56</f>
        <v>0</v>
      </c>
      <c r="D58" s="23">
        <f t="shared" si="4"/>
        <v>0</v>
      </c>
      <c r="E58" s="23">
        <f t="shared" si="4"/>
        <v>0</v>
      </c>
      <c r="F58" s="23">
        <f t="shared" si="4"/>
        <v>0</v>
      </c>
      <c r="G58" s="23">
        <f t="shared" si="4"/>
        <v>181.87428461165135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14866.817932190655</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2557.7986408967854</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N30</f>
        <v>1101</v>
      </c>
      <c r="C8" s="544">
        <f>B49</f>
        <v>8.2024265644955303</v>
      </c>
      <c r="D8" s="963"/>
      <c r="E8" s="963">
        <f>E49</f>
        <v>0</v>
      </c>
      <c r="F8" s="964"/>
      <c r="G8" s="545"/>
      <c r="H8" s="963">
        <f>I49</f>
        <v>0</v>
      </c>
      <c r="I8" s="963">
        <f>G49+F49</f>
        <v>0</v>
      </c>
      <c r="J8" s="963">
        <f>H49+D49+C49</f>
        <v>1286.6091954022991</v>
      </c>
      <c r="K8" s="963"/>
      <c r="L8" s="963"/>
      <c r="M8" s="963"/>
      <c r="N8" s="546"/>
      <c r="O8" s="547">
        <f>C8*$C$12+D8*$D$12+E8*$E$12+F8*$F$12+G8*$G$12+H8*$H$12+I8*$I$12+J8*$J$12</f>
        <v>1.6568901660280972</v>
      </c>
      <c r="P8" s="1253"/>
      <c r="Q8" s="1254"/>
      <c r="S8" s="996"/>
      <c r="T8" s="1250"/>
      <c r="U8" s="1250"/>
    </row>
    <row r="9" spans="1:21" s="532" customFormat="1" ht="17.45" customHeight="1" thickBot="1">
      <c r="A9" s="548" t="s">
        <v>237</v>
      </c>
      <c r="B9" s="1000">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18525.616573087442</v>
      </c>
      <c r="C10" s="556">
        <f t="shared" ref="C10:L10" si="0">SUM(C8:C9)</f>
        <v>8.2024265644955303</v>
      </c>
      <c r="D10" s="556">
        <f t="shared" si="0"/>
        <v>0</v>
      </c>
      <c r="E10" s="556">
        <f t="shared" si="0"/>
        <v>0</v>
      </c>
      <c r="F10" s="556">
        <f t="shared" si="0"/>
        <v>0</v>
      </c>
      <c r="G10" s="556">
        <f t="shared" si="0"/>
        <v>0</v>
      </c>
      <c r="H10" s="556">
        <f t="shared" si="0"/>
        <v>0</v>
      </c>
      <c r="I10" s="556">
        <f t="shared" si="0"/>
        <v>0</v>
      </c>
      <c r="J10" s="556">
        <f t="shared" si="0"/>
        <v>1286.6091954022991</v>
      </c>
      <c r="K10" s="556">
        <f t="shared" si="0"/>
        <v>0</v>
      </c>
      <c r="L10" s="556">
        <f t="shared" si="0"/>
        <v>0</v>
      </c>
      <c r="M10" s="958"/>
      <c r="N10" s="958"/>
      <c r="O10" s="557">
        <f>SUM(O4:O9)</f>
        <v>1.6568901660280972</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O30</f>
        <v>1583.5714285714287</v>
      </c>
      <c r="C17" s="568">
        <f>B50</f>
        <v>11.797573435504471</v>
      </c>
      <c r="D17" s="569"/>
      <c r="E17" s="569">
        <f>E50</f>
        <v>0</v>
      </c>
      <c r="F17" s="570"/>
      <c r="G17" s="571"/>
      <c r="H17" s="568">
        <f>I50</f>
        <v>0</v>
      </c>
      <c r="I17" s="569">
        <f>G50+F50</f>
        <v>0</v>
      </c>
      <c r="J17" s="569">
        <f>H50+D50+C50</f>
        <v>1850.5336617405587</v>
      </c>
      <c r="K17" s="569"/>
      <c r="L17" s="569"/>
      <c r="M17" s="569"/>
      <c r="N17" s="959"/>
      <c r="O17" s="572">
        <f>C17*$C$22+E17*$E$22+H17*$H$22+I17*$I$22+J17*$J$22+D17*$D$22+F17*$F$22+G17*$G$22+K17*$K$22+L17*$L$22</f>
        <v>2.3831098339719032</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1583.5714285714287</v>
      </c>
      <c r="C20" s="555">
        <f>SUM(C17:C19)</f>
        <v>11.797573435504471</v>
      </c>
      <c r="D20" s="555">
        <f t="shared" ref="D20:L20" si="1">SUM(D17:D19)</f>
        <v>0</v>
      </c>
      <c r="E20" s="555">
        <f t="shared" si="1"/>
        <v>0</v>
      </c>
      <c r="F20" s="555">
        <f t="shared" si="1"/>
        <v>0</v>
      </c>
      <c r="G20" s="555">
        <f t="shared" si="1"/>
        <v>0</v>
      </c>
      <c r="H20" s="555">
        <f t="shared" si="1"/>
        <v>0</v>
      </c>
      <c r="I20" s="555">
        <f t="shared" si="1"/>
        <v>0</v>
      </c>
      <c r="J20" s="555">
        <f t="shared" si="1"/>
        <v>1850.5336617405587</v>
      </c>
      <c r="K20" s="555">
        <f t="shared" si="1"/>
        <v>0</v>
      </c>
      <c r="L20" s="555">
        <f t="shared" si="1"/>
        <v>0</v>
      </c>
      <c r="M20" s="555"/>
      <c r="N20" s="555"/>
      <c r="O20" s="576">
        <f>SUM(O17:O19)</f>
        <v>2.3831098339719032</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13021</v>
      </c>
      <c r="C28" s="775">
        <v>2450</v>
      </c>
      <c r="D28" s="628"/>
      <c r="E28" s="627"/>
      <c r="F28" s="627"/>
      <c r="G28" s="627" t="s">
        <v>977</v>
      </c>
      <c r="H28" s="627" t="s">
        <v>977</v>
      </c>
      <c r="I28" s="627"/>
      <c r="J28" s="774"/>
      <c r="K28" s="774"/>
      <c r="L28" s="627" t="s">
        <v>978</v>
      </c>
      <c r="M28" s="627">
        <v>1</v>
      </c>
      <c r="N28" s="627">
        <v>3</v>
      </c>
      <c r="O28" s="627">
        <v>15</v>
      </c>
      <c r="P28" s="627">
        <v>20</v>
      </c>
      <c r="Q28" s="627">
        <v>0</v>
      </c>
      <c r="R28" s="627">
        <v>0</v>
      </c>
      <c r="S28" s="627">
        <v>0</v>
      </c>
      <c r="T28" s="627">
        <v>0</v>
      </c>
      <c r="U28" s="627">
        <v>0</v>
      </c>
      <c r="V28" s="627">
        <v>0</v>
      </c>
      <c r="W28" s="627">
        <v>0</v>
      </c>
      <c r="X28" s="627">
        <v>1600</v>
      </c>
      <c r="Y28" s="627" t="s">
        <v>49</v>
      </c>
      <c r="Z28" s="629" t="s">
        <v>149</v>
      </c>
    </row>
    <row r="29" spans="1:26" s="581" customFormat="1" ht="25.5" hidden="1">
      <c r="A29" s="580"/>
      <c r="B29" s="775">
        <v>13021</v>
      </c>
      <c r="C29" s="775">
        <v>2450</v>
      </c>
      <c r="D29" s="628"/>
      <c r="E29" s="627"/>
      <c r="F29" s="627"/>
      <c r="G29" s="627" t="s">
        <v>979</v>
      </c>
      <c r="H29" s="627" t="s">
        <v>980</v>
      </c>
      <c r="I29" s="627"/>
      <c r="J29" s="774"/>
      <c r="K29" s="774"/>
      <c r="L29" s="627" t="s">
        <v>978</v>
      </c>
      <c r="M29" s="627">
        <v>732</v>
      </c>
      <c r="N29" s="627">
        <v>1098</v>
      </c>
      <c r="O29" s="627">
        <v>1568.5714285714287</v>
      </c>
      <c r="P29" s="627">
        <v>0</v>
      </c>
      <c r="Q29" s="627">
        <v>3137.1428571428573</v>
      </c>
      <c r="R29" s="627">
        <v>0</v>
      </c>
      <c r="S29" s="627">
        <v>0</v>
      </c>
      <c r="T29" s="627">
        <v>0</v>
      </c>
      <c r="U29" s="627">
        <v>0</v>
      </c>
      <c r="V29" s="627">
        <v>0</v>
      </c>
      <c r="W29" s="627">
        <v>0</v>
      </c>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733</v>
      </c>
      <c r="N30" s="585">
        <f>SUM(N28:N29)</f>
        <v>1101</v>
      </c>
      <c r="O30" s="585">
        <f>SUM(O28:O29)</f>
        <v>1583.5714285714287</v>
      </c>
      <c r="P30" s="585">
        <f>SUM(P28:P29)</f>
        <v>20</v>
      </c>
      <c r="Q30" s="585">
        <f>SUM(Q28:Q29)</f>
        <v>3137.1428571428573</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1</v>
      </c>
      <c r="N32" s="585">
        <f ca="1">SUMIF($Z$28:AD29,"tertiair",N28:N29)</f>
        <v>3</v>
      </c>
      <c r="O32" s="585">
        <f ca="1">SUMIF($Z$28:AE29,"tertiair",O28:O29)</f>
        <v>15</v>
      </c>
      <c r="P32" s="585">
        <f ca="1">SUMIF($Z$28:AF29,"tertiair",P28:P29)</f>
        <v>20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732</v>
      </c>
      <c r="N33" s="590">
        <f>SUMIF($Z$28:$Z$29,"landbouw",N28:N29)</f>
        <v>1098</v>
      </c>
      <c r="O33" s="590">
        <f>SUMIF($Z$28:$Z$29,"landbouw",O28:O29)</f>
        <v>1568.5714285714287</v>
      </c>
      <c r="P33" s="590">
        <f>SUMIF($Z$28:$Z$29,"landbouw",P28:P29)</f>
        <v>0</v>
      </c>
      <c r="Q33" s="590">
        <f>SUMIF($Z$28:$Z$29,"landbouw",Q28:Q29)</f>
        <v>3137.1428571428573</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529</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0.58987867177522357</v>
      </c>
      <c r="C46" s="610">
        <f>IF(ISERROR(N30/(O30+N30)),0,N30/(N30+O30))</f>
        <v>0.41012132822477654</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529</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8.2024265644955303</v>
      </c>
      <c r="C49" s="619">
        <f t="shared" si="2"/>
        <v>1286.6091954022991</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11.797573435504471</v>
      </c>
      <c r="C50" s="622">
        <f t="shared" si="3"/>
        <v>1850.5336617405587</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2021-11-11T13:41:45Z</dcterms:modified>
</cp:coreProperties>
</file>