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4FDA2DB4-6CF0-436B-835D-2167D212302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D20" i="18"/>
  <c r="G12" i="18"/>
  <c r="F12" i="18"/>
  <c r="E12" i="18"/>
  <c r="D12" i="18"/>
  <c r="C12" i="18"/>
  <c r="L10" i="18"/>
  <c r="K10" i="18"/>
  <c r="G10" i="18"/>
  <c r="D10" i="18"/>
  <c r="B6" i="18"/>
  <c r="B5" i="18"/>
  <c r="B4" i="18"/>
  <c r="F20" i="18" l="1"/>
  <c r="G20" i="18"/>
  <c r="K20" i="18"/>
  <c r="B46" i="18"/>
  <c r="I50" i="18" s="1"/>
  <c r="H17" i="18" s="1"/>
  <c r="J9" i="18"/>
  <c r="O9" i="18" s="1"/>
  <c r="B17" i="18"/>
  <c r="B20" i="18" s="1"/>
  <c r="C46" i="18"/>
  <c r="H49" i="18" s="1"/>
  <c r="O19" i="18"/>
  <c r="O18" i="18"/>
  <c r="L20" i="18"/>
  <c r="B10" i="18"/>
  <c r="D50"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B19" i="6"/>
  <c r="B18" i="6"/>
  <c r="B5" i="6"/>
  <c r="C29" i="14" s="1"/>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Q54" i="14"/>
  <c r="Q56" i="14" s="1"/>
  <c r="P54" i="14"/>
  <c r="P56" i="14" s="1"/>
  <c r="L54" i="14"/>
  <c r="L56" i="14" s="1"/>
  <c r="J54" i="14"/>
  <c r="I54" i="14"/>
  <c r="I56" i="14" s="1"/>
  <c r="H54" i="14"/>
  <c r="H56" i="14" s="1"/>
  <c r="Q24" i="14"/>
  <c r="P24" i="14"/>
  <c r="N24" i="14"/>
  <c r="N26" i="14" s="1"/>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R44" i="14"/>
  <c r="P26" i="14"/>
  <c r="L26" i="14"/>
  <c r="E25" i="14"/>
  <c r="E55" i="14" s="1"/>
  <c r="Q26" i="14"/>
  <c r="J26" i="14"/>
  <c r="I26" i="14"/>
  <c r="D5" i="17"/>
  <c r="P24" i="48" l="1"/>
  <c r="P31" i="48"/>
  <c r="O32" i="48"/>
  <c r="D14" i="48"/>
  <c r="P32" i="48"/>
  <c r="R25" i="14"/>
  <c r="O25" i="48"/>
  <c r="B50" i="18"/>
  <c r="C17" i="18" s="1"/>
  <c r="D87" i="14" s="1"/>
  <c r="D17" i="55" s="1"/>
  <c r="D20" i="55" s="1"/>
  <c r="L20" i="55"/>
  <c r="F50" i="18"/>
  <c r="I17" i="18" s="1"/>
  <c r="J77" i="14"/>
  <c r="J9" i="55" s="1"/>
  <c r="H50" i="18"/>
  <c r="H20" i="18"/>
  <c r="M87" i="14"/>
  <c r="M17" i="55" s="1"/>
  <c r="M20" i="55" s="1"/>
  <c r="C50" i="18"/>
  <c r="E50" i="18"/>
  <c r="E17" i="18" s="1"/>
  <c r="G50" i="18"/>
  <c r="K10" i="55"/>
  <c r="C49" i="18"/>
  <c r="E49" i="18"/>
  <c r="E8" i="18" s="1"/>
  <c r="G49" i="18"/>
  <c r="I49" i="18"/>
  <c r="H8" i="18" s="1"/>
  <c r="B49" i="18"/>
  <c r="C8" i="18" s="1"/>
  <c r="D76" i="14" s="1"/>
  <c r="D8" i="55" s="1"/>
  <c r="D10" i="55" s="1"/>
  <c r="D49" i="18"/>
  <c r="F49"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K90" i="14"/>
  <c r="D78" i="14"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7" i="22"/>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<sst xmlns="http://schemas.openxmlformats.org/spreadsheetml/2006/main" count="2579" uniqueCount="981">
  <si>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</si>
  <si>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</si>
  <si>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</si>
  <si>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</si>
  <si>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</si>
  <si>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</si>
  <si>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</si>
  <si>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</si>
  <si>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</si>
  <si>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</si>
  <si>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</si>
  <si>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</si>
  <si>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</si>
  <si>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</si>
  <si>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</si>
  <si>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</si>
  <si>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</si>
  <si>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</si>
  <si>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</si>
  <si>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</si>
  <si>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</si>
  <si>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</si>
  <si>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</si>
  <si>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</si>
  <si>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</si>
  <si>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</si>
  <si>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</si>
  <si>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</si>
  <si>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</si>
  <si>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</si>
  <si>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</si>
  <si>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</si>
  <si>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</si>
  <si>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</si>
  <si>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</si>
  <si>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</si>
  <si>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</si>
  <si>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</si>
  <si>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</si>
  <si>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</si>
  <si>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</si>
  <si>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</si>
  <si>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</si>
  <si>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</si>
  <si>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</si>
  <si>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</si>
  <si>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</si>
  <si>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</si>
  <si>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</si>
  <si>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</si>
  <si>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</si>
  <si>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</si>
  <si>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</si>
  <si>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</si>
  <si>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</si>
  <si>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</si>
  <si>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</si>
  <si>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</si>
  <si>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</si>
  <si>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</si>
  <si>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</si>
  <si>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</si>
  <si>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</si>
  <si>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</si>
  <si>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</si>
  <si>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</si>
  <si>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</si>
  <si>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</si>
  <si>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</si>
  <si>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</si>
  <si>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</si>
  <si>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</si>
  <si>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</si>
  <si>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</si>
  <si>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</si>
  <si>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</si>
  <si>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</si>
  <si>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</si>
  <si>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</si>
  <si>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</si>
  <si>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</si>
  <si>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</si>
  <si>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</si>
  <si>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</si>
  <si>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</si>
  <si>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</si>
  <si>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</si>
  <si>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</si>
  <si>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</si>
  <si>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</si>
  <si>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</si>
  <si>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</si>
  <si>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</si>
  <si>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</si>
  <si>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</si>
  <si>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</si>
  <si>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</si>
  <si>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</si>
  <si>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</si>
  <si>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</si>
  <si>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</si>
  <si>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</si>
  <si>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</si>
  <si>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</si>
  <si>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</si>
  <si>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</si>
  <si>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</si>
  <si>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</si>
  <si>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</si>
  <si>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</si>
  <si>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</si>
  <si>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</si>
  <si>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</si>
  <si>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</si>
  <si>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</si>
  <si>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</si>
  <si>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</si>
  <si>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</si>
  <si>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</si>
  <si>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</si>
  <si>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</si>
  <si>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</si>
  <si>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</si>
  <si>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</si>
  <si>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</si>
  <si>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</si>
  <si>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</si>
  <si>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</si>
  <si>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</si>
  <si>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</si>
  <si>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</si>
  <si>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</si>
  <si>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</si>
  <si>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</si>
  <si>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</si>
  <si>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</si>
  <si>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</si>
  <si>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</si>
  <si>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</si>
  <si>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</si>
  <si>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</si>
  <si>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</si>
  <si>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</si>
  <si>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</si>
  <si>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</si>
  <si>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</si>
  <si>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</si>
  <si>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</si>
  <si>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</si>
  <si>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</si>
  <si>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</si>
  <si>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</si>
  <si>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</si>
  <si>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</si>
  <si>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</si>
  <si>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</si>
  <si>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</si>
  <si>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</si>
  <si>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</si>
  <si>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</si>
  <si>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</si>
  <si>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</si>
  <si>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</si>
  <si>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</si>
  <si>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</si>
  <si>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</si>
  <si>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</si>
  <si>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</si>
  <si>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</si>
  <si>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</si>
  <si>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</si>
  <si>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</si>
  <si>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</si>
  <si>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</si>
  <si>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</si>
  <si>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</si>
  <si>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</si>
  <si>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</si>
  <si>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</si>
  <si>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</si>
  <si>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</si>
  <si>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</si>
  <si>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</si>
  <si>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</si>
  <si>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</si>
  <si>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</si>
  <si>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</si>
  <si>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</si>
  <si>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</si>
  <si>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</si>
  <si>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</si>
  <si>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</si>
  <si>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</si>
  <si>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</si>
  <si>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</si>
  <si>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</si>
  <si>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</si>
  <si>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</si>
  <si>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</si>
  <si>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</si>
  <si>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</si>
  <si>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</si>
  <si>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</si>
  <si>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</si>
  <si>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</si>
  <si>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</si>
  <si>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</si>
  <si>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</si>
  <si>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</si>
  <si>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</si>
  <si>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</si>
  <si>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</si>
  <si>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</si>
  <si>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</si>
  <si>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</si>
  <si>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</si>
  <si>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</si>
  <si>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</si>
  <si>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</si>
  <si>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</si>
  <si>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</si>
  <si>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</si>
  <si>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</si>
  <si>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</si>
  <si>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</si>
  <si>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</si>
  <si>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</si>
  <si>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</si>
  <si>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</si>
  <si>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</si>
  <si>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</si>
  <si>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</si>
  <si>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</si>
  <si>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</si>
  <si>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</si>
  <si>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</si>
  <si>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</si>
  <si>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</si>
  <si>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</si>
  <si>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</si>
  <si>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</si>
  <si>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</si>
  <si>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</si>
  <si>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</si>
  <si>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</si>
  <si>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</si>
  <si>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</si>
  <si>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</si>
  <si>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</si>
  <si>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</si>
  <si>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</si>
  <si>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</si>
  <si>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</si>
  <si>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</si>
  <si>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</si>
  <si>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</si>
  <si>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</si>
  <si>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</si>
  <si>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</si>
  <si>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</si>
  <si>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</si>
  <si>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</si>
  <si>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</si>
  <si>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</si>
  <si>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</si>
  <si>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</si>
  <si>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</si>
  <si>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</si>
  <si>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</si>
  <si>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</si>
  <si>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</si>
  <si>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</si>
  <si>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</si>
  <si>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</si>
  <si>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</si>
  <si>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</si>
  <si>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</si>
  <si>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</si>
  <si>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</si>
  <si>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</si>
  <si>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</si>
  <si>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</si>
  <si>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</si>
  <si>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</si>
  <si>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</si>
  <si>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</si>
  <si>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</si>
  <si>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</si>
  <si>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</si>
  <si>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</si>
  <si>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</si>
  <si>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</si>
  <si>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</si>
  <si>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</si>
  <si>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</si>
  <si>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</si>
  <si>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</si>
  <si>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</si>
  <si>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</si>
  <si>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</si>
  <si>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</si>
  <si>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</si>
  <si>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</si>
  <si>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</si>
  <si>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</si>
  <si>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</si>
  <si>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</si>
  <si>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</si>
  <si>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</si>
  <si>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</si>
  <si>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</si>
  <si>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</si>
  <si>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</si>
  <si>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</si>
  <si>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</si>
  <si>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</si>
  <si>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</si>
  <si>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</si>
  <si>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</si>
  <si>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</si>
  <si>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</si>
  <si>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</si>
  <si>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</si>
  <si>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</si>
  <si>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</si>
  <si>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</si>
  <si>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</si>
  <si>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</si>
  <si>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</si>
  <si>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</si>
  <si>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</si>
  <si>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</si>
  <si>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</si>
  <si>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</si>
  <si>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</si>
  <si>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</si>
  <si>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</si>
  <si>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</si>
  <si>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</si>
  <si>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</si>
  <si>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</si>
  <si>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</si>
  <si>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</si>
  <si>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</si>
  <si>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</si>
  <si>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</si>
  <si>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</si>
  <si>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</si>
  <si>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</si>
  <si>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</si>
  <si>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</si>
  <si>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</si>
  <si>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</si>
  <si>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</si>
  <si>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</si>
  <si>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</si>
  <si>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</si>
  <si>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</si>
  <si>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</si>
  <si>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</si>
  <si>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</si>
  <si>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</si>
  <si>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</si>
  <si>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</si>
  <si>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</si>
  <si>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</si>
  <si>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</si>
  <si>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</si>
  <si>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</si>
  <si>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</si>
  <si>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</si>
  <si>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</si>
  <si>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</si>
  <si>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</si>
  <si>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</si>
  <si>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</si>
  <si>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</si>
  <si>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</si>
  <si>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</si>
  <si>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</si>
  <si>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</si>
  <si>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</si>
  <si>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</si>
  <si>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</si>
  <si>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</si>
  <si>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</si>
  <si>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</si>
  <si>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</si>
  <si>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</si>
  <si>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</si>
  <si>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</si>
  <si>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</si>
  <si>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</si>
  <si>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</si>
  <si>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</si>
  <si>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</si>
  <si>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</si>
  <si>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</si>
  <si>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</si>
  <si>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</si>
  <si>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</si>
  <si>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</si>
  <si>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</si>
  <si>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</si>
  <si>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</si>
  <si>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</si>
  <si>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</si>
  <si>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</si>
  <si>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</si>
  <si>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</si>
  <si>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</si>
  <si>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</si>
  <si>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</si>
  <si>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</si>
  <si>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</si>
  <si>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</si>
  <si>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</si>
  <si>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</si>
  <si>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</si>
  <si>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</si>
  <si>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</si>
  <si>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</si>
  <si>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</si>
  <si>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</si>
  <si>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</si>
  <si>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</si>
  <si>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</si>
  <si>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</si>
  <si>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</si>
  <si>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</si>
  <si>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</si>
  <si>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</si>
  <si>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</si>
  <si>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</si>
  <si>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</si>
  <si>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</si>
  <si>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</si>
  <si>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</si>
  <si>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</si>
  <si>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</si>
  <si>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</si>
  <si>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</si>
  <si>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</si>
  <si>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</si>
  <si>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</si>
  <si>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</si>
  <si>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</si>
  <si>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</si>
  <si>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</si>
  <si>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</si>
  <si>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</si>
  <si>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</si>
  <si>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</si>
  <si>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</si>
  <si>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</si>
  <si>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</si>
  <si>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</si>
  <si>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</si>
  <si>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</si>
  <si>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</si>
  <si>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</si>
  <si>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</si>
  <si>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</si>
  <si>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</si>
  <si>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</si>
  <si>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</si>
  <si>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</si>
  <si>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</si>
  <si>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</si>
  <si>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</si>
  <si>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</si>
  <si>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</si>
  <si>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</si>
  <si>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</si>
  <si>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</si>
  <si>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</si>
  <si>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</si>
  <si>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</si>
  <si>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</si>
  <si>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</si>
  <si>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</si>
  <si>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</si>
  <si>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</si>
  <si>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</si>
  <si>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</si>
  <si>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</si>
  <si>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</si>
  <si>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</si>
  <si>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</si>
  <si>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</si>
  <si>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</si>
  <si>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</si>
  <si>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</si>
  <si>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</si>
  <si>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</si>
  <si>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</si>
  <si>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</si>
  <si>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</si>
  <si>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</si>
  <si>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</si>
  <si>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</si>
  <si>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</si>
  <si>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</si>
  <si>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</si>
  <si>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</si>
  <si>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</si>
  <si>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</si>
  <si>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</si>
  <si>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</si>
  <si>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</si>
  <si>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</si>
  <si>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</si>
  <si>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</si>
  <si>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</si>
  <si>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</si>
  <si>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</si>
  <si>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</si>
  <si>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</si>
  <si>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</si>
  <si>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</si>
  <si>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</si>
  <si>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</si>
  <si>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</si>
  <si>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</si>
  <si>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</si>
  <si>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</si>
  <si>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</si>
  <si>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</si>
  <si>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</si>
  <si>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</si>
  <si>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</si>
  <si>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</si>
  <si>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</si>
  <si>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</si>
  <si>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</si>
  <si>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</si>
  <si>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</si>
  <si>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</si>
  <si>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</si>
  <si>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</si>
  <si>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</si>
  <si>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</si>
  <si>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</si>
  <si>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</si>
  <si>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</si>
  <si>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</si>
  <si>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</si>
  <si>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</si>
  <si>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</si>
  <si>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</si>
  <si>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</si>
  <si>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</si>
  <si>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</si>
  <si>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</si>
  <si>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</si>
  <si>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</si>
  <si>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</si>
  <si>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</si>
  <si>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</si>
  <si>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</si>
  <si>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</si>
  <si>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</si>
  <si>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</si>
  <si>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</si>
  <si>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</si>
  <si>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</si>
  <si>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</si>
  <si>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</si>
  <si>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</si>
  <si>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</si>
  <si>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</si>
  <si>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</si>
  <si>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</si>
  <si>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</si>
  <si>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</si>
  <si>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</si>
  <si>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</si>
  <si>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</si>
  <si>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</si>
  <si>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</si>
  <si>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</si>
  <si>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</si>
  <si>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</si>
  <si>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</si>
  <si>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</si>
  <si>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</si>
  <si>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</si>
  <si>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</si>
  <si>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</si>
  <si>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</si>
  <si>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</si>
  <si>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</si>
  <si>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</si>
  <si>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</si>
  <si>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</si>
  <si>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</si>
  <si>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</si>
  <si>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</si>
  <si>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</si>
  <si>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</si>
  <si>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</si>
  <si>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</si>
  <si>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</si>
  <si>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</si>
  <si>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</si>
  <si>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</si>
  <si>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</si>
  <si>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</si>
  <si>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</si>
  <si>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</si>
  <si>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</si>
  <si>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</si>
  <si>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</si>
  <si>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</si>
  <si>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</si>
  <si>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</si>
  <si>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</si>
  <si>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</si>
  <si>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</si>
  <si>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</si>
  <si>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</si>
  <si>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</si>
  <si>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</si>
  <si>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</si>
  <si>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</si>
  <si>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</si>
  <si>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</si>
  <si>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</si>
  <si>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</si>
  <si>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</si>
  <si>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</si>
  <si>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</si>
  <si>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</si>
  <si>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</si>
  <si>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</si>
  <si>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</si>
  <si>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</si>
  <si>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</si>
  <si>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</si>
  <si>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</si>
  <si>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</si>
  <si>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</si>
  <si>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</si>
  <si>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</si>
  <si>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</si>
  <si>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</si>
  <si>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</si>
  <si>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</si>
  <si>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</si>
  <si>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</si>
  <si>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</si>
  <si>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</si>
  <si>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</si>
  <si>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</si>
  <si>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</si>
  <si>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</si>
  <si>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</si>
  <si>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</si>
  <si>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</si>
  <si>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</si>
  <si>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</si>
  <si>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</si>
  <si>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</si>
  <si>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</si>
  <si>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</si>
  <si>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</si>
  <si>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</si>
  <si>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</si>
  <si>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</si>
  <si>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</si>
  <si>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</si>
  <si>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</si>
  <si>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</si>
  <si>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</si>
  <si>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</si>
  <si>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</si>
  <si>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</si>
  <si>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</si>
  <si>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</si>
  <si>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</si>
  <si>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</si>
  <si>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</si>
  <si>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</si>
  <si>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</si>
  <si>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</si>
  <si>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</si>
  <si>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</si>
  <si>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</si>
  <si>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</si>
  <si>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</si>
  <si>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</si>
  <si>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</si>
  <si>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</si>
  <si>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</si>
  <si>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</si>
  <si>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</si>
  <si>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</si>
  <si>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</si>
  <si>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</si>
  <si>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</si>
  <si>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</si>
  <si>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</si>
  <si>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</si>
  <si>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</si>
  <si>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</si>
  <si>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</si>
  <si>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</si>
  <si>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</si>
  <si>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</si>
  <si>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</si>
  <si>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</si>
  <si>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</si>
  <si>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</si>
  <si>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</si>
  <si>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</si>
  <si>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</si>
  <si>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</si>
  <si>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</si>
  <si>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</si>
  <si>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</si>
  <si>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</si>
  <si>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</si>
  <si>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</si>
  <si>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</si>
  <si>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</si>
  <si>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</si>
  <si>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</si>
  <si>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</si>
  <si>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</si>
  <si>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</si>
  <si>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</si>
  <si>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</si>
  <si>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</si>
  <si>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</si>
  <si>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</si>
  <si>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</si>
  <si>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</si>
  <si>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</si>
  <si>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</si>
  <si>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</si>
  <si>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</si>
  <si>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</si>
  <si>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</si>
  <si>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</si>
  <si>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</si>
  <si>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</si>
  <si>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</si>
  <si>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</si>
  <si>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</si>
  <si>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</si>
  <si>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</si>
  <si>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</si>
  <si>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</si>
  <si>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</si>
  <si>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</si>
  <si>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</si>
  <si>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</si>
  <si>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</si>
  <si>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</si>
  <si>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</si>
  <si>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</si>
  <si>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</si>
  <si>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</si>
  <si>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</si>
  <si>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</si>
  <si>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</si>
  <si>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</si>
  <si>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</si>
  <si>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</si>
  <si>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</si>
  <si>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</si>
  <si>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</si>
  <si>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</si>
  <si>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</si>
  <si>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</si>
  <si>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</si>
  <si>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</si>
  <si>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</si>
  <si>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</si>
  <si>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</si>
  <si>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</si>
  <si>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</si>
  <si>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</si>
  <si>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</si>
  <si>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</si>
  <si>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</si>
  <si>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</si>
  <si>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</si>
  <si>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</si>
  <si>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</si>
  <si>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</si>
  <si>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</si>
  <si>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</si>
  <si>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</si>
  <si>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</si>
  <si>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</si>
  <si>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</si>
  <si>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</si>
  <si>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</si>
  <si>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</si>
  <si>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</si>
  <si>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</si>
  <si>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</si>
  <si>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</si>
  <si>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</si>
  <si>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</si>
  <si>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</si>
  <si>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</si>
  <si>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</si>
  <si>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</si>
  <si>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</si>
  <si>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</si>
  <si>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</si>
  <si>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</si>
  <si>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</si>
  <si>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</si>
  <si>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</si>
  <si>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</si>
  <si>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</si>
  <si>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</si>
  <si>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</si>
  <si>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</si>
  <si>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</si>
  <si>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</si>
  <si>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</si>
  <si>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</si>
  <si>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</si>
  <si>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</si>
  <si>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</si>
  <si>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</si>
  <si>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</si>
  <si>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</si>
  <si>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</si>
  <si>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</si>
  <si>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</si>
  <si>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</si>
  <si>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</si>
  <si>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</si>
  <si>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</si>
  <si>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</si>
  <si>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</si>
  <si>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</si>
  <si>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</si>
  <si>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</si>
  <si>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</si>
  <si>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</si>
  <si>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</si>
  <si>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</si>
  <si>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</si>
  <si>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</si>
  <si>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</si>
  <si>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</si>
  <si>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</si>
  <si>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</si>
  <si>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</si>
  <si>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</si>
  <si>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</si>
  <si>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</si>
  <si>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</si>
  <si>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</si>
  <si>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</si>
  <si>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</si>
  <si>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</si>
  <si>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</si>
  <si>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</si>
  <si>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</si>
  <si>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</si>
  <si>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</si>
  <si>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</si>
  <si>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</si>
  <si>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</si>
  <si>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</si>
  <si>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</si>
  <si>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</si>
  <si>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</si>
  <si>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</si>
  <si>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</si>
  <si>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</si>
  <si>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</si>
  <si>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</si>
  <si>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</si>
  <si>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</si>
  <si>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</si>
  <si>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</si>
  <si>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</si>
  <si>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</si>
  <si>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</si>
  <si>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</si>
  <si>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</si>
  <si>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</si>
  <si>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</si>
  <si>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</si>
  <si>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</si>
  <si>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</si>
  <si>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</si>
  <si>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</si>
  <si>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</si>
  <si>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</si>
  <si>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</si>
  <si>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</si>
  <si>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</si>
  <si>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</si>
  <si>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</si>
  <si>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</si>
  <si>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</si>
  <si>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</si>
  <si>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</si>
  <si>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</si>
  <si>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</si>
  <si>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</si>
  <si>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</si>
  <si>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</si>
  <si>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</si>
  <si>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</si>
  <si>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</si>
  <si>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</si>
  <si>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</si>
  <si>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</si>
  <si>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</si>
  <si>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</si>
  <si>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</si>
  <si>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</si>
  <si>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</si>
  <si>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</si>
  <si>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</si>
  <si>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</si>
  <si>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</si>
  <si>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</si>
  <si>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</si>
  <si>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</si>
  <si>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</si>
  <si>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</si>
  <si>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</si>
  <si>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</si>
  <si>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</si>
  <si>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</si>
  <si>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</si>
  <si>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</si>
  <si>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</si>
  <si>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</si>
  <si>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</si>
  <si>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</si>
  <si>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</si>
  <si>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</si>
  <si>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</si>
  <si>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</si>
  <si>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</si>
  <si>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</si>
  <si>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</si>
  <si>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</si>
  <si>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</si>
  <si>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</si>
  <si>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</si>
  <si>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</si>
  <si>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</si>
  <si>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</si>
  <si>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</si>
  <si>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</si>
  <si>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</si>
  <si>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</si>
  <si>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</si>
  <si>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</si>
  <si>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</si>
  <si>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</si>
  <si>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</si>
  <si>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</si>
  <si>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</si>
  <si>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</si>
  <si>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</si>
  <si>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</si>
  <si>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13004</t>
  </si>
  <si>
    <t>BEERSE</t>
  </si>
  <si>
    <t>Paarden&amp;pony's 200 - 600 kg</t>
  </si>
  <si>
    <t>Paarden&amp;pony's &lt; 200 kg</t>
  </si>
  <si>
    <t>Fluvius</t>
  </si>
  <si>
    <t xml:space="preserve">Bron: </t>
  </si>
  <si>
    <t>referentietaak LNE (2017); Jaarverslag De Lijn</t>
  </si>
  <si>
    <t>stirlingmotor</t>
  </si>
  <si>
    <t>IVEKA</t>
  </si>
  <si>
    <t>interne verbrandingsmotor</t>
  </si>
  <si>
    <t>WKK interne verbrandinsgmotor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</si>
</sst>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8A94C138-197B-4885-BE64-CCFC1FC63EBD}"/>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13004</v>
      </c>
      <c r="B6" s="384"/>
      <c r="C6" s="385"/>
    </row>
    <row r="7" spans="1:7" s="382" customFormat="1" ht="15.75" customHeight="1">
      <c r="A7" s="386" t="str">
        <f>txtMunicipality</f>
        <v>BEERSE</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13565.771520738675</v>
      </c>
      <c r="D10" s="674">
        <f ca="1">tertiair!C16</f>
        <v>0</v>
      </c>
      <c r="E10" s="674">
        <f ca="1">tertiair!D16</f>
        <v>17819.519875487924</v>
      </c>
      <c r="F10" s="674">
        <f>tertiair!E16</f>
        <v>307.82166809129581</v>
      </c>
      <c r="G10" s="674">
        <f ca="1">tertiair!F16</f>
        <v>2370.8445832588245</v>
      </c>
      <c r="H10" s="674">
        <f>tertiair!G16</f>
        <v>0</v>
      </c>
      <c r="I10" s="674">
        <f>tertiair!H16</f>
        <v>0</v>
      </c>
      <c r="J10" s="674">
        <f>tertiair!I16</f>
        <v>0</v>
      </c>
      <c r="K10" s="674">
        <f>tertiair!J16</f>
        <v>0</v>
      </c>
      <c r="L10" s="674">
        <f>tertiair!K16</f>
        <v>0</v>
      </c>
      <c r="M10" s="674">
        <f ca="1">tertiair!L16</f>
        <v>0</v>
      </c>
      <c r="N10" s="674">
        <f>tertiair!M16</f>
        <v>0</v>
      </c>
      <c r="O10" s="674">
        <f ca="1">tertiair!N16</f>
        <v>305.80800461719934</v>
      </c>
      <c r="P10" s="674">
        <f>tertiair!O16</f>
        <v>0</v>
      </c>
      <c r="Q10" s="675">
        <f>tertiair!P16</f>
        <v>19.066666666666666</v>
      </c>
      <c r="R10" s="677">
        <f ca="1">SUM(C10:Q10)</f>
        <v>34388.832318860579</v>
      </c>
      <c r="S10" s="67"/>
    </row>
    <row r="11" spans="1:19" s="443" customFormat="1">
      <c r="A11" s="789" t="s">
        <v>214</v>
      </c>
      <c r="B11" s="794"/>
      <c r="C11" s="674">
        <f>huishoudens!B8</f>
        <v>31907.282432534892</v>
      </c>
      <c r="D11" s="674">
        <f>huishoudens!C8</f>
        <v>0</v>
      </c>
      <c r="E11" s="674">
        <f>huishoudens!D8</f>
        <v>80975.738455994229</v>
      </c>
      <c r="F11" s="674">
        <f>huishoudens!E8</f>
        <v>1010.7145164418331</v>
      </c>
      <c r="G11" s="674">
        <f>huishoudens!F8</f>
        <v>34500.129184815843</v>
      </c>
      <c r="H11" s="674">
        <f>huishoudens!G8</f>
        <v>0</v>
      </c>
      <c r="I11" s="674">
        <f>huishoudens!H8</f>
        <v>0</v>
      </c>
      <c r="J11" s="674">
        <f>huishoudens!I8</f>
        <v>0</v>
      </c>
      <c r="K11" s="674">
        <f>huishoudens!J8</f>
        <v>776.85544150671933</v>
      </c>
      <c r="L11" s="674">
        <f>huishoudens!K8</f>
        <v>0</v>
      </c>
      <c r="M11" s="674">
        <f>huishoudens!L8</f>
        <v>0</v>
      </c>
      <c r="N11" s="674">
        <f>huishoudens!M8</f>
        <v>0</v>
      </c>
      <c r="O11" s="674">
        <f>huishoudens!N8</f>
        <v>7741.9711217001441</v>
      </c>
      <c r="P11" s="674">
        <f>huishoudens!O8</f>
        <v>151.64333333333335</v>
      </c>
      <c r="Q11" s="675">
        <f>huishoudens!P8</f>
        <v>266.93333333333334</v>
      </c>
      <c r="R11" s="677">
        <f>SUM(C11:Q11)</f>
        <v>157331.26781966031</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246628.8536518155</v>
      </c>
      <c r="D13" s="674">
        <f>industrie!C18</f>
        <v>0</v>
      </c>
      <c r="E13" s="674">
        <f>industrie!D18</f>
        <v>439998.34545973211</v>
      </c>
      <c r="F13" s="674">
        <f>industrie!E18</f>
        <v>1290.5797212364007</v>
      </c>
      <c r="G13" s="674">
        <f>industrie!F18</f>
        <v>42903.887155247445</v>
      </c>
      <c r="H13" s="674">
        <f>industrie!G18</f>
        <v>0</v>
      </c>
      <c r="I13" s="674">
        <f>industrie!H18</f>
        <v>0</v>
      </c>
      <c r="J13" s="674">
        <f>industrie!I18</f>
        <v>0</v>
      </c>
      <c r="K13" s="674">
        <f>industrie!J18</f>
        <v>17763.839519209698</v>
      </c>
      <c r="L13" s="674">
        <f>industrie!K18</f>
        <v>0</v>
      </c>
      <c r="M13" s="674">
        <f>industrie!L18</f>
        <v>0</v>
      </c>
      <c r="N13" s="674">
        <f>industrie!M18</f>
        <v>0</v>
      </c>
      <c r="O13" s="674">
        <f>industrie!N18</f>
        <v>1184.8619666555041</v>
      </c>
      <c r="P13" s="674">
        <f>industrie!O18</f>
        <v>0</v>
      </c>
      <c r="Q13" s="675">
        <f>industrie!P18</f>
        <v>0</v>
      </c>
      <c r="R13" s="677">
        <f>SUM(C13:Q13)</f>
        <v>749770.36747389648</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292101.90760508907</v>
      </c>
      <c r="D16" s="707">
        <f t="shared" ref="D16:R16" ca="1" si="0">SUM(D9:D15)</f>
        <v>0</v>
      </c>
      <c r="E16" s="707">
        <f t="shared" ca="1" si="0"/>
        <v>538793.60379121429</v>
      </c>
      <c r="F16" s="707">
        <f t="shared" si="0"/>
        <v>2609.1159057695295</v>
      </c>
      <c r="G16" s="707">
        <f t="shared" ca="1" si="0"/>
        <v>79774.860923322121</v>
      </c>
      <c r="H16" s="707">
        <f t="shared" si="0"/>
        <v>0</v>
      </c>
      <c r="I16" s="707">
        <f t="shared" si="0"/>
        <v>0</v>
      </c>
      <c r="J16" s="707">
        <f t="shared" si="0"/>
        <v>0</v>
      </c>
      <c r="K16" s="707">
        <f t="shared" si="0"/>
        <v>18540.694960716417</v>
      </c>
      <c r="L16" s="707">
        <f t="shared" si="0"/>
        <v>0</v>
      </c>
      <c r="M16" s="707">
        <f t="shared" ca="1" si="0"/>
        <v>0</v>
      </c>
      <c r="N16" s="707">
        <f t="shared" si="0"/>
        <v>0</v>
      </c>
      <c r="O16" s="707">
        <f t="shared" ca="1" si="0"/>
        <v>9232.6410929728481</v>
      </c>
      <c r="P16" s="707">
        <f t="shared" si="0"/>
        <v>151.64333333333335</v>
      </c>
      <c r="Q16" s="707">
        <f t="shared" si="0"/>
        <v>286</v>
      </c>
      <c r="R16" s="707">
        <f t="shared" ca="1" si="0"/>
        <v>941490.46761241741</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13.239111579225732</v>
      </c>
      <c r="D19" s="674">
        <f>transport!C54</f>
        <v>0</v>
      </c>
      <c r="E19" s="674">
        <f>transport!D54</f>
        <v>0</v>
      </c>
      <c r="F19" s="674">
        <f>transport!E54</f>
        <v>0</v>
      </c>
      <c r="G19" s="674">
        <f>transport!F54</f>
        <v>0</v>
      </c>
      <c r="H19" s="674">
        <f>transport!G54</f>
        <v>2872.0923383080308</v>
      </c>
      <c r="I19" s="674">
        <f>transport!H54</f>
        <v>0</v>
      </c>
      <c r="J19" s="674">
        <f>transport!I54</f>
        <v>0</v>
      </c>
      <c r="K19" s="674">
        <f>transport!J54</f>
        <v>0</v>
      </c>
      <c r="L19" s="674">
        <f>transport!K54</f>
        <v>0</v>
      </c>
      <c r="M19" s="674">
        <f>transport!L54</f>
        <v>0</v>
      </c>
      <c r="N19" s="674">
        <f>transport!M54</f>
        <v>122.97196150444779</v>
      </c>
      <c r="O19" s="674">
        <f>transport!N54</f>
        <v>0</v>
      </c>
      <c r="P19" s="674">
        <f>transport!O54</f>
        <v>0</v>
      </c>
      <c r="Q19" s="675">
        <f>transport!P54</f>
        <v>0</v>
      </c>
      <c r="R19" s="677">
        <f>SUM(C19:Q19)</f>
        <v>3008.3034113917042</v>
      </c>
      <c r="S19" s="67"/>
    </row>
    <row r="20" spans="1:19" s="443" customFormat="1">
      <c r="A20" s="789" t="s">
        <v>296</v>
      </c>
      <c r="B20" s="794"/>
      <c r="C20" s="674">
        <f>transport!B14</f>
        <v>0.73365693771149143</v>
      </c>
      <c r="D20" s="674">
        <f>transport!C14</f>
        <v>0</v>
      </c>
      <c r="E20" s="674">
        <f>transport!D14</f>
        <v>2.4547034682884132</v>
      </c>
      <c r="F20" s="674">
        <f>transport!E14</f>
        <v>252.67815277017931</v>
      </c>
      <c r="G20" s="674">
        <f>transport!F14</f>
        <v>0</v>
      </c>
      <c r="H20" s="674">
        <f>transport!G14</f>
        <v>45829.231999238436</v>
      </c>
      <c r="I20" s="674">
        <f>transport!H14</f>
        <v>8077.8359551918602</v>
      </c>
      <c r="J20" s="674">
        <f>transport!I14</f>
        <v>0</v>
      </c>
      <c r="K20" s="674">
        <f>transport!J14</f>
        <v>0</v>
      </c>
      <c r="L20" s="674">
        <f>transport!K14</f>
        <v>0</v>
      </c>
      <c r="M20" s="674">
        <f>transport!L14</f>
        <v>0</v>
      </c>
      <c r="N20" s="674">
        <f>transport!M14</f>
        <v>2346.0685077270764</v>
      </c>
      <c r="O20" s="674">
        <f>transport!N14</f>
        <v>0</v>
      </c>
      <c r="P20" s="674">
        <f>transport!O14</f>
        <v>0</v>
      </c>
      <c r="Q20" s="675">
        <f>transport!P14</f>
        <v>0</v>
      </c>
      <c r="R20" s="677">
        <f>SUM(C20:Q20)</f>
        <v>56509.002975333555</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13.972768516937222</v>
      </c>
      <c r="D22" s="792">
        <f t="shared" ref="D22:R22" si="1">SUM(D18:D21)</f>
        <v>0</v>
      </c>
      <c r="E22" s="792">
        <f t="shared" si="1"/>
        <v>2.4547034682884132</v>
      </c>
      <c r="F22" s="792">
        <f t="shared" si="1"/>
        <v>252.67815277017931</v>
      </c>
      <c r="G22" s="792">
        <f t="shared" si="1"/>
        <v>0</v>
      </c>
      <c r="H22" s="792">
        <f t="shared" si="1"/>
        <v>48701.324337546466</v>
      </c>
      <c r="I22" s="792">
        <f t="shared" si="1"/>
        <v>8077.8359551918602</v>
      </c>
      <c r="J22" s="792">
        <f t="shared" si="1"/>
        <v>0</v>
      </c>
      <c r="K22" s="792">
        <f t="shared" si="1"/>
        <v>0</v>
      </c>
      <c r="L22" s="792">
        <f t="shared" si="1"/>
        <v>0</v>
      </c>
      <c r="M22" s="792">
        <f t="shared" si="1"/>
        <v>0</v>
      </c>
      <c r="N22" s="792">
        <f t="shared" si="1"/>
        <v>2469.0404692315242</v>
      </c>
      <c r="O22" s="792">
        <f t="shared" si="1"/>
        <v>0</v>
      </c>
      <c r="P22" s="792">
        <f t="shared" si="1"/>
        <v>0</v>
      </c>
      <c r="Q22" s="792">
        <f t="shared" si="1"/>
        <v>0</v>
      </c>
      <c r="R22" s="792">
        <f t="shared" si="1"/>
        <v>59517.306386725257</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1596.470888878913</v>
      </c>
      <c r="D24" s="674">
        <f>+landbouw!C8</f>
        <v>27700.714285714286</v>
      </c>
      <c r="E24" s="674">
        <f>+landbouw!D8</f>
        <v>0</v>
      </c>
      <c r="F24" s="674">
        <f>+landbouw!E8</f>
        <v>16.71858877019304</v>
      </c>
      <c r="G24" s="674">
        <f>+landbouw!F8</f>
        <v>6834.1084646484051</v>
      </c>
      <c r="H24" s="674">
        <f>+landbouw!G8</f>
        <v>0</v>
      </c>
      <c r="I24" s="674">
        <f>+landbouw!H8</f>
        <v>0</v>
      </c>
      <c r="J24" s="674">
        <f>+landbouw!I8</f>
        <v>0</v>
      </c>
      <c r="K24" s="674">
        <f>+landbouw!J8</f>
        <v>142.57915978957766</v>
      </c>
      <c r="L24" s="674">
        <f>+landbouw!K8</f>
        <v>0</v>
      </c>
      <c r="M24" s="674">
        <f>+landbouw!L8</f>
        <v>0</v>
      </c>
      <c r="N24" s="674">
        <f>+landbouw!M8</f>
        <v>0</v>
      </c>
      <c r="O24" s="674">
        <f>+landbouw!N8</f>
        <v>0</v>
      </c>
      <c r="P24" s="674">
        <f>+landbouw!O8</f>
        <v>0</v>
      </c>
      <c r="Q24" s="675">
        <f>+landbouw!P8</f>
        <v>0</v>
      </c>
      <c r="R24" s="677">
        <f>SUM(C24:Q24)</f>
        <v>36290.591387801374</v>
      </c>
      <c r="S24" s="67"/>
    </row>
    <row r="25" spans="1:19" s="443" customFormat="1" ht="15" thickBot="1">
      <c r="A25" s="811" t="s">
        <v>889</v>
      </c>
      <c r="B25" s="966"/>
      <c r="C25" s="967">
        <f>IF(Onbekend_ele_kWh="---",0,Onbekend_ele_kWh)/1000+IF(REST_rest_ele_kWh="---",0,REST_rest_ele_kWh)/1000</f>
        <v>1158.4655797526</v>
      </c>
      <c r="D25" s="967"/>
      <c r="E25" s="967">
        <f>IF(onbekend_gas_kWh="---",0,onbekend_gas_kWh)/1000+IF(REST_rest_gas_kWh="---",0,REST_rest_gas_kWh)/1000</f>
        <v>2659.2658850146099</v>
      </c>
      <c r="F25" s="967"/>
      <c r="G25" s="967"/>
      <c r="H25" s="967"/>
      <c r="I25" s="967"/>
      <c r="J25" s="967"/>
      <c r="K25" s="967"/>
      <c r="L25" s="967"/>
      <c r="M25" s="967"/>
      <c r="N25" s="967"/>
      <c r="O25" s="967"/>
      <c r="P25" s="967"/>
      <c r="Q25" s="968"/>
      <c r="R25" s="677">
        <f>SUM(C25:Q25)</f>
        <v>3817.7314647672101</v>
      </c>
      <c r="S25" s="67"/>
    </row>
    <row r="26" spans="1:19" s="443" customFormat="1" ht="15.75" thickBot="1">
      <c r="A26" s="680" t="s">
        <v>890</v>
      </c>
      <c r="B26" s="797"/>
      <c r="C26" s="792">
        <f>SUM(C24:C25)</f>
        <v>2754.936468631513</v>
      </c>
      <c r="D26" s="792">
        <f t="shared" ref="D26:R26" si="2">SUM(D24:D25)</f>
        <v>27700.714285714286</v>
      </c>
      <c r="E26" s="792">
        <f t="shared" si="2"/>
        <v>2659.2658850146099</v>
      </c>
      <c r="F26" s="792">
        <f t="shared" si="2"/>
        <v>16.71858877019304</v>
      </c>
      <c r="G26" s="792">
        <f t="shared" si="2"/>
        <v>6834.1084646484051</v>
      </c>
      <c r="H26" s="792">
        <f t="shared" si="2"/>
        <v>0</v>
      </c>
      <c r="I26" s="792">
        <f t="shared" si="2"/>
        <v>0</v>
      </c>
      <c r="J26" s="792">
        <f t="shared" si="2"/>
        <v>0</v>
      </c>
      <c r="K26" s="792">
        <f t="shared" si="2"/>
        <v>142.57915978957766</v>
      </c>
      <c r="L26" s="792">
        <f t="shared" si="2"/>
        <v>0</v>
      </c>
      <c r="M26" s="792">
        <f t="shared" si="2"/>
        <v>0</v>
      </c>
      <c r="N26" s="792">
        <f t="shared" si="2"/>
        <v>0</v>
      </c>
      <c r="O26" s="792">
        <f t="shared" si="2"/>
        <v>0</v>
      </c>
      <c r="P26" s="792">
        <f t="shared" si="2"/>
        <v>0</v>
      </c>
      <c r="Q26" s="792">
        <f t="shared" si="2"/>
        <v>0</v>
      </c>
      <c r="R26" s="792">
        <f t="shared" si="2"/>
        <v>40108.322852568584</v>
      </c>
      <c r="S26" s="67"/>
    </row>
    <row r="27" spans="1:19" s="443" customFormat="1" ht="17.25" thickTop="1" thickBot="1">
      <c r="A27" s="681" t="s">
        <v>109</v>
      </c>
      <c r="B27" s="784"/>
      <c r="C27" s="682">
        <f ca="1">C22+C16+C26</f>
        <v>294870.81684223749</v>
      </c>
      <c r="D27" s="682">
        <f t="shared" ref="D27:R27" ca="1" si="3">D22+D16+D26</f>
        <v>27700.714285714286</v>
      </c>
      <c r="E27" s="682">
        <f t="shared" ca="1" si="3"/>
        <v>541455.32437969709</v>
      </c>
      <c r="F27" s="682">
        <f t="shared" si="3"/>
        <v>2878.5126473099017</v>
      </c>
      <c r="G27" s="682">
        <f t="shared" ca="1" si="3"/>
        <v>86608.96938797053</v>
      </c>
      <c r="H27" s="682">
        <f t="shared" si="3"/>
        <v>48701.324337546466</v>
      </c>
      <c r="I27" s="682">
        <f t="shared" si="3"/>
        <v>8077.8359551918602</v>
      </c>
      <c r="J27" s="682">
        <f t="shared" si="3"/>
        <v>0</v>
      </c>
      <c r="K27" s="682">
        <f t="shared" si="3"/>
        <v>18683.274120505994</v>
      </c>
      <c r="L27" s="682">
        <f t="shared" si="3"/>
        <v>0</v>
      </c>
      <c r="M27" s="682">
        <f t="shared" ca="1" si="3"/>
        <v>0</v>
      </c>
      <c r="N27" s="682">
        <f t="shared" si="3"/>
        <v>2469.0404692315242</v>
      </c>
      <c r="O27" s="682">
        <f t="shared" ca="1" si="3"/>
        <v>9232.6410929728481</v>
      </c>
      <c r="P27" s="682">
        <f t="shared" si="3"/>
        <v>151.64333333333335</v>
      </c>
      <c r="Q27" s="682">
        <f t="shared" si="3"/>
        <v>286</v>
      </c>
      <c r="R27" s="682">
        <f t="shared" ca="1" si="3"/>
        <v>1041116.0968517113</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2971.030187859898</v>
      </c>
      <c r="D40" s="674">
        <f ca="1">tertiair!C20</f>
        <v>0</v>
      </c>
      <c r="E40" s="674">
        <f ca="1">tertiair!D20</f>
        <v>3599.5430148485607</v>
      </c>
      <c r="F40" s="674">
        <f>tertiair!E20</f>
        <v>69.875518656724154</v>
      </c>
      <c r="G40" s="674">
        <f ca="1">tertiair!F20</f>
        <v>633.01550373010616</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7273.4642250952893</v>
      </c>
    </row>
    <row r="41" spans="1:18">
      <c r="A41" s="802" t="s">
        <v>214</v>
      </c>
      <c r="B41" s="809"/>
      <c r="C41" s="674">
        <f ca="1">huishoudens!B12</f>
        <v>6987.9917389668008</v>
      </c>
      <c r="D41" s="674">
        <f ca="1">huishoudens!C12</f>
        <v>0</v>
      </c>
      <c r="E41" s="674">
        <f>huishoudens!D12</f>
        <v>16357.099168110835</v>
      </c>
      <c r="F41" s="674">
        <f>huishoudens!E12</f>
        <v>229.43219523229612</v>
      </c>
      <c r="G41" s="674">
        <f>huishoudens!F12</f>
        <v>9211.5344923458306</v>
      </c>
      <c r="H41" s="674">
        <f>huishoudens!G12</f>
        <v>0</v>
      </c>
      <c r="I41" s="674">
        <f>huishoudens!H12</f>
        <v>0</v>
      </c>
      <c r="J41" s="674">
        <f>huishoudens!I12</f>
        <v>0</v>
      </c>
      <c r="K41" s="674">
        <f>huishoudens!J12</f>
        <v>275.00682629337865</v>
      </c>
      <c r="L41" s="674">
        <f>huishoudens!K12</f>
        <v>0</v>
      </c>
      <c r="M41" s="674">
        <f>huishoudens!L12</f>
        <v>0</v>
      </c>
      <c r="N41" s="674">
        <f>huishoudens!M12</f>
        <v>0</v>
      </c>
      <c r="O41" s="674">
        <f>huishoudens!N12</f>
        <v>0</v>
      </c>
      <c r="P41" s="674">
        <f>huishoudens!O12</f>
        <v>0</v>
      </c>
      <c r="Q41" s="749">
        <f>huishoudens!P12</f>
        <v>0</v>
      </c>
      <c r="R41" s="830">
        <f t="shared" ca="1" si="4"/>
        <v>33061.064420949144</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54014.013746040575</v>
      </c>
      <c r="D43" s="674">
        <f ca="1">industrie!C22</f>
        <v>0</v>
      </c>
      <c r="E43" s="674">
        <f>industrie!D22</f>
        <v>88879.665782865894</v>
      </c>
      <c r="F43" s="674">
        <f>industrie!E22</f>
        <v>292.96159672066295</v>
      </c>
      <c r="G43" s="674">
        <f>industrie!F22</f>
        <v>11455.337870451069</v>
      </c>
      <c r="H43" s="674">
        <f>industrie!G22</f>
        <v>0</v>
      </c>
      <c r="I43" s="674">
        <f>industrie!H22</f>
        <v>0</v>
      </c>
      <c r="J43" s="674">
        <f>industrie!I22</f>
        <v>0</v>
      </c>
      <c r="K43" s="674">
        <f>industrie!J22</f>
        <v>6288.3991898002323</v>
      </c>
      <c r="L43" s="674">
        <f>industrie!K22</f>
        <v>0</v>
      </c>
      <c r="M43" s="674">
        <f>industrie!L22</f>
        <v>0</v>
      </c>
      <c r="N43" s="674">
        <f>industrie!M22</f>
        <v>0</v>
      </c>
      <c r="O43" s="674">
        <f>industrie!N22</f>
        <v>0</v>
      </c>
      <c r="P43" s="674">
        <f>industrie!O22</f>
        <v>0</v>
      </c>
      <c r="Q43" s="749">
        <f>industrie!P22</f>
        <v>0</v>
      </c>
      <c r="R43" s="829">
        <f t="shared" ca="1" si="4"/>
        <v>160930.37818587845</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63973.035672867278</v>
      </c>
      <c r="D46" s="707">
        <f t="shared" ref="D46:Q46" ca="1" si="5">SUM(D39:D45)</f>
        <v>0</v>
      </c>
      <c r="E46" s="707">
        <f t="shared" ca="1" si="5"/>
        <v>108836.30796582528</v>
      </c>
      <c r="F46" s="707">
        <f t="shared" si="5"/>
        <v>592.26931060968332</v>
      </c>
      <c r="G46" s="707">
        <f t="shared" ca="1" si="5"/>
        <v>21299.887866527006</v>
      </c>
      <c r="H46" s="707">
        <f t="shared" si="5"/>
        <v>0</v>
      </c>
      <c r="I46" s="707">
        <f t="shared" si="5"/>
        <v>0</v>
      </c>
      <c r="J46" s="707">
        <f t="shared" si="5"/>
        <v>0</v>
      </c>
      <c r="K46" s="707">
        <f t="shared" si="5"/>
        <v>6563.4060160936106</v>
      </c>
      <c r="L46" s="707">
        <f t="shared" si="5"/>
        <v>0</v>
      </c>
      <c r="M46" s="707">
        <f t="shared" ca="1" si="5"/>
        <v>0</v>
      </c>
      <c r="N46" s="707">
        <f t="shared" si="5"/>
        <v>0</v>
      </c>
      <c r="O46" s="707">
        <f t="shared" ca="1" si="5"/>
        <v>0</v>
      </c>
      <c r="P46" s="707">
        <f t="shared" si="5"/>
        <v>0</v>
      </c>
      <c r="Q46" s="707">
        <f t="shared" si="5"/>
        <v>0</v>
      </c>
      <c r="R46" s="707">
        <f ca="1">SUM(R39:R45)</f>
        <v>201264.90683192288</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2.8994886212106419</v>
      </c>
      <c r="D49" s="674">
        <f ca="1">transport!C58</f>
        <v>0</v>
      </c>
      <c r="E49" s="674">
        <f>transport!D58</f>
        <v>0</v>
      </c>
      <c r="F49" s="674">
        <f>transport!E58</f>
        <v>0</v>
      </c>
      <c r="G49" s="674">
        <f>transport!F58</f>
        <v>0</v>
      </c>
      <c r="H49" s="674">
        <f>transport!G58</f>
        <v>766.84865432824427</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769.74814294945486</v>
      </c>
    </row>
    <row r="50" spans="1:18">
      <c r="A50" s="805" t="s">
        <v>296</v>
      </c>
      <c r="B50" s="815"/>
      <c r="C50" s="973">
        <f ca="1">transport!B18</f>
        <v>0.16067769578320312</v>
      </c>
      <c r="D50" s="973">
        <f>transport!C18</f>
        <v>0</v>
      </c>
      <c r="E50" s="973">
        <f>transport!D18</f>
        <v>0.49585010059425949</v>
      </c>
      <c r="F50" s="973">
        <f>transport!E18</f>
        <v>57.357940678830708</v>
      </c>
      <c r="G50" s="973">
        <f>transport!F18</f>
        <v>0</v>
      </c>
      <c r="H50" s="973">
        <f>transport!G18</f>
        <v>12236.404943796662</v>
      </c>
      <c r="I50" s="973">
        <f>transport!H18</f>
        <v>2011.3811528427732</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14305.800565114645</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3.0601663169938451</v>
      </c>
      <c r="D52" s="707">
        <f t="shared" ref="D52:Q52" ca="1" si="6">SUM(D48:D51)</f>
        <v>0</v>
      </c>
      <c r="E52" s="707">
        <f t="shared" si="6"/>
        <v>0.49585010059425949</v>
      </c>
      <c r="F52" s="707">
        <f t="shared" si="6"/>
        <v>57.357940678830708</v>
      </c>
      <c r="G52" s="707">
        <f t="shared" si="6"/>
        <v>0</v>
      </c>
      <c r="H52" s="707">
        <f t="shared" si="6"/>
        <v>13003.253598124906</v>
      </c>
      <c r="I52" s="707">
        <f t="shared" si="6"/>
        <v>2011.3811528427732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15075.5487080641</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349.64197927465187</v>
      </c>
      <c r="D54" s="973">
        <f ca="1">+landbouw!C12</f>
        <v>6582.993277310924</v>
      </c>
      <c r="E54" s="973">
        <f>+landbouw!D12</f>
        <v>0</v>
      </c>
      <c r="F54" s="973">
        <f>+landbouw!E12</f>
        <v>3.7951196508338203</v>
      </c>
      <c r="G54" s="973">
        <f>+landbouw!F12</f>
        <v>1824.7069600611242</v>
      </c>
      <c r="H54" s="973">
        <f>+landbouw!G12</f>
        <v>0</v>
      </c>
      <c r="I54" s="973">
        <f>+landbouw!H12</f>
        <v>0</v>
      </c>
      <c r="J54" s="973">
        <f>+landbouw!I12</f>
        <v>0</v>
      </c>
      <c r="K54" s="973">
        <f>+landbouw!J12</f>
        <v>50.47302256551049</v>
      </c>
      <c r="L54" s="973">
        <f>+landbouw!K12</f>
        <v>0</v>
      </c>
      <c r="M54" s="973">
        <f>+landbouw!L12</f>
        <v>0</v>
      </c>
      <c r="N54" s="973">
        <f>+landbouw!M12</f>
        <v>0</v>
      </c>
      <c r="O54" s="973">
        <f>+landbouw!N12</f>
        <v>0</v>
      </c>
      <c r="P54" s="973">
        <f>+landbouw!O12</f>
        <v>0</v>
      </c>
      <c r="Q54" s="974">
        <f>+landbouw!P12</f>
        <v>0</v>
      </c>
      <c r="R54" s="706">
        <f ca="1">SUM(C54:Q54)</f>
        <v>8811.6103588630449</v>
      </c>
    </row>
    <row r="55" spans="1:18" ht="15" thickBot="1">
      <c r="A55" s="805" t="s">
        <v>889</v>
      </c>
      <c r="B55" s="815"/>
      <c r="C55" s="973">
        <f ca="1">C25*'EF ele_warmte'!B12</f>
        <v>253.71474108788317</v>
      </c>
      <c r="D55" s="973"/>
      <c r="E55" s="973">
        <f>E25*EF_CO2_aardgas</f>
        <v>537.17170877295121</v>
      </c>
      <c r="F55" s="973"/>
      <c r="G55" s="973"/>
      <c r="H55" s="973"/>
      <c r="I55" s="973"/>
      <c r="J55" s="973"/>
      <c r="K55" s="973"/>
      <c r="L55" s="973"/>
      <c r="M55" s="973"/>
      <c r="N55" s="973"/>
      <c r="O55" s="973"/>
      <c r="P55" s="973"/>
      <c r="Q55" s="974"/>
      <c r="R55" s="706">
        <f ca="1">SUM(C55:Q55)</f>
        <v>790.88644986083432</v>
      </c>
    </row>
    <row r="56" spans="1:18" ht="15.75" thickBot="1">
      <c r="A56" s="803" t="s">
        <v>890</v>
      </c>
      <c r="B56" s="816"/>
      <c r="C56" s="707">
        <f ca="1">SUM(C54:C55)</f>
        <v>603.35672036253504</v>
      </c>
      <c r="D56" s="707">
        <f t="shared" ref="D56:Q56" ca="1" si="7">SUM(D54:D55)</f>
        <v>6582.993277310924</v>
      </c>
      <c r="E56" s="707">
        <f t="shared" si="7"/>
        <v>537.17170877295121</v>
      </c>
      <c r="F56" s="707">
        <f t="shared" si="7"/>
        <v>3.7951196508338203</v>
      </c>
      <c r="G56" s="707">
        <f t="shared" si="7"/>
        <v>1824.7069600611242</v>
      </c>
      <c r="H56" s="707">
        <f t="shared" si="7"/>
        <v>0</v>
      </c>
      <c r="I56" s="707">
        <f t="shared" si="7"/>
        <v>0</v>
      </c>
      <c r="J56" s="707">
        <f t="shared" si="7"/>
        <v>0</v>
      </c>
      <c r="K56" s="707">
        <f t="shared" si="7"/>
        <v>50.47302256551049</v>
      </c>
      <c r="L56" s="707">
        <f t="shared" si="7"/>
        <v>0</v>
      </c>
      <c r="M56" s="707">
        <f t="shared" si="7"/>
        <v>0</v>
      </c>
      <c r="N56" s="707">
        <f t="shared" si="7"/>
        <v>0</v>
      </c>
      <c r="O56" s="707">
        <f t="shared" si="7"/>
        <v>0</v>
      </c>
      <c r="P56" s="707">
        <f t="shared" si="7"/>
        <v>0</v>
      </c>
      <c r="Q56" s="708">
        <f t="shared" si="7"/>
        <v>0</v>
      </c>
      <c r="R56" s="709">
        <f ca="1">SUM(R54:R55)</f>
        <v>9602.4968087238794</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64579.452559546808</v>
      </c>
      <c r="D61" s="715">
        <f t="shared" ref="D61:Q61" ca="1" si="8">D46+D52+D56</f>
        <v>6582.993277310924</v>
      </c>
      <c r="E61" s="715">
        <f t="shared" ca="1" si="8"/>
        <v>109373.97552469882</v>
      </c>
      <c r="F61" s="715">
        <f t="shared" si="8"/>
        <v>653.42237093934784</v>
      </c>
      <c r="G61" s="715">
        <f t="shared" ca="1" si="8"/>
        <v>23124.594826588131</v>
      </c>
      <c r="H61" s="715">
        <f t="shared" si="8"/>
        <v>13003.253598124906</v>
      </c>
      <c r="I61" s="715">
        <f t="shared" si="8"/>
        <v>2011.3811528427732</v>
      </c>
      <c r="J61" s="715">
        <f t="shared" si="8"/>
        <v>0</v>
      </c>
      <c r="K61" s="715">
        <f t="shared" si="8"/>
        <v>6613.8790386591209</v>
      </c>
      <c r="L61" s="715">
        <f t="shared" si="8"/>
        <v>0</v>
      </c>
      <c r="M61" s="715">
        <f t="shared" ca="1" si="8"/>
        <v>0</v>
      </c>
      <c r="N61" s="715">
        <f t="shared" si="8"/>
        <v>0</v>
      </c>
      <c r="O61" s="715">
        <f t="shared" ca="1" si="8"/>
        <v>0</v>
      </c>
      <c r="P61" s="715">
        <f t="shared" si="8"/>
        <v>0</v>
      </c>
      <c r="Q61" s="715">
        <f t="shared" si="8"/>
        <v>0</v>
      </c>
      <c r="R61" s="715">
        <f ca="1">R46+R52+R56</f>
        <v>225942.95234871085</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0.21900930465458121</v>
      </c>
      <c r="D63" s="759">
        <f t="shared" ca="1" si="9"/>
        <v>0.23764705882352941</v>
      </c>
      <c r="E63" s="975">
        <f t="shared" ca="1" si="9"/>
        <v>0.20200000000000001</v>
      </c>
      <c r="F63" s="759">
        <f t="shared" si="9"/>
        <v>0.22700000000000006</v>
      </c>
      <c r="G63" s="759">
        <f t="shared" ca="1" si="9"/>
        <v>0.26700000000000002</v>
      </c>
      <c r="H63" s="759">
        <f t="shared" si="9"/>
        <v>0.26699999999999996</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4116.7093063589318</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19390.5</v>
      </c>
      <c r="D76" s="985">
        <f>'lokale energieproductie'!C8</f>
        <v>22812.352941176468</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4608.0952941176465</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4116.7093063589318</v>
      </c>
      <c r="C78" s="730">
        <f>SUM(C72:C77)</f>
        <v>19390.5</v>
      </c>
      <c r="D78" s="731">
        <f t="shared" ref="D78:H78" si="10">SUM(D76:D77)</f>
        <v>22812.352941176468</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4608.0952941176465</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27700.714285714286</v>
      </c>
      <c r="D87" s="752">
        <f>'lokale energieproductie'!C17</f>
        <v>32589.075630252097</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6582.993277310924</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27700.714285714286</v>
      </c>
      <c r="D90" s="730">
        <f t="shared" ref="D90:H90" si="12">SUM(D87:D89)</f>
        <v>32589.075630252097</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6582.993277310924</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31907.282432534892</v>
      </c>
      <c r="C4" s="447">
        <f>huishoudens!C8</f>
        <v>0</v>
      </c>
      <c r="D4" s="447">
        <f>huishoudens!D8</f>
        <v>80975.738455994229</v>
      </c>
      <c r="E4" s="447">
        <f>huishoudens!E8</f>
        <v>1010.7145164418331</v>
      </c>
      <c r="F4" s="447">
        <f>huishoudens!F8</f>
        <v>34500.129184815843</v>
      </c>
      <c r="G4" s="447">
        <f>huishoudens!G8</f>
        <v>0</v>
      </c>
      <c r="H4" s="447">
        <f>huishoudens!H8</f>
        <v>0</v>
      </c>
      <c r="I4" s="447">
        <f>huishoudens!I8</f>
        <v>0</v>
      </c>
      <c r="J4" s="447">
        <f>huishoudens!J8</f>
        <v>776.85544150671933</v>
      </c>
      <c r="K4" s="447">
        <f>huishoudens!K8</f>
        <v>0</v>
      </c>
      <c r="L4" s="447">
        <f>huishoudens!L8</f>
        <v>0</v>
      </c>
      <c r="M4" s="447">
        <f>huishoudens!M8</f>
        <v>0</v>
      </c>
      <c r="N4" s="447">
        <f>huishoudens!N8</f>
        <v>7741.9711217001441</v>
      </c>
      <c r="O4" s="447">
        <f>huishoudens!O8</f>
        <v>151.64333333333335</v>
      </c>
      <c r="P4" s="448">
        <f>huishoudens!P8</f>
        <v>266.93333333333334</v>
      </c>
      <c r="Q4" s="449">
        <f>SUM(B4:P4)</f>
        <v>157331.26781966031</v>
      </c>
    </row>
    <row r="5" spans="1:17">
      <c r="A5" s="446" t="s">
        <v>149</v>
      </c>
      <c r="B5" s="447">
        <f ca="1">tertiair!B16</f>
        <v>12675.434520738676</v>
      </c>
      <c r="C5" s="447">
        <f ca="1">tertiair!C16</f>
        <v>0</v>
      </c>
      <c r="D5" s="447">
        <f ca="1">tertiair!D16</f>
        <v>17819.519875487924</v>
      </c>
      <c r="E5" s="447">
        <f>tertiair!E16</f>
        <v>307.82166809129581</v>
      </c>
      <c r="F5" s="447">
        <f ca="1">tertiair!F16</f>
        <v>2370.8445832588245</v>
      </c>
      <c r="G5" s="447">
        <f>tertiair!G16</f>
        <v>0</v>
      </c>
      <c r="H5" s="447">
        <f>tertiair!H16</f>
        <v>0</v>
      </c>
      <c r="I5" s="447">
        <f>tertiair!I16</f>
        <v>0</v>
      </c>
      <c r="J5" s="447">
        <f>tertiair!J16</f>
        <v>0</v>
      </c>
      <c r="K5" s="447">
        <f>tertiair!K16</f>
        <v>0</v>
      </c>
      <c r="L5" s="447">
        <f ca="1">tertiair!L16</f>
        <v>0</v>
      </c>
      <c r="M5" s="447">
        <f>tertiair!M16</f>
        <v>0</v>
      </c>
      <c r="N5" s="447">
        <f ca="1">tertiair!N16</f>
        <v>305.80800461719934</v>
      </c>
      <c r="O5" s="447">
        <f>tertiair!O16</f>
        <v>0</v>
      </c>
      <c r="P5" s="448">
        <f>tertiair!P16</f>
        <v>19.066666666666666</v>
      </c>
      <c r="Q5" s="446">
        <f t="shared" ref="Q5:Q14" ca="1" si="0">SUM(B5:P5)</f>
        <v>33498.49531886058</v>
      </c>
    </row>
    <row r="6" spans="1:17">
      <c r="A6" s="446" t="s">
        <v>187</v>
      </c>
      <c r="B6" s="447">
        <f>'openbare verlichting'!B8</f>
        <v>890.33699999999999</v>
      </c>
      <c r="C6" s="447"/>
      <c r="D6" s="447"/>
      <c r="E6" s="447"/>
      <c r="F6" s="447"/>
      <c r="G6" s="447"/>
      <c r="H6" s="447"/>
      <c r="I6" s="447"/>
      <c r="J6" s="447"/>
      <c r="K6" s="447"/>
      <c r="L6" s="447"/>
      <c r="M6" s="447"/>
      <c r="N6" s="447"/>
      <c r="O6" s="447"/>
      <c r="P6" s="448"/>
      <c r="Q6" s="446">
        <f t="shared" si="0"/>
        <v>890.33699999999999</v>
      </c>
    </row>
    <row r="7" spans="1:17">
      <c r="A7" s="446" t="s">
        <v>105</v>
      </c>
      <c r="B7" s="447">
        <f>landbouw!B8</f>
        <v>1596.470888878913</v>
      </c>
      <c r="C7" s="447">
        <f>landbouw!C8</f>
        <v>27700.714285714286</v>
      </c>
      <c r="D7" s="447">
        <f>landbouw!D8</f>
        <v>0</v>
      </c>
      <c r="E7" s="447">
        <f>landbouw!E8</f>
        <v>16.71858877019304</v>
      </c>
      <c r="F7" s="447">
        <f>landbouw!F8</f>
        <v>6834.1084646484051</v>
      </c>
      <c r="G7" s="447">
        <f>landbouw!G8</f>
        <v>0</v>
      </c>
      <c r="H7" s="447">
        <f>landbouw!H8</f>
        <v>0</v>
      </c>
      <c r="I7" s="447">
        <f>landbouw!I8</f>
        <v>0</v>
      </c>
      <c r="J7" s="447">
        <f>landbouw!J8</f>
        <v>142.57915978957766</v>
      </c>
      <c r="K7" s="447">
        <f>landbouw!K8</f>
        <v>0</v>
      </c>
      <c r="L7" s="447">
        <f>landbouw!L8</f>
        <v>0</v>
      </c>
      <c r="M7" s="447">
        <f>landbouw!M8</f>
        <v>0</v>
      </c>
      <c r="N7" s="447">
        <f>landbouw!N8</f>
        <v>0</v>
      </c>
      <c r="O7" s="447">
        <f>landbouw!O8</f>
        <v>0</v>
      </c>
      <c r="P7" s="448">
        <f>landbouw!P8</f>
        <v>0</v>
      </c>
      <c r="Q7" s="446">
        <f t="shared" si="0"/>
        <v>36290.591387801374</v>
      </c>
    </row>
    <row r="8" spans="1:17">
      <c r="A8" s="446" t="s">
        <v>637</v>
      </c>
      <c r="B8" s="447">
        <f>industrie!B18</f>
        <v>246628.8536518155</v>
      </c>
      <c r="C8" s="447">
        <f>industrie!C18</f>
        <v>0</v>
      </c>
      <c r="D8" s="447">
        <f>industrie!D18</f>
        <v>439998.34545973211</v>
      </c>
      <c r="E8" s="447">
        <f>industrie!E18</f>
        <v>1290.5797212364007</v>
      </c>
      <c r="F8" s="447">
        <f>industrie!F18</f>
        <v>42903.887155247445</v>
      </c>
      <c r="G8" s="447">
        <f>industrie!G18</f>
        <v>0</v>
      </c>
      <c r="H8" s="447">
        <f>industrie!H18</f>
        <v>0</v>
      </c>
      <c r="I8" s="447">
        <f>industrie!I18</f>
        <v>0</v>
      </c>
      <c r="J8" s="447">
        <f>industrie!J18</f>
        <v>17763.839519209698</v>
      </c>
      <c r="K8" s="447">
        <f>industrie!K18</f>
        <v>0</v>
      </c>
      <c r="L8" s="447">
        <f>industrie!L18</f>
        <v>0</v>
      </c>
      <c r="M8" s="447">
        <f>industrie!M18</f>
        <v>0</v>
      </c>
      <c r="N8" s="447">
        <f>industrie!N18</f>
        <v>1184.8619666555041</v>
      </c>
      <c r="O8" s="447">
        <f>industrie!O18</f>
        <v>0</v>
      </c>
      <c r="P8" s="448">
        <f>industrie!P18</f>
        <v>0</v>
      </c>
      <c r="Q8" s="446">
        <f t="shared" si="0"/>
        <v>749770.36747389648</v>
      </c>
    </row>
    <row r="9" spans="1:17" s="452" customFormat="1">
      <c r="A9" s="450" t="s">
        <v>556</v>
      </c>
      <c r="B9" s="451">
        <f>transport!B14</f>
        <v>0.73365693771149143</v>
      </c>
      <c r="C9" s="451">
        <f>transport!C14</f>
        <v>0</v>
      </c>
      <c r="D9" s="451">
        <f>transport!D14</f>
        <v>2.4547034682884132</v>
      </c>
      <c r="E9" s="451">
        <f>transport!E14</f>
        <v>252.67815277017931</v>
      </c>
      <c r="F9" s="451">
        <f>transport!F14</f>
        <v>0</v>
      </c>
      <c r="G9" s="451">
        <f>transport!G14</f>
        <v>45829.231999238436</v>
      </c>
      <c r="H9" s="451">
        <f>transport!H14</f>
        <v>8077.8359551918602</v>
      </c>
      <c r="I9" s="451">
        <f>transport!I14</f>
        <v>0</v>
      </c>
      <c r="J9" s="451">
        <f>transport!J14</f>
        <v>0</v>
      </c>
      <c r="K9" s="451">
        <f>transport!K14</f>
        <v>0</v>
      </c>
      <c r="L9" s="451">
        <f>transport!L14</f>
        <v>0</v>
      </c>
      <c r="M9" s="451">
        <f>transport!M14</f>
        <v>2346.0685077270764</v>
      </c>
      <c r="N9" s="451">
        <f>transport!N14</f>
        <v>0</v>
      </c>
      <c r="O9" s="451">
        <f>transport!O14</f>
        <v>0</v>
      </c>
      <c r="P9" s="451">
        <f>transport!P14</f>
        <v>0</v>
      </c>
      <c r="Q9" s="450">
        <f>SUM(B9:P9)</f>
        <v>56509.002975333555</v>
      </c>
    </row>
    <row r="10" spans="1:17">
      <c r="A10" s="446" t="s">
        <v>546</v>
      </c>
      <c r="B10" s="447">
        <f>transport!B54</f>
        <v>13.239111579225732</v>
      </c>
      <c r="C10" s="447">
        <f>transport!C54</f>
        <v>0</v>
      </c>
      <c r="D10" s="447">
        <f>transport!D54</f>
        <v>0</v>
      </c>
      <c r="E10" s="447">
        <f>transport!E54</f>
        <v>0</v>
      </c>
      <c r="F10" s="447">
        <f>transport!F54</f>
        <v>0</v>
      </c>
      <c r="G10" s="447">
        <f>transport!G54</f>
        <v>2872.0923383080308</v>
      </c>
      <c r="H10" s="447">
        <f>transport!H54</f>
        <v>0</v>
      </c>
      <c r="I10" s="447">
        <f>transport!I54</f>
        <v>0</v>
      </c>
      <c r="J10" s="447">
        <f>transport!J54</f>
        <v>0</v>
      </c>
      <c r="K10" s="447">
        <f>transport!K54</f>
        <v>0</v>
      </c>
      <c r="L10" s="447">
        <f>transport!L54</f>
        <v>0</v>
      </c>
      <c r="M10" s="447">
        <f>transport!M54</f>
        <v>122.97196150444779</v>
      </c>
      <c r="N10" s="447">
        <f>transport!N54</f>
        <v>0</v>
      </c>
      <c r="O10" s="447">
        <f>transport!O54</f>
        <v>0</v>
      </c>
      <c r="P10" s="448">
        <f>transport!P54</f>
        <v>0</v>
      </c>
      <c r="Q10" s="446">
        <f t="shared" si="0"/>
        <v>3008.3034113917042</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1158.4655797526</v>
      </c>
      <c r="C14" s="454"/>
      <c r="D14" s="454">
        <f>'SEAP template'!E25</f>
        <v>2659.2658850146099</v>
      </c>
      <c r="E14" s="454"/>
      <c r="F14" s="454"/>
      <c r="G14" s="454"/>
      <c r="H14" s="454"/>
      <c r="I14" s="454"/>
      <c r="J14" s="454"/>
      <c r="K14" s="454"/>
      <c r="L14" s="454"/>
      <c r="M14" s="454"/>
      <c r="N14" s="454"/>
      <c r="O14" s="454"/>
      <c r="P14" s="455"/>
      <c r="Q14" s="446">
        <f t="shared" si="0"/>
        <v>3817.7314647672101</v>
      </c>
    </row>
    <row r="15" spans="1:17" s="459" customFormat="1">
      <c r="A15" s="456" t="s">
        <v>550</v>
      </c>
      <c r="B15" s="457">
        <f ca="1">SUM(B4:B14)</f>
        <v>294870.81684223749</v>
      </c>
      <c r="C15" s="457">
        <f t="shared" ref="C15:Q15" ca="1" si="1">SUM(C4:C14)</f>
        <v>27700.714285714286</v>
      </c>
      <c r="D15" s="457">
        <f t="shared" ca="1" si="1"/>
        <v>541455.32437969709</v>
      </c>
      <c r="E15" s="457">
        <f t="shared" si="1"/>
        <v>2878.5126473099021</v>
      </c>
      <c r="F15" s="457">
        <f t="shared" ca="1" si="1"/>
        <v>86608.969387970516</v>
      </c>
      <c r="G15" s="457">
        <f t="shared" si="1"/>
        <v>48701.324337546466</v>
      </c>
      <c r="H15" s="457">
        <f t="shared" si="1"/>
        <v>8077.8359551918602</v>
      </c>
      <c r="I15" s="457">
        <f t="shared" si="1"/>
        <v>0</v>
      </c>
      <c r="J15" s="457">
        <f t="shared" si="1"/>
        <v>18683.274120505994</v>
      </c>
      <c r="K15" s="457">
        <f t="shared" si="1"/>
        <v>0</v>
      </c>
      <c r="L15" s="457">
        <f t="shared" ca="1" si="1"/>
        <v>0</v>
      </c>
      <c r="M15" s="457">
        <f t="shared" si="1"/>
        <v>2469.0404692315242</v>
      </c>
      <c r="N15" s="457">
        <f t="shared" ca="1" si="1"/>
        <v>9232.6410929728481</v>
      </c>
      <c r="O15" s="457">
        <f t="shared" si="1"/>
        <v>151.64333333333335</v>
      </c>
      <c r="P15" s="457">
        <f t="shared" si="1"/>
        <v>286</v>
      </c>
      <c r="Q15" s="457">
        <f t="shared" ca="1" si="1"/>
        <v>1041116.0968517113</v>
      </c>
    </row>
    <row r="17" spans="1:17">
      <c r="A17" s="460" t="s">
        <v>551</v>
      </c>
      <c r="B17" s="764">
        <f ca="1">huishoudens!B10</f>
        <v>0.21900930465458118</v>
      </c>
      <c r="C17" s="764">
        <f ca="1">huishoudens!C10</f>
        <v>0.23764705882352941</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6987.9917389668008</v>
      </c>
      <c r="C22" s="447">
        <f t="shared" ref="C22:C32" ca="1" si="3">C4*$C$17</f>
        <v>0</v>
      </c>
      <c r="D22" s="447">
        <f t="shared" ref="D22:D32" si="4">D4*$D$17</f>
        <v>16357.099168110835</v>
      </c>
      <c r="E22" s="447">
        <f t="shared" ref="E22:E32" si="5">E4*$E$17</f>
        <v>229.43219523229612</v>
      </c>
      <c r="F22" s="447">
        <f t="shared" ref="F22:F32" si="6">F4*$F$17</f>
        <v>9211.5344923458306</v>
      </c>
      <c r="G22" s="447">
        <f t="shared" ref="G22:G32" si="7">G4*$G$17</f>
        <v>0</v>
      </c>
      <c r="H22" s="447">
        <f t="shared" ref="H22:H32" si="8">H4*$H$17</f>
        <v>0</v>
      </c>
      <c r="I22" s="447">
        <f t="shared" ref="I22:I32" si="9">I4*$I$17</f>
        <v>0</v>
      </c>
      <c r="J22" s="447">
        <f t="shared" ref="J22:J32" si="10">J4*$J$17</f>
        <v>275.00682629337865</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33061.064420949144</v>
      </c>
    </row>
    <row r="23" spans="1:17">
      <c r="A23" s="446" t="s">
        <v>149</v>
      </c>
      <c r="B23" s="447">
        <f t="shared" ca="1" si="2"/>
        <v>2776.0381005816521</v>
      </c>
      <c r="C23" s="447">
        <f t="shared" ca="1" si="3"/>
        <v>0</v>
      </c>
      <c r="D23" s="447">
        <f t="shared" ca="1" si="4"/>
        <v>3599.5430148485607</v>
      </c>
      <c r="E23" s="447">
        <f t="shared" si="5"/>
        <v>69.875518656724154</v>
      </c>
      <c r="F23" s="447">
        <f t="shared" ca="1" si="6"/>
        <v>633.01550373010616</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7078.4721378170434</v>
      </c>
    </row>
    <row r="24" spans="1:17">
      <c r="A24" s="446" t="s">
        <v>187</v>
      </c>
      <c r="B24" s="447">
        <f t="shared" ca="1" si="2"/>
        <v>194.99208727824583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194.99208727824583</v>
      </c>
    </row>
    <row r="25" spans="1:17">
      <c r="A25" s="446" t="s">
        <v>105</v>
      </c>
      <c r="B25" s="447">
        <f t="shared" ca="1" si="2"/>
        <v>349.64197927465187</v>
      </c>
      <c r="C25" s="447">
        <f t="shared" ca="1" si="3"/>
        <v>6582.993277310924</v>
      </c>
      <c r="D25" s="447">
        <f t="shared" si="4"/>
        <v>0</v>
      </c>
      <c r="E25" s="447">
        <f t="shared" si="5"/>
        <v>3.7951196508338203</v>
      </c>
      <c r="F25" s="447">
        <f t="shared" si="6"/>
        <v>1824.7069600611242</v>
      </c>
      <c r="G25" s="447">
        <f t="shared" si="7"/>
        <v>0</v>
      </c>
      <c r="H25" s="447">
        <f t="shared" si="8"/>
        <v>0</v>
      </c>
      <c r="I25" s="447">
        <f t="shared" si="9"/>
        <v>0</v>
      </c>
      <c r="J25" s="447">
        <f t="shared" si="10"/>
        <v>50.47302256551049</v>
      </c>
      <c r="K25" s="447">
        <f t="shared" si="11"/>
        <v>0</v>
      </c>
      <c r="L25" s="447">
        <f t="shared" si="12"/>
        <v>0</v>
      </c>
      <c r="M25" s="447">
        <f t="shared" si="13"/>
        <v>0</v>
      </c>
      <c r="N25" s="447">
        <f t="shared" si="14"/>
        <v>0</v>
      </c>
      <c r="O25" s="447">
        <f t="shared" si="15"/>
        <v>0</v>
      </c>
      <c r="P25" s="448">
        <f t="shared" si="16"/>
        <v>0</v>
      </c>
      <c r="Q25" s="446">
        <f t="shared" ca="1" si="17"/>
        <v>8811.6103588630449</v>
      </c>
    </row>
    <row r="26" spans="1:17">
      <c r="A26" s="446" t="s">
        <v>637</v>
      </c>
      <c r="B26" s="447">
        <f t="shared" ca="1" si="2"/>
        <v>54014.013746040575</v>
      </c>
      <c r="C26" s="447">
        <f t="shared" ca="1" si="3"/>
        <v>0</v>
      </c>
      <c r="D26" s="447">
        <f t="shared" si="4"/>
        <v>88879.665782865894</v>
      </c>
      <c r="E26" s="447">
        <f t="shared" si="5"/>
        <v>292.96159672066295</v>
      </c>
      <c r="F26" s="447">
        <f t="shared" si="6"/>
        <v>11455.337870451069</v>
      </c>
      <c r="G26" s="447">
        <f t="shared" si="7"/>
        <v>0</v>
      </c>
      <c r="H26" s="447">
        <f t="shared" si="8"/>
        <v>0</v>
      </c>
      <c r="I26" s="447">
        <f t="shared" si="9"/>
        <v>0</v>
      </c>
      <c r="J26" s="447">
        <f t="shared" si="10"/>
        <v>6288.3991898002323</v>
      </c>
      <c r="K26" s="447">
        <f t="shared" si="11"/>
        <v>0</v>
      </c>
      <c r="L26" s="447">
        <f t="shared" si="12"/>
        <v>0</v>
      </c>
      <c r="M26" s="447">
        <f t="shared" si="13"/>
        <v>0</v>
      </c>
      <c r="N26" s="447">
        <f t="shared" si="14"/>
        <v>0</v>
      </c>
      <c r="O26" s="447">
        <f t="shared" si="15"/>
        <v>0</v>
      </c>
      <c r="P26" s="448">
        <f t="shared" si="16"/>
        <v>0</v>
      </c>
      <c r="Q26" s="446">
        <f t="shared" ca="1" si="17"/>
        <v>160930.37818587845</v>
      </c>
    </row>
    <row r="27" spans="1:17" s="452" customFormat="1">
      <c r="A27" s="450" t="s">
        <v>556</v>
      </c>
      <c r="B27" s="758">
        <f t="shared" ca="1" si="2"/>
        <v>0.16067769578320312</v>
      </c>
      <c r="C27" s="451">
        <f t="shared" ca="1" si="3"/>
        <v>0</v>
      </c>
      <c r="D27" s="451">
        <f t="shared" si="4"/>
        <v>0.49585010059425949</v>
      </c>
      <c r="E27" s="451">
        <f t="shared" si="5"/>
        <v>57.357940678830708</v>
      </c>
      <c r="F27" s="451">
        <f t="shared" si="6"/>
        <v>0</v>
      </c>
      <c r="G27" s="451">
        <f t="shared" si="7"/>
        <v>12236.404943796662</v>
      </c>
      <c r="H27" s="451">
        <f t="shared" si="8"/>
        <v>2011.3811528427732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14305.800565114645</v>
      </c>
    </row>
    <row r="28" spans="1:17">
      <c r="A28" s="446" t="s">
        <v>546</v>
      </c>
      <c r="B28" s="447">
        <f t="shared" ca="1" si="2"/>
        <v>2.8994886212106419</v>
      </c>
      <c r="C28" s="447">
        <f t="shared" ca="1" si="3"/>
        <v>0</v>
      </c>
      <c r="D28" s="447">
        <f t="shared" si="4"/>
        <v>0</v>
      </c>
      <c r="E28" s="447">
        <f t="shared" si="5"/>
        <v>0</v>
      </c>
      <c r="F28" s="447">
        <f t="shared" si="6"/>
        <v>0</v>
      </c>
      <c r="G28" s="447">
        <f t="shared" si="7"/>
        <v>766.84865432824427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769.74814294945486</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253.71474108788317</v>
      </c>
      <c r="C32" s="447">
        <f t="shared" ca="1" si="3"/>
        <v>0</v>
      </c>
      <c r="D32" s="447">
        <f t="shared" si="4"/>
        <v>537.17170877295121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790.88644986083432</v>
      </c>
    </row>
    <row r="33" spans="1:17" s="459" customFormat="1">
      <c r="A33" s="456" t="s">
        <v>550</v>
      </c>
      <c r="B33" s="457">
        <f ca="1">SUM(B22:B32)</f>
        <v>64579.4525595468</v>
      </c>
      <c r="C33" s="457">
        <f t="shared" ref="C33:Q33" ca="1" si="19">SUM(C22:C32)</f>
        <v>6582.993277310924</v>
      </c>
      <c r="D33" s="457">
        <f t="shared" ca="1" si="19"/>
        <v>109373.97552469882</v>
      </c>
      <c r="E33" s="457">
        <f t="shared" si="19"/>
        <v>653.42237093934784</v>
      </c>
      <c r="F33" s="457">
        <f t="shared" ca="1" si="19"/>
        <v>23124.594826588131</v>
      </c>
      <c r="G33" s="457">
        <f t="shared" si="19"/>
        <v>13003.253598124906</v>
      </c>
      <c r="H33" s="457">
        <f t="shared" si="19"/>
        <v>2011.3811528427732</v>
      </c>
      <c r="I33" s="457">
        <f t="shared" si="19"/>
        <v>0</v>
      </c>
      <c r="J33" s="457">
        <f t="shared" si="19"/>
        <v>6613.8790386591218</v>
      </c>
      <c r="K33" s="457">
        <f t="shared" si="19"/>
        <v>0</v>
      </c>
      <c r="L33" s="457">
        <f t="shared" ca="1" si="19"/>
        <v>0</v>
      </c>
      <c r="M33" s="457">
        <f t="shared" si="19"/>
        <v>0</v>
      </c>
      <c r="N33" s="457">
        <f t="shared" ca="1" si="19"/>
        <v>0</v>
      </c>
      <c r="O33" s="457">
        <f t="shared" si="19"/>
        <v>0</v>
      </c>
      <c r="P33" s="457">
        <f t="shared" si="19"/>
        <v>0</v>
      </c>
      <c r="Q33" s="457">
        <f t="shared" ca="1" si="19"/>
        <v>225942.95234871088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4116.7093063589318</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19390.5</v>
      </c>
      <c r="D8" s="1006">
        <f>'SEAP template'!D76</f>
        <v>22812.352941176468</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4608.0952941176465</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4116.7093063589318</v>
      </c>
      <c r="C10" s="1010">
        <f>SUM(C4:C9)</f>
        <v>19390.5</v>
      </c>
      <c r="D10" s="1010">
        <f t="shared" ref="D10:H10" si="0">SUM(D8:D9)</f>
        <v>22812.352941176468</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4608.0952941176465</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0.21900930465458118</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27700.714285714286</v>
      </c>
      <c r="D17" s="1007">
        <f>'SEAP template'!D87</f>
        <v>32589.075630252097</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6582.993277310924</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27700.714285714286</v>
      </c>
      <c r="D20" s="1010">
        <f t="shared" ref="D20:H20" si="2">SUM(D17:D19)</f>
        <v>32589.075630252097</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6582.993277310924</v>
      </c>
    </row>
    <row r="22" spans="1:16">
      <c r="A22" s="460" t="s">
        <v>910</v>
      </c>
      <c r="B22" s="764" t="s">
        <v>904</v>
      </c>
      <c r="C22" s="764">
        <f ca="1">'EF ele_warmte'!B22</f>
        <v>0.23764705882352941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0.21900930465458118</v>
      </c>
      <c r="C17" s="496">
        <f ca="1">'EF ele_warmte'!B22</f>
        <v>0.23764705882352941</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0.21900930465458118</v>
      </c>
      <c r="C17" s="496">
        <f ca="1">'EF ele_warmte'!B22</f>
        <v>0.23764705882352941</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0.21900930465458118</v>
      </c>
      <c r="C29" s="497">
        <f ca="1">'EF ele_warmte'!B22</f>
        <v>0.23764705882352941</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6610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1468</v>
      </c>
      <c r="C14" s="326"/>
      <c r="D14" s="326"/>
      <c r="E14" s="326"/>
      <c r="F14" s="326"/>
    </row>
    <row r="15" spans="1:6">
      <c r="A15" s="1280" t="s">
        <v>177</v>
      </c>
      <c r="B15" s="1281">
        <v>3054</v>
      </c>
      <c r="C15" s="326"/>
      <c r="D15" s="326"/>
      <c r="E15" s="326"/>
      <c r="F15" s="326"/>
    </row>
    <row r="16" spans="1:6">
      <c r="A16" s="1280" t="s">
        <v>6</v>
      </c>
      <c r="B16" s="1281">
        <v>489</v>
      </c>
      <c r="C16" s="326"/>
      <c r="D16" s="326"/>
      <c r="E16" s="326"/>
      <c r="F16" s="326"/>
    </row>
    <row r="17" spans="1:6">
      <c r="A17" s="1280" t="s">
        <v>7</v>
      </c>
      <c r="B17" s="1281">
        <v>466</v>
      </c>
      <c r="C17" s="326"/>
      <c r="D17" s="326"/>
      <c r="E17" s="326"/>
      <c r="F17" s="326"/>
    </row>
    <row r="18" spans="1:6">
      <c r="A18" s="1280" t="s">
        <v>8</v>
      </c>
      <c r="B18" s="1281">
        <v>521</v>
      </c>
      <c r="C18" s="326"/>
      <c r="D18" s="326"/>
      <c r="E18" s="326"/>
      <c r="F18" s="326"/>
    </row>
    <row r="19" spans="1:6">
      <c r="A19" s="1280" t="s">
        <v>9</v>
      </c>
      <c r="B19" s="1281">
        <v>449</v>
      </c>
      <c r="C19" s="326"/>
      <c r="D19" s="326"/>
      <c r="E19" s="326"/>
      <c r="F19" s="326"/>
    </row>
    <row r="20" spans="1:6">
      <c r="A20" s="1280" t="s">
        <v>10</v>
      </c>
      <c r="B20" s="1281">
        <v>510</v>
      </c>
      <c r="C20" s="326"/>
      <c r="D20" s="326"/>
      <c r="E20" s="326"/>
      <c r="F20" s="326"/>
    </row>
    <row r="21" spans="1:6">
      <c r="A21" s="1280" t="s">
        <v>11</v>
      </c>
      <c r="B21" s="1281">
        <v>276</v>
      </c>
      <c r="C21" s="326"/>
      <c r="D21" s="326"/>
      <c r="E21" s="326"/>
      <c r="F21" s="326"/>
    </row>
    <row r="22" spans="1:6">
      <c r="A22" s="1280" t="s">
        <v>12</v>
      </c>
      <c r="B22" s="1281">
        <v>2224</v>
      </c>
      <c r="C22" s="326"/>
      <c r="D22" s="326"/>
      <c r="E22" s="326"/>
      <c r="F22" s="326"/>
    </row>
    <row r="23" spans="1:6">
      <c r="A23" s="1280" t="s">
        <v>13</v>
      </c>
      <c r="B23" s="1281">
        <v>6</v>
      </c>
      <c r="C23" s="326"/>
      <c r="D23" s="326"/>
      <c r="E23" s="326"/>
      <c r="F23" s="326"/>
    </row>
    <row r="24" spans="1:6">
      <c r="A24" s="1280" t="s">
        <v>14</v>
      </c>
      <c r="B24" s="1281">
        <v>1</v>
      </c>
      <c r="C24" s="326"/>
      <c r="D24" s="326"/>
      <c r="E24" s="326"/>
      <c r="F24" s="326"/>
    </row>
    <row r="25" spans="1:6">
      <c r="A25" s="1280" t="s">
        <v>15</v>
      </c>
      <c r="B25" s="1281">
        <v>21</v>
      </c>
      <c r="C25" s="326"/>
      <c r="D25" s="326"/>
      <c r="E25" s="326"/>
      <c r="F25" s="326"/>
    </row>
    <row r="26" spans="1:6">
      <c r="A26" s="1280" t="s">
        <v>16</v>
      </c>
      <c r="B26" s="1281">
        <v>5</v>
      </c>
      <c r="C26" s="326"/>
      <c r="D26" s="326"/>
      <c r="E26" s="326"/>
      <c r="F26" s="326"/>
    </row>
    <row r="27" spans="1:6">
      <c r="A27" s="1280" t="s">
        <v>17</v>
      </c>
      <c r="B27" s="1281">
        <v>15</v>
      </c>
      <c r="C27" s="326"/>
      <c r="D27" s="326"/>
      <c r="E27" s="326"/>
      <c r="F27" s="326"/>
    </row>
    <row r="28" spans="1:6">
      <c r="A28" s="1280" t="s">
        <v>18</v>
      </c>
      <c r="B28" s="1282">
        <v>242946</v>
      </c>
      <c r="C28" s="326"/>
      <c r="D28" s="326"/>
      <c r="E28" s="326"/>
      <c r="F28" s="326"/>
    </row>
    <row r="29" spans="1:6">
      <c r="A29" s="1280" t="s">
        <v>972</v>
      </c>
      <c r="B29" s="1282">
        <v>86</v>
      </c>
      <c r="C29" s="326"/>
      <c r="D29" s="326"/>
      <c r="E29" s="326"/>
      <c r="F29" s="326"/>
    </row>
    <row r="30" spans="1:6">
      <c r="A30" s="1275" t="s">
        <v>973</v>
      </c>
      <c r="B30" s="1283">
        <v>41</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4</v>
      </c>
      <c r="F38" s="1281">
        <v>254340.222912845</v>
      </c>
    </row>
    <row r="39" spans="1:6">
      <c r="A39" s="1280" t="s">
        <v>29</v>
      </c>
      <c r="B39" s="1280" t="s">
        <v>30</v>
      </c>
      <c r="C39" s="1281">
        <v>4739</v>
      </c>
      <c r="D39" s="1281">
        <v>89773545.960082293</v>
      </c>
      <c r="E39" s="1281">
        <v>6476</v>
      </c>
      <c r="F39" s="1281">
        <v>29890251.957176201</v>
      </c>
    </row>
    <row r="40" spans="1:6">
      <c r="A40" s="1280" t="s">
        <v>29</v>
      </c>
      <c r="B40" s="1280" t="s">
        <v>28</v>
      </c>
      <c r="C40" s="1281">
        <v>0</v>
      </c>
      <c r="D40" s="1281">
        <v>0</v>
      </c>
      <c r="E40" s="1281">
        <v>0</v>
      </c>
      <c r="F40" s="1281">
        <v>0</v>
      </c>
    </row>
    <row r="41" spans="1:6">
      <c r="A41" s="1280" t="s">
        <v>31</v>
      </c>
      <c r="B41" s="1280" t="s">
        <v>32</v>
      </c>
      <c r="C41" s="1281">
        <v>50</v>
      </c>
      <c r="D41" s="1281">
        <v>1160716.1157164399</v>
      </c>
      <c r="E41" s="1281">
        <v>128</v>
      </c>
      <c r="F41" s="1281">
        <v>1693548.5092901699</v>
      </c>
    </row>
    <row r="42" spans="1:6">
      <c r="A42" s="1280" t="s">
        <v>31</v>
      </c>
      <c r="B42" s="1280" t="s">
        <v>33</v>
      </c>
      <c r="C42" s="1281">
        <v>5</v>
      </c>
      <c r="D42" s="1281">
        <v>146686821.022652</v>
      </c>
      <c r="E42" s="1281">
        <v>5</v>
      </c>
      <c r="F42" s="1281">
        <v>94105788.751300097</v>
      </c>
    </row>
    <row r="43" spans="1:6">
      <c r="A43" s="1280" t="s">
        <v>31</v>
      </c>
      <c r="B43" s="1280" t="s">
        <v>34</v>
      </c>
      <c r="C43" s="1281">
        <v>0</v>
      </c>
      <c r="D43" s="1281">
        <v>0</v>
      </c>
      <c r="E43" s="1281">
        <v>0</v>
      </c>
      <c r="F43" s="1281">
        <v>0</v>
      </c>
    </row>
    <row r="44" spans="1:6">
      <c r="A44" s="1280" t="s">
        <v>31</v>
      </c>
      <c r="B44" s="1280" t="s">
        <v>35</v>
      </c>
      <c r="C44" s="1281">
        <v>0</v>
      </c>
      <c r="D44" s="1281">
        <v>0</v>
      </c>
      <c r="E44" s="1281">
        <v>14</v>
      </c>
      <c r="F44" s="1281">
        <v>586115.73794444196</v>
      </c>
    </row>
    <row r="45" spans="1:6">
      <c r="A45" s="1280" t="s">
        <v>31</v>
      </c>
      <c r="B45" s="1280" t="s">
        <v>36</v>
      </c>
      <c r="C45" s="1281">
        <v>3</v>
      </c>
      <c r="D45" s="1281">
        <v>297703620.34011102</v>
      </c>
      <c r="E45" s="1281">
        <v>12</v>
      </c>
      <c r="F45" s="1281">
        <v>21605752.3130062</v>
      </c>
    </row>
    <row r="46" spans="1:6">
      <c r="A46" s="1280" t="s">
        <v>31</v>
      </c>
      <c r="B46" s="1280" t="s">
        <v>37</v>
      </c>
      <c r="C46" s="1281">
        <v>0</v>
      </c>
      <c r="D46" s="1281">
        <v>0</v>
      </c>
      <c r="E46" s="1281">
        <v>6</v>
      </c>
      <c r="F46" s="1281">
        <v>92729945.265802994</v>
      </c>
    </row>
    <row r="47" spans="1:6">
      <c r="A47" s="1280" t="s">
        <v>31</v>
      </c>
      <c r="B47" s="1280" t="s">
        <v>38</v>
      </c>
      <c r="C47" s="1281">
        <v>0</v>
      </c>
      <c r="D47" s="1281">
        <v>0</v>
      </c>
      <c r="E47" s="1281">
        <v>0</v>
      </c>
      <c r="F47" s="1281">
        <v>0</v>
      </c>
    </row>
    <row r="48" spans="1:6">
      <c r="A48" s="1280" t="s">
        <v>31</v>
      </c>
      <c r="B48" s="1280" t="s">
        <v>28</v>
      </c>
      <c r="C48" s="1281">
        <v>40</v>
      </c>
      <c r="D48" s="1281">
        <v>41746248.640037403</v>
      </c>
      <c r="E48" s="1281">
        <v>47</v>
      </c>
      <c r="F48" s="1281">
        <v>27276855.224982399</v>
      </c>
    </row>
    <row r="49" spans="1:6">
      <c r="A49" s="1280" t="s">
        <v>31</v>
      </c>
      <c r="B49" s="1280" t="s">
        <v>39</v>
      </c>
      <c r="C49" s="1281">
        <v>0</v>
      </c>
      <c r="D49" s="1281">
        <v>0</v>
      </c>
      <c r="E49" s="1281">
        <v>0</v>
      </c>
      <c r="F49" s="1281">
        <v>0</v>
      </c>
    </row>
    <row r="50" spans="1:6">
      <c r="A50" s="1280" t="s">
        <v>31</v>
      </c>
      <c r="B50" s="1280" t="s">
        <v>40</v>
      </c>
      <c r="C50" s="1281">
        <v>8</v>
      </c>
      <c r="D50" s="1281">
        <v>505637.62841450801</v>
      </c>
      <c r="E50" s="1281">
        <v>16</v>
      </c>
      <c r="F50" s="1281">
        <v>8630847.8494892009</v>
      </c>
    </row>
    <row r="51" spans="1:6">
      <c r="A51" s="1280" t="s">
        <v>41</v>
      </c>
      <c r="B51" s="1280" t="s">
        <v>42</v>
      </c>
      <c r="C51" s="1281">
        <v>5</v>
      </c>
      <c r="D51" s="1281">
        <v>110648.80735751</v>
      </c>
      <c r="E51" s="1281">
        <v>58</v>
      </c>
      <c r="F51" s="1281">
        <v>1272572.70007193</v>
      </c>
    </row>
    <row r="52" spans="1:6">
      <c r="A52" s="1280" t="s">
        <v>41</v>
      </c>
      <c r="B52" s="1280" t="s">
        <v>28</v>
      </c>
      <c r="C52" s="1281">
        <v>5</v>
      </c>
      <c r="D52" s="1281">
        <v>59491240.930307597</v>
      </c>
      <c r="E52" s="1281">
        <v>7</v>
      </c>
      <c r="F52" s="1281">
        <v>323898.188806983</v>
      </c>
    </row>
    <row r="53" spans="1:6">
      <c r="A53" s="1280" t="s">
        <v>43</v>
      </c>
      <c r="B53" s="1280" t="s">
        <v>44</v>
      </c>
      <c r="C53" s="1281">
        <v>112</v>
      </c>
      <c r="D53" s="1281">
        <v>2659265.8850146099</v>
      </c>
      <c r="E53" s="1281">
        <v>201</v>
      </c>
      <c r="F53" s="1281">
        <v>1158465.5797526001</v>
      </c>
    </row>
    <row r="54" spans="1:6">
      <c r="A54" s="1280" t="s">
        <v>45</v>
      </c>
      <c r="B54" s="1280" t="s">
        <v>46</v>
      </c>
      <c r="C54" s="1281">
        <v>0</v>
      </c>
      <c r="D54" s="1281">
        <v>0</v>
      </c>
      <c r="E54" s="1281">
        <v>1</v>
      </c>
      <c r="F54" s="1281">
        <v>890337</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22</v>
      </c>
      <c r="D57" s="1281">
        <v>563040.48539254104</v>
      </c>
      <c r="E57" s="1281">
        <v>31</v>
      </c>
      <c r="F57" s="1281">
        <v>944474.38172086305</v>
      </c>
    </row>
    <row r="58" spans="1:6">
      <c r="A58" s="1280" t="s">
        <v>48</v>
      </c>
      <c r="B58" s="1280" t="s">
        <v>50</v>
      </c>
      <c r="C58" s="1281">
        <v>10</v>
      </c>
      <c r="D58" s="1281">
        <v>1458300.0388813401</v>
      </c>
      <c r="E58" s="1281">
        <v>9</v>
      </c>
      <c r="F58" s="1281">
        <v>214749.45183593099</v>
      </c>
    </row>
    <row r="59" spans="1:6">
      <c r="A59" s="1280" t="s">
        <v>48</v>
      </c>
      <c r="B59" s="1280" t="s">
        <v>51</v>
      </c>
      <c r="C59" s="1281">
        <v>72</v>
      </c>
      <c r="D59" s="1281">
        <v>2480614.3553332002</v>
      </c>
      <c r="E59" s="1281">
        <v>140</v>
      </c>
      <c r="F59" s="1281">
        <v>3837985.1839717799</v>
      </c>
    </row>
    <row r="60" spans="1:6">
      <c r="A60" s="1280" t="s">
        <v>48</v>
      </c>
      <c r="B60" s="1280" t="s">
        <v>52</v>
      </c>
      <c r="C60" s="1281">
        <v>74</v>
      </c>
      <c r="D60" s="1281">
        <v>8290434.6191813396</v>
      </c>
      <c r="E60" s="1281">
        <v>137</v>
      </c>
      <c r="F60" s="1281">
        <v>2459804.9635721399</v>
      </c>
    </row>
    <row r="61" spans="1:6">
      <c r="A61" s="1280" t="s">
        <v>48</v>
      </c>
      <c r="B61" s="1280" t="s">
        <v>53</v>
      </c>
      <c r="C61" s="1281">
        <v>80</v>
      </c>
      <c r="D61" s="1281">
        <v>2768626.3573187501</v>
      </c>
      <c r="E61" s="1281">
        <v>233</v>
      </c>
      <c r="F61" s="1281">
        <v>2744465.81396659</v>
      </c>
    </row>
    <row r="62" spans="1:6">
      <c r="A62" s="1280" t="s">
        <v>48</v>
      </c>
      <c r="B62" s="1280" t="s">
        <v>54</v>
      </c>
      <c r="C62" s="1281">
        <v>4</v>
      </c>
      <c r="D62" s="1281">
        <v>931762.63006803102</v>
      </c>
      <c r="E62" s="1281">
        <v>4</v>
      </c>
      <c r="F62" s="1281">
        <v>271721.31665837101</v>
      </c>
    </row>
    <row r="63" spans="1:6">
      <c r="A63" s="1280" t="s">
        <v>48</v>
      </c>
      <c r="B63" s="1280" t="s">
        <v>28</v>
      </c>
      <c r="C63" s="1281">
        <v>72</v>
      </c>
      <c r="D63" s="1281">
        <v>3262786.7859843601</v>
      </c>
      <c r="E63" s="1281">
        <v>113</v>
      </c>
      <c r="F63" s="1281">
        <v>2202233.4090129999</v>
      </c>
    </row>
    <row r="64" spans="1:6">
      <c r="A64" s="1280" t="s">
        <v>55</v>
      </c>
      <c r="B64" s="1280" t="s">
        <v>56</v>
      </c>
      <c r="C64" s="1281">
        <v>0</v>
      </c>
      <c r="D64" s="1281">
        <v>0</v>
      </c>
      <c r="E64" s="1281">
        <v>0</v>
      </c>
      <c r="F64" s="1281">
        <v>0</v>
      </c>
    </row>
    <row r="65" spans="1:6">
      <c r="A65" s="1280" t="s">
        <v>55</v>
      </c>
      <c r="B65" s="1280" t="s">
        <v>28</v>
      </c>
      <c r="C65" s="1281">
        <v>0</v>
      </c>
      <c r="D65" s="1281">
        <v>0</v>
      </c>
      <c r="E65" s="1281">
        <v>2</v>
      </c>
      <c r="F65" s="1281">
        <v>3270.2096624675</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3</v>
      </c>
      <c r="D68" s="1283">
        <v>75886.375916566001</v>
      </c>
      <c r="E68" s="1283">
        <v>9</v>
      </c>
      <c r="F68" s="1283">
        <v>2033122.1562999999</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57511436</v>
      </c>
      <c r="E73" s="445"/>
      <c r="F73" s="326"/>
    </row>
    <row r="74" spans="1:6">
      <c r="A74" s="1280" t="s">
        <v>63</v>
      </c>
      <c r="B74" s="1280" t="s">
        <v>754</v>
      </c>
      <c r="C74" s="1293" t="s">
        <v>755</v>
      </c>
      <c r="D74" s="1281">
        <v>4678091.4646442169</v>
      </c>
      <c r="E74" s="445"/>
      <c r="F74" s="326"/>
    </row>
    <row r="75" spans="1:6">
      <c r="A75" s="1280" t="s">
        <v>64</v>
      </c>
      <c r="B75" s="1280" t="s">
        <v>752</v>
      </c>
      <c r="C75" s="1293" t="s">
        <v>756</v>
      </c>
      <c r="D75" s="1281">
        <v>9375248</v>
      </c>
      <c r="E75" s="445"/>
      <c r="F75" s="326"/>
    </row>
    <row r="76" spans="1:6">
      <c r="A76" s="1280" t="s">
        <v>64</v>
      </c>
      <c r="B76" s="1280" t="s">
        <v>754</v>
      </c>
      <c r="C76" s="1293" t="s">
        <v>757</v>
      </c>
      <c r="D76" s="1281">
        <v>100365.46464421676</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787733.07071156648</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2017.0304753586895</v>
      </c>
      <c r="C91" s="326"/>
      <c r="D91" s="326"/>
      <c r="E91" s="326"/>
      <c r="F91" s="326"/>
    </row>
    <row r="92" spans="1:6">
      <c r="A92" s="1275" t="s">
        <v>68</v>
      </c>
      <c r="B92" s="1276">
        <v>2099.6788310002421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3245</v>
      </c>
      <c r="C97" s="326"/>
      <c r="D97" s="326"/>
      <c r="E97" s="326"/>
      <c r="F97" s="326"/>
    </row>
    <row r="98" spans="1:6">
      <c r="A98" s="1280" t="s">
        <v>71</v>
      </c>
      <c r="B98" s="1281">
        <v>5</v>
      </c>
      <c r="C98" s="326"/>
      <c r="D98" s="326"/>
      <c r="E98" s="326"/>
      <c r="F98" s="326"/>
    </row>
    <row r="99" spans="1:6">
      <c r="A99" s="1280" t="s">
        <v>72</v>
      </c>
      <c r="B99" s="1281">
        <v>40</v>
      </c>
      <c r="C99" s="326"/>
      <c r="D99" s="326"/>
      <c r="E99" s="326"/>
      <c r="F99" s="326"/>
    </row>
    <row r="100" spans="1:6">
      <c r="A100" s="1280" t="s">
        <v>73</v>
      </c>
      <c r="B100" s="1281">
        <v>397</v>
      </c>
      <c r="C100" s="326"/>
      <c r="D100" s="326"/>
      <c r="E100" s="326"/>
      <c r="F100" s="326"/>
    </row>
    <row r="101" spans="1:6">
      <c r="A101" s="1280" t="s">
        <v>74</v>
      </c>
      <c r="B101" s="1281">
        <v>152</v>
      </c>
      <c r="C101" s="326"/>
      <c r="D101" s="326"/>
      <c r="E101" s="326"/>
      <c r="F101" s="326"/>
    </row>
    <row r="102" spans="1:6">
      <c r="A102" s="1280" t="s">
        <v>75</v>
      </c>
      <c r="B102" s="1281">
        <v>60</v>
      </c>
      <c r="C102" s="326"/>
      <c r="D102" s="326"/>
      <c r="E102" s="326"/>
      <c r="F102" s="326"/>
    </row>
    <row r="103" spans="1:6">
      <c r="A103" s="1280" t="s">
        <v>76</v>
      </c>
      <c r="B103" s="1281">
        <v>156</v>
      </c>
      <c r="C103" s="326"/>
      <c r="D103" s="326"/>
      <c r="E103" s="326"/>
      <c r="F103" s="326"/>
    </row>
    <row r="104" spans="1:6">
      <c r="A104" s="1280" t="s">
        <v>77</v>
      </c>
      <c r="B104" s="1281">
        <v>1690</v>
      </c>
      <c r="C104" s="326"/>
      <c r="D104" s="326"/>
      <c r="E104" s="326"/>
      <c r="F104" s="326"/>
    </row>
    <row r="105" spans="1:6">
      <c r="A105" s="1275" t="s">
        <v>78</v>
      </c>
      <c r="B105" s="1283">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2</v>
      </c>
      <c r="C123" s="1281">
        <v>11</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86</v>
      </c>
      <c r="C129" s="326"/>
      <c r="D129" s="326"/>
      <c r="E129" s="326"/>
      <c r="F129" s="326"/>
    </row>
    <row r="130" spans="1:6">
      <c r="A130" s="1280" t="s">
        <v>284</v>
      </c>
      <c r="B130" s="1281">
        <v>0</v>
      </c>
      <c r="C130" s="326"/>
      <c r="D130" s="326"/>
      <c r="E130" s="326"/>
      <c r="F130" s="326"/>
    </row>
    <row r="131" spans="1:6">
      <c r="A131" s="1280" t="s">
        <v>285</v>
      </c>
      <c r="B131" s="1281">
        <v>1</v>
      </c>
      <c r="C131" s="326"/>
      <c r="D131" s="326"/>
      <c r="E131" s="326"/>
      <c r="F131" s="326"/>
    </row>
    <row r="132" spans="1:6">
      <c r="A132" s="1275" t="s">
        <v>286</v>
      </c>
      <c r="B132" s="1276">
        <v>12</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294870.81684223749</v>
      </c>
      <c r="C3" s="43" t="s">
        <v>163</v>
      </c>
      <c r="D3" s="43"/>
      <c r="E3" s="156"/>
      <c r="F3" s="43"/>
      <c r="G3" s="43"/>
      <c r="H3" s="43"/>
      <c r="I3" s="43"/>
      <c r="J3" s="43"/>
      <c r="K3" s="96"/>
    </row>
    <row r="4" spans="1:11">
      <c r="A4" s="352" t="s">
        <v>164</v>
      </c>
      <c r="B4" s="49">
        <f>IF(ISERROR('SEAP template'!B78+'SEAP template'!C78),0,'SEAP template'!B78+'SEAP template'!C78)</f>
        <v>23507.209306358931</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4608.0952941176465</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0.21900930465458118</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6582.993277310924</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27700.714285714286</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0.23764705882352941</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890.33699999999999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890.33699999999999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0.21900930465458118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194.99208727824583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29890.251957176202</v>
      </c>
      <c r="C5" s="17">
        <f>IF(ISERROR('Eigen informatie GS &amp; warmtenet'!B57),0,'Eigen informatie GS &amp; warmtenet'!B57)</f>
        <v>0</v>
      </c>
      <c r="D5" s="30">
        <f>(SUM(HH_hh_gas_kWh,HH_rest_gas_kWh)/1000)*0.902</f>
        <v>80975.738455994229</v>
      </c>
      <c r="E5" s="17">
        <f>B32*B41</f>
        <v>1010.7145164418331</v>
      </c>
      <c r="F5" s="17">
        <f>B36*B45</f>
        <v>34500.129184815843</v>
      </c>
      <c r="G5" s="18"/>
      <c r="H5" s="17"/>
      <c r="I5" s="17"/>
      <c r="J5" s="17">
        <f>B35*B44+C35*C44</f>
        <v>776.85544150671933</v>
      </c>
      <c r="K5" s="17"/>
      <c r="L5" s="17"/>
      <c r="M5" s="17"/>
      <c r="N5" s="17">
        <f>B34*B43+C34*C43</f>
        <v>7741.9711217001441</v>
      </c>
      <c r="O5" s="17">
        <f>B52*B53*B54</f>
        <v>151.64333333333335</v>
      </c>
      <c r="P5" s="17">
        <f>B60*B61*B62/1000-B60*B61*B62/1000/B63</f>
        <v>266.93333333333334</v>
      </c>
    </row>
    <row r="6" spans="1:16">
      <c r="A6" s="16" t="s">
        <v>615</v>
      </c>
      <c r="B6" s="766">
        <f>kWh_PV_kleiner_dan_10kW</f>
        <v>2017.0304753586895</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31907.282432534892</v>
      </c>
      <c r="C8" s="21">
        <f>C5</f>
        <v>0</v>
      </c>
      <c r="D8" s="21">
        <f>D5</f>
        <v>80975.738455994229</v>
      </c>
      <c r="E8" s="21">
        <f>E5</f>
        <v>1010.7145164418331</v>
      </c>
      <c r="F8" s="21">
        <f>F5</f>
        <v>34500.129184815843</v>
      </c>
      <c r="G8" s="21"/>
      <c r="H8" s="21"/>
      <c r="I8" s="21"/>
      <c r="J8" s="21">
        <f>J5</f>
        <v>776.85544150671933</v>
      </c>
      <c r="K8" s="21"/>
      <c r="L8" s="21">
        <f>L5</f>
        <v>0</v>
      </c>
      <c r="M8" s="21">
        <f>M5</f>
        <v>0</v>
      </c>
      <c r="N8" s="21">
        <f>N5</f>
        <v>7741.9711217001441</v>
      </c>
      <c r="O8" s="21">
        <f>O5</f>
        <v>151.64333333333335</v>
      </c>
      <c r="P8" s="21">
        <f>P5</f>
        <v>266.93333333333334</v>
      </c>
    </row>
    <row r="9" spans="1:16">
      <c r="B9" s="19"/>
      <c r="C9" s="19"/>
      <c r="D9" s="256"/>
      <c r="E9" s="19"/>
      <c r="F9" s="19"/>
      <c r="G9" s="19"/>
      <c r="H9" s="19"/>
      <c r="I9" s="19"/>
      <c r="J9" s="19"/>
      <c r="K9" s="19"/>
      <c r="L9" s="19"/>
      <c r="M9" s="19"/>
      <c r="N9" s="19"/>
      <c r="O9" s="19"/>
      <c r="P9" s="19"/>
    </row>
    <row r="10" spans="1:16">
      <c r="A10" s="24" t="s">
        <v>207</v>
      </c>
      <c r="B10" s="25">
        <f ca="1">'EF ele_warmte'!B12</f>
        <v>0.21900930465458118</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6987.9917389668008</v>
      </c>
      <c r="C12" s="23">
        <f ca="1">C10*C8</f>
        <v>0</v>
      </c>
      <c r="D12" s="23">
        <f>D8*D10</f>
        <v>16357.099168110835</v>
      </c>
      <c r="E12" s="23">
        <f>E10*E8</f>
        <v>229.43219523229612</v>
      </c>
      <c r="F12" s="23">
        <f>F10*F8</f>
        <v>9211.5344923458306</v>
      </c>
      <c r="G12" s="23"/>
      <c r="H12" s="23"/>
      <c r="I12" s="23"/>
      <c r="J12" s="23">
        <f>J10*J8</f>
        <v>275.00682629337865</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6610</v>
      </c>
      <c r="C26" s="36"/>
      <c r="D26" s="226"/>
    </row>
    <row r="27" spans="1:5" s="15" customFormat="1">
      <c r="A27" s="228" t="s">
        <v>695</v>
      </c>
      <c r="B27" s="37">
        <f>SUM(HH_hh_gas_aantal,HH_rest_gas_aantal)</f>
        <v>4739</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4502.05</v>
      </c>
      <c r="C31" s="34" t="s">
        <v>104</v>
      </c>
      <c r="D31" s="172"/>
    </row>
    <row r="32" spans="1:5">
      <c r="A32" s="169" t="s">
        <v>72</v>
      </c>
      <c r="B32" s="33">
        <f>IF((B21*($B$26-($B$27-0.05*$B$27)-$B$60))&lt;0,0,B21*($B$26-($B$27-0.05*$B$27)-$B$60))</f>
        <v>14.84520227742704</v>
      </c>
      <c r="C32" s="34" t="s">
        <v>104</v>
      </c>
      <c r="D32" s="172"/>
    </row>
    <row r="33" spans="1:6">
      <c r="A33" s="169" t="s">
        <v>73</v>
      </c>
      <c r="B33" s="33">
        <f>IF((B22*($B$26-($B$27-0.05*$B$27)-$B$60))&lt;0,0,B22*($B$26-($B$27-0.05*$B$27)-$B$60))</f>
        <v>425.46147751564718</v>
      </c>
      <c r="C33" s="34" t="s">
        <v>104</v>
      </c>
      <c r="D33" s="172"/>
    </row>
    <row r="34" spans="1:6">
      <c r="A34" s="169" t="s">
        <v>74</v>
      </c>
      <c r="B34" s="33">
        <f>IF((B24*($B$26-($B$27-0.05*$B$27)-$B$60))&lt;0,0,B24*($B$26-($B$27-0.05*$B$27)-$B$60))</f>
        <v>84.841515029280913</v>
      </c>
      <c r="C34" s="33">
        <f>B26*C24</f>
        <v>1351.5970333652949</v>
      </c>
      <c r="D34" s="231"/>
    </row>
    <row r="35" spans="1:6">
      <c r="A35" s="169" t="s">
        <v>76</v>
      </c>
      <c r="B35" s="33">
        <f>IF((B19*($B$26-($B$27-0.05*$B$27)-$B$60))&lt;0,0,B19*($B$26-($B$27-0.05*$B$27)-$B$60))</f>
        <v>44.182149635199529</v>
      </c>
      <c r="C35" s="33">
        <f>B35/2</f>
        <v>22.091074817599765</v>
      </c>
      <c r="D35" s="231"/>
    </row>
    <row r="36" spans="1:6">
      <c r="A36" s="169" t="s">
        <v>77</v>
      </c>
      <c r="B36" s="33">
        <f>IF((B18*($B$26-($B$27-0.05*$B$27)-$B$60))&lt;0,0,B18*($B$26-($B$27-0.05*$B$27)-$B$60))</f>
        <v>1524.6196555424451</v>
      </c>
      <c r="C36" s="34" t="s">
        <v>104</v>
      </c>
      <c r="D36" s="172"/>
    </row>
    <row r="37" spans="1:6">
      <c r="A37" s="169" t="s">
        <v>78</v>
      </c>
      <c r="B37" s="33">
        <f>B60</f>
        <v>14</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97</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14</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12675.434520738676</v>
      </c>
      <c r="C5" s="17">
        <f>IF(ISERROR('Eigen informatie GS &amp; warmtenet'!B58),0,'Eigen informatie GS &amp; warmtenet'!B58)</f>
        <v>0</v>
      </c>
      <c r="D5" s="30">
        <f>SUM(D6:D12)</f>
        <v>17819.519875487924</v>
      </c>
      <c r="E5" s="17">
        <f>SUM(E6:E12)</f>
        <v>307.82166809129581</v>
      </c>
      <c r="F5" s="17">
        <f>SUM(F6:F12)</f>
        <v>2370.8445832588245</v>
      </c>
      <c r="G5" s="18"/>
      <c r="H5" s="17"/>
      <c r="I5" s="17"/>
      <c r="J5" s="17">
        <f>SUM(J6:J12)</f>
        <v>0</v>
      </c>
      <c r="K5" s="17"/>
      <c r="L5" s="17"/>
      <c r="M5" s="17"/>
      <c r="N5" s="17">
        <f>SUM(N6:N12)</f>
        <v>305.80800461719934</v>
      </c>
      <c r="O5" s="17">
        <f>B38*B39*B40</f>
        <v>0</v>
      </c>
      <c r="P5" s="17">
        <f>B46*B47*B48/1000-B46*B47*B48/1000/B49</f>
        <v>19.066666666666666</v>
      </c>
      <c r="R5" s="32"/>
    </row>
    <row r="6" spans="1:18">
      <c r="A6" s="32" t="s">
        <v>53</v>
      </c>
      <c r="B6" s="37">
        <f>B26</f>
        <v>2744.4658139665898</v>
      </c>
      <c r="C6" s="33"/>
      <c r="D6" s="37">
        <f>IF(ISERROR(TER_kantoor_gas_kWh/1000),0,TER_kantoor_gas_kWh/1000)*0.902</f>
        <v>2497.3009743015127</v>
      </c>
      <c r="E6" s="33">
        <f>$C$26*'E Balans VL '!I12/100/3.6*1000000</f>
        <v>96.067099521991864</v>
      </c>
      <c r="F6" s="33">
        <f>$C$26*('E Balans VL '!L12+'E Balans VL '!N12)/100/3.6*1000000</f>
        <v>416.11994050096735</v>
      </c>
      <c r="G6" s="34"/>
      <c r="H6" s="33"/>
      <c r="I6" s="33"/>
      <c r="J6" s="33">
        <f>$C$26*('E Balans VL '!D12+'E Balans VL '!E12)/100/3.6*1000000</f>
        <v>0</v>
      </c>
      <c r="K6" s="33"/>
      <c r="L6" s="33"/>
      <c r="M6" s="33"/>
      <c r="N6" s="33">
        <f>$C$26*'E Balans VL '!Y12/100/3.6*1000000</f>
        <v>21.21386174780255</v>
      </c>
      <c r="O6" s="33"/>
      <c r="P6" s="33"/>
      <c r="R6" s="32"/>
    </row>
    <row r="7" spans="1:18">
      <c r="A7" s="32" t="s">
        <v>52</v>
      </c>
      <c r="B7" s="37">
        <f t="shared" ref="B7:B12" si="0">B27</f>
        <v>2459.80496357214</v>
      </c>
      <c r="C7" s="33"/>
      <c r="D7" s="37">
        <f>IF(ISERROR(TER_horeca_gas_kWh/1000),0,TER_horeca_gas_kWh/1000)*0.902</f>
        <v>7477.9720265015694</v>
      </c>
      <c r="E7" s="33">
        <f>$C$27*'E Balans VL '!I9/100/3.6*1000000</f>
        <v>138.76570738587276</v>
      </c>
      <c r="F7" s="33">
        <f>$C$27*('E Balans VL '!L9+'E Balans VL '!N9)/100/3.6*1000000</f>
        <v>428.51163738971451</v>
      </c>
      <c r="G7" s="34"/>
      <c r="H7" s="33"/>
      <c r="I7" s="33"/>
      <c r="J7" s="33">
        <f>$C$27*('E Balans VL '!D9+'E Balans VL '!E9)/100/3.6*1000000</f>
        <v>0</v>
      </c>
      <c r="K7" s="33"/>
      <c r="L7" s="33"/>
      <c r="M7" s="33"/>
      <c r="N7" s="33">
        <f>$C$27*'E Balans VL '!Y9/100/3.6*1000000</f>
        <v>0</v>
      </c>
      <c r="O7" s="33"/>
      <c r="P7" s="33"/>
      <c r="R7" s="32"/>
    </row>
    <row r="8" spans="1:18">
      <c r="A8" s="6" t="s">
        <v>51</v>
      </c>
      <c r="B8" s="37">
        <f t="shared" si="0"/>
        <v>3837.9851839717799</v>
      </c>
      <c r="C8" s="33"/>
      <c r="D8" s="37">
        <f>IF(ISERROR(TER_handel_gas_kWh/1000),0,TER_handel_gas_kWh/1000)*0.902</f>
        <v>2237.5141485105469</v>
      </c>
      <c r="E8" s="33">
        <f>$C$28*'E Balans VL '!I13/100/3.6*1000000</f>
        <v>19.703826000871782</v>
      </c>
      <c r="F8" s="33">
        <f>$C$28*('E Balans VL '!L13+'E Balans VL '!N13)/100/3.6*1000000</f>
        <v>591.75801240964165</v>
      </c>
      <c r="G8" s="34"/>
      <c r="H8" s="33"/>
      <c r="I8" s="33"/>
      <c r="J8" s="33">
        <f>$C$28*('E Balans VL '!D13+'E Balans VL '!E13)/100/3.6*1000000</f>
        <v>0</v>
      </c>
      <c r="K8" s="33"/>
      <c r="L8" s="33"/>
      <c r="M8" s="33"/>
      <c r="N8" s="33">
        <f>$C$28*'E Balans VL '!Y13/100/3.6*1000000</f>
        <v>1.7950725194588115</v>
      </c>
      <c r="O8" s="33"/>
      <c r="P8" s="33"/>
      <c r="R8" s="32"/>
    </row>
    <row r="9" spans="1:18">
      <c r="A9" s="32" t="s">
        <v>50</v>
      </c>
      <c r="B9" s="37">
        <f t="shared" si="0"/>
        <v>214.74945183593098</v>
      </c>
      <c r="C9" s="33"/>
      <c r="D9" s="37">
        <f>IF(ISERROR(TER_gezond_gas_kWh/1000),0,TER_gezond_gas_kWh/1000)*0.902</f>
        <v>1315.3866350709686</v>
      </c>
      <c r="E9" s="33">
        <f>$C$29*'E Balans VL '!I10/100/3.6*1000000</f>
        <v>8.9012118395210449E-2</v>
      </c>
      <c r="F9" s="33">
        <f>$C$29*('E Balans VL '!L10+'E Balans VL '!N10)/100/3.6*1000000</f>
        <v>52.889710069212441</v>
      </c>
      <c r="G9" s="34"/>
      <c r="H9" s="33"/>
      <c r="I9" s="33"/>
      <c r="J9" s="33">
        <f>$C$29*('E Balans VL '!D10+'E Balans VL '!E10)/100/3.6*1000000</f>
        <v>0</v>
      </c>
      <c r="K9" s="33"/>
      <c r="L9" s="33"/>
      <c r="M9" s="33"/>
      <c r="N9" s="33">
        <f>$C$29*'E Balans VL '!Y10/100/3.6*1000000</f>
        <v>1.8559667956247266</v>
      </c>
      <c r="O9" s="33"/>
      <c r="P9" s="33"/>
      <c r="R9" s="32"/>
    </row>
    <row r="10" spans="1:18">
      <c r="A10" s="32" t="s">
        <v>49</v>
      </c>
      <c r="B10" s="37">
        <f t="shared" si="0"/>
        <v>944.47438172086299</v>
      </c>
      <c r="C10" s="33"/>
      <c r="D10" s="37">
        <f>IF(ISERROR(TER_ander_gas_kWh/1000),0,TER_ander_gas_kWh/1000)*0.902</f>
        <v>507.86251782407209</v>
      </c>
      <c r="E10" s="33">
        <f>$C$30*'E Balans VL '!I14/100/3.6*1000000</f>
        <v>5.7575391337010515</v>
      </c>
      <c r="F10" s="33">
        <f>$C$30*('E Balans VL '!L14+'E Balans VL '!N14)/100/3.6*1000000</f>
        <v>250.39309642562841</v>
      </c>
      <c r="G10" s="34"/>
      <c r="H10" s="33"/>
      <c r="I10" s="33"/>
      <c r="J10" s="33">
        <f>$C$30*('E Balans VL '!D14+'E Balans VL '!E14)/100/3.6*1000000</f>
        <v>0</v>
      </c>
      <c r="K10" s="33"/>
      <c r="L10" s="33"/>
      <c r="M10" s="33"/>
      <c r="N10" s="33">
        <f>$C$30*'E Balans VL '!Y14/100/3.6*1000000</f>
        <v>217.68093639742821</v>
      </c>
      <c r="O10" s="33"/>
      <c r="P10" s="33"/>
      <c r="R10" s="32"/>
    </row>
    <row r="11" spans="1:18">
      <c r="A11" s="32" t="s">
        <v>54</v>
      </c>
      <c r="B11" s="37">
        <f t="shared" si="0"/>
        <v>271.72131665837099</v>
      </c>
      <c r="C11" s="33"/>
      <c r="D11" s="37">
        <f>IF(ISERROR(TER_onderwijs_gas_kWh/1000),0,TER_onderwijs_gas_kWh/1000)*0.902</f>
        <v>840.44989232136402</v>
      </c>
      <c r="E11" s="33">
        <f>$C$31*'E Balans VL '!I11/100/3.6*1000000</f>
        <v>0.20706579197210848</v>
      </c>
      <c r="F11" s="33">
        <f>$C$31*('E Balans VL '!L11+'E Balans VL '!N11)/100/3.6*1000000</f>
        <v>196.6324356817301</v>
      </c>
      <c r="G11" s="34"/>
      <c r="H11" s="33"/>
      <c r="I11" s="33"/>
      <c r="J11" s="33">
        <f>$C$31*('E Balans VL '!D11+'E Balans VL '!E11)/100/3.6*1000000</f>
        <v>0</v>
      </c>
      <c r="K11" s="33"/>
      <c r="L11" s="33"/>
      <c r="M11" s="33"/>
      <c r="N11" s="33">
        <f>$C$31*'E Balans VL '!Y11/100/3.6*1000000</f>
        <v>0.80082766040356235</v>
      </c>
      <c r="O11" s="33"/>
      <c r="P11" s="33"/>
      <c r="R11" s="32"/>
    </row>
    <row r="12" spans="1:18">
      <c r="A12" s="32" t="s">
        <v>249</v>
      </c>
      <c r="B12" s="37">
        <f t="shared" si="0"/>
        <v>2202.2334090129998</v>
      </c>
      <c r="C12" s="33"/>
      <c r="D12" s="37">
        <f>IF(ISERROR(TER_rest_gas_kWh/1000),0,TER_rest_gas_kWh/1000)*0.902</f>
        <v>2943.033680957893</v>
      </c>
      <c r="E12" s="33">
        <f>$C$32*'E Balans VL '!I8/100/3.6*1000000</f>
        <v>47.231418138491037</v>
      </c>
      <c r="F12" s="33">
        <f>$C$32*('E Balans VL '!L8+'E Balans VL '!N8)/100/3.6*1000000</f>
        <v>434.53975078192991</v>
      </c>
      <c r="G12" s="34"/>
      <c r="H12" s="33"/>
      <c r="I12" s="33"/>
      <c r="J12" s="33">
        <f>$C$32*('E Balans VL '!D8+'E Balans VL '!E8)/100/3.6*1000000</f>
        <v>0</v>
      </c>
      <c r="K12" s="33"/>
      <c r="L12" s="33"/>
      <c r="M12" s="33"/>
      <c r="N12" s="33">
        <f>$C$32*'E Balans VL '!Y8/100/3.6*1000000</f>
        <v>62.461339496481465</v>
      </c>
      <c r="O12" s="33"/>
      <c r="P12" s="33"/>
      <c r="R12" s="32"/>
    </row>
    <row r="13" spans="1:18">
      <c r="A13" s="16" t="s">
        <v>483</v>
      </c>
      <c r="B13" s="244">
        <f ca="1">'lokale energieproductie'!N39+'lokale energieproductie'!N32</f>
        <v>0</v>
      </c>
      <c r="C13" s="244">
        <f ca="1">'lokale energieproductie'!O39+'lokale energieproductie'!O32</f>
        <v>0</v>
      </c>
      <c r="D13" s="304">
        <f ca="1">('lokale energieproductie'!P32+'lokale energieproductie'!P39)*(-1)</f>
        <v>0</v>
      </c>
      <c r="E13" s="245"/>
      <c r="F13" s="304">
        <f ca="1">('lokale energieproductie'!S32+'lokale energieproductie'!S39)*(-1)</f>
        <v>0</v>
      </c>
      <c r="G13" s="246"/>
      <c r="H13" s="245"/>
      <c r="I13" s="245"/>
      <c r="J13" s="245"/>
      <c r="K13" s="245"/>
      <c r="L13" s="304">
        <f ca="1">('lokale energieproductie'!U32+'lokale energieproductie'!T32+'lokale energieproductie'!U39+'lokale energieproductie'!T39)*(-1)</f>
        <v>0</v>
      </c>
      <c r="M13" s="245"/>
      <c r="N13" s="304">
        <f ca="1">('lokale energieproductie'!Q32+'lokale energieproductie'!R32+'lokale energieproductie'!V32+'lokale energieproductie'!Q39+'lokale energieproductie'!R39+'lokale energieproductie'!V39)*(-1)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12675.434520738676</v>
      </c>
      <c r="C16" s="21">
        <f ca="1">C5+C13+C14</f>
        <v>0</v>
      </c>
      <c r="D16" s="21">
        <f t="shared" ref="D16:N16" ca="1" si="1">MAX((D5+D13+D14),0)</f>
        <v>17819.519875487924</v>
      </c>
      <c r="E16" s="21">
        <f t="shared" si="1"/>
        <v>307.82166809129581</v>
      </c>
      <c r="F16" s="21">
        <f t="shared" ca="1" si="1"/>
        <v>2370.8445832588245</v>
      </c>
      <c r="G16" s="21">
        <f t="shared" si="1"/>
        <v>0</v>
      </c>
      <c r="H16" s="21">
        <f t="shared" si="1"/>
        <v>0</v>
      </c>
      <c r="I16" s="21">
        <f t="shared" si="1"/>
        <v>0</v>
      </c>
      <c r="J16" s="21">
        <f t="shared" si="1"/>
        <v>0</v>
      </c>
      <c r="K16" s="21">
        <f t="shared" si="1"/>
        <v>0</v>
      </c>
      <c r="L16" s="21">
        <f t="shared" ca="1" si="1"/>
        <v>0</v>
      </c>
      <c r="M16" s="21">
        <f t="shared" si="1"/>
        <v>0</v>
      </c>
      <c r="N16" s="21">
        <f t="shared" ca="1" si="1"/>
        <v>305.80800461719934</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0.21900930465458118</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2776.0381005816521</v>
      </c>
      <c r="C20" s="23">
        <f t="shared" ref="C20:P20" ca="1" si="2">C16*C18</f>
        <v>0</v>
      </c>
      <c r="D20" s="23">
        <f t="shared" ca="1" si="2"/>
        <v>3599.5430148485607</v>
      </c>
      <c r="E20" s="23">
        <f t="shared" si="2"/>
        <v>69.875518656724154</v>
      </c>
      <c r="F20" s="23">
        <f t="shared" ca="1" si="2"/>
        <v>633.01550373010616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2744.4658139665898</v>
      </c>
      <c r="C26" s="39">
        <f>IF(ISERROR(B26*3.6/1000000/'E Balans VL '!Z12*100),0,B26*3.6/1000000/'E Balans VL '!Z12*100)</f>
        <v>5.7752731700965822E-2</v>
      </c>
      <c r="D26" s="234" t="s">
        <v>700</v>
      </c>
      <c r="F26" s="6"/>
    </row>
    <row r="27" spans="1:18">
      <c r="A27" s="229" t="s">
        <v>52</v>
      </c>
      <c r="B27" s="33">
        <f>IF(ISERROR(TER_horeca_ele_kWh/1000),0,TER_horeca_ele_kWh/1000)</f>
        <v>2459.80496357214</v>
      </c>
      <c r="C27" s="39">
        <f>IF(ISERROR(B27*3.6/1000000/'E Balans VL '!Z9*100),0,B27*3.6/1000000/'E Balans VL '!Z9*100)</f>
        <v>0.20826477427771478</v>
      </c>
      <c r="D27" s="234" t="s">
        <v>700</v>
      </c>
      <c r="F27" s="6"/>
    </row>
    <row r="28" spans="1:18">
      <c r="A28" s="169" t="s">
        <v>51</v>
      </c>
      <c r="B28" s="33">
        <f>IF(ISERROR(TER_handel_ele_kWh/1000),0,TER_handel_ele_kWh/1000)</f>
        <v>3837.9851839717799</v>
      </c>
      <c r="C28" s="39">
        <f>IF(ISERROR(B28*3.6/1000000/'E Balans VL '!Z13*100),0,B28*3.6/1000000/'E Balans VL '!Z13*100)</f>
        <v>0.10625408910533005</v>
      </c>
      <c r="D28" s="234" t="s">
        <v>700</v>
      </c>
      <c r="F28" s="6"/>
    </row>
    <row r="29" spans="1:18">
      <c r="A29" s="229" t="s">
        <v>50</v>
      </c>
      <c r="B29" s="33">
        <f>IF(ISERROR(TER_gezond_ele_kWh/1000),0,TER_gezond_ele_kWh/1000)</f>
        <v>214.74945183593098</v>
      </c>
      <c r="C29" s="39">
        <f>IF(ISERROR(B29*3.6/1000000/'E Balans VL '!Z10*100),0,B29*3.6/1000000/'E Balans VL '!Z10*100)</f>
        <v>2.7915047963423509E-2</v>
      </c>
      <c r="D29" s="234" t="s">
        <v>700</v>
      </c>
      <c r="F29" s="6"/>
    </row>
    <row r="30" spans="1:18">
      <c r="A30" s="229" t="s">
        <v>49</v>
      </c>
      <c r="B30" s="33">
        <f>IF(ISERROR(TER_ander_ele_kWh/1000),0,TER_ander_ele_kWh/1000)</f>
        <v>944.47438172086299</v>
      </c>
      <c r="C30" s="39">
        <f>IF(ISERROR(B30*3.6/1000000/'E Balans VL '!Z14*100),0,B30*3.6/1000000/'E Balans VL '!Z14*100)</f>
        <v>7.3205426075107438E-2</v>
      </c>
      <c r="D30" s="234" t="s">
        <v>700</v>
      </c>
      <c r="F30" s="6"/>
    </row>
    <row r="31" spans="1:18">
      <c r="A31" s="229" t="s">
        <v>54</v>
      </c>
      <c r="B31" s="33">
        <f>IF(ISERROR(TER_onderwijs_ele_kWh/1000),0,TER_onderwijs_ele_kWh/1000)</f>
        <v>271.72131665837099</v>
      </c>
      <c r="C31" s="39">
        <f>IF(ISERROR(B31*3.6/1000000/'E Balans VL '!Z11*100),0,B31*3.6/1000000/'E Balans VL '!Z11*100)</f>
        <v>5.1984917910000802E-2</v>
      </c>
      <c r="D31" s="234" t="s">
        <v>700</v>
      </c>
    </row>
    <row r="32" spans="1:18">
      <c r="A32" s="229" t="s">
        <v>249</v>
      </c>
      <c r="B32" s="33">
        <f>IF(ISERROR(TER_rest_ele_kWh/1000),0,TER_rest_ele_kWh/1000)</f>
        <v>2202.2334090129998</v>
      </c>
      <c r="C32" s="39">
        <f>IF(ISERROR(B32*3.6/1000000/'E Balans VL '!Z8*100),0,B32*3.6/1000000/'E Balans VL '!Z8*100)</f>
        <v>1.8159105586620861E-2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1</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246628.8536518155</v>
      </c>
      <c r="C5" s="17">
        <f>IF(ISERROR('Eigen informatie GS &amp; warmtenet'!B59),0,'Eigen informatie GS &amp; warmtenet'!B59)</f>
        <v>0</v>
      </c>
      <c r="D5" s="30">
        <f>SUM(D6:D15)</f>
        <v>439998.34545973211</v>
      </c>
      <c r="E5" s="17">
        <f>SUM(E6:E15)</f>
        <v>1290.5797212364007</v>
      </c>
      <c r="F5" s="17">
        <f>SUM(F6:F15)</f>
        <v>42903.887155247445</v>
      </c>
      <c r="G5" s="18"/>
      <c r="H5" s="17"/>
      <c r="I5" s="17"/>
      <c r="J5" s="17">
        <f>SUM(J6:J15)</f>
        <v>17763.839519209698</v>
      </c>
      <c r="K5" s="17"/>
      <c r="L5" s="17"/>
      <c r="M5" s="17"/>
      <c r="N5" s="17">
        <f>SUM(N6:N15)</f>
        <v>1184.8619666555041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92729.945265802991</v>
      </c>
      <c r="C7" s="33"/>
      <c r="D7" s="37">
        <f>IF( ISERROR(IND_nonf_gas_kWhh/1000),0,IND_nonf_gas_kWh/1000)*0.902</f>
        <v>0</v>
      </c>
      <c r="E7" s="33">
        <f>C29*'E Balans VL '!I17/100/3.6*1000000</f>
        <v>78.128217164228786</v>
      </c>
      <c r="F7" s="33">
        <f>C29*'E Balans VL '!L17/100/3.6*1000000+C29*'E Balans VL '!N17/100/3.6*1000000</f>
        <v>32072.500870428703</v>
      </c>
      <c r="G7" s="34"/>
      <c r="H7" s="33"/>
      <c r="I7" s="33"/>
      <c r="J7" s="40">
        <f>C29*'E Balans VL '!D17/100/3.6*1000000+C29*'E Balans VL '!E17/100/3.6*1000000</f>
        <v>17409.648430659541</v>
      </c>
      <c r="K7" s="33"/>
      <c r="L7" s="33"/>
      <c r="M7" s="33"/>
      <c r="N7" s="33">
        <f>C29*'E Balans VL '!Y17/100/3.6*1000000</f>
        <v>0</v>
      </c>
      <c r="O7" s="33"/>
      <c r="P7" s="33"/>
      <c r="R7" s="32"/>
    </row>
    <row r="8" spans="1:18">
      <c r="A8" s="6" t="s">
        <v>35</v>
      </c>
      <c r="B8" s="37">
        <f t="shared" si="0"/>
        <v>586.115737944442</v>
      </c>
      <c r="C8" s="33"/>
      <c r="D8" s="37">
        <f>IF( ISERROR(IND_metaal_Gas_kWH/1000),0,IND_metaal_Gas_kWH/1000)*0.902</f>
        <v>0</v>
      </c>
      <c r="E8" s="33">
        <f>C30*'E Balans VL '!I18/100/3.6*1000000</f>
        <v>4.1185059699640307</v>
      </c>
      <c r="F8" s="33">
        <f>C30*'E Balans VL '!L18/100/3.6*1000000+C30*'E Balans VL '!N18/100/3.6*1000000</f>
        <v>64.352078911710024</v>
      </c>
      <c r="G8" s="34"/>
      <c r="H8" s="33"/>
      <c r="I8" s="33"/>
      <c r="J8" s="40">
        <f>C30*'E Balans VL '!D18/100/3.6*1000000+C30*'E Balans VL '!E18/100/3.6*1000000</f>
        <v>12.092830982833084</v>
      </c>
      <c r="K8" s="33"/>
      <c r="L8" s="33"/>
      <c r="M8" s="33"/>
      <c r="N8" s="33">
        <f>C30*'E Balans VL '!Y18/100/3.6*1000000</f>
        <v>2.1968039978259375</v>
      </c>
      <c r="O8" s="33"/>
      <c r="P8" s="33"/>
      <c r="R8" s="32"/>
    </row>
    <row r="9" spans="1:18">
      <c r="A9" s="6" t="s">
        <v>32</v>
      </c>
      <c r="B9" s="37">
        <f t="shared" si="0"/>
        <v>1693.5485092901699</v>
      </c>
      <c r="C9" s="33"/>
      <c r="D9" s="37">
        <f>IF( ISERROR(IND_andere_gas_kWh/1000),0,IND_andere_gas_kWh/1000)*0.902</f>
        <v>1046.9659363762287</v>
      </c>
      <c r="E9" s="33">
        <f>C31*'E Balans VL '!I19/100/3.6*1000000</f>
        <v>28.445221876692596</v>
      </c>
      <c r="F9" s="33">
        <f>C31*'E Balans VL '!L19/100/3.6*1000000+C31*'E Balans VL '!N19/100/3.6*1000000</f>
        <v>1323.9197672422001</v>
      </c>
      <c r="G9" s="34"/>
      <c r="H9" s="33"/>
      <c r="I9" s="33"/>
      <c r="J9" s="40">
        <f>C31*'E Balans VL '!D19/100/3.6*1000000+C31*'E Balans VL '!E19/100/3.6*1000000</f>
        <v>0.1527431259334118</v>
      </c>
      <c r="K9" s="33"/>
      <c r="L9" s="33"/>
      <c r="M9" s="33"/>
      <c r="N9" s="33">
        <f>C31*'E Balans VL '!Y19/100/3.6*1000000</f>
        <v>125.51911513220831</v>
      </c>
      <c r="O9" s="33"/>
      <c r="P9" s="33"/>
      <c r="R9" s="32"/>
    </row>
    <row r="10" spans="1:18">
      <c r="A10" s="6" t="s">
        <v>40</v>
      </c>
      <c r="B10" s="37">
        <f t="shared" si="0"/>
        <v>8630.8478494892006</v>
      </c>
      <c r="C10" s="33"/>
      <c r="D10" s="37">
        <f>IF( ISERROR(IND_voed_gas_kWh/1000),0,IND_voed_gas_kWh/1000)*0.902</f>
        <v>456.08514082988626</v>
      </c>
      <c r="E10" s="33">
        <f>C32*'E Balans VL '!I20/100/3.6*1000000</f>
        <v>78.744269230088022</v>
      </c>
      <c r="F10" s="33">
        <f>C32*'E Balans VL '!L20/100/3.6*1000000+C32*'E Balans VL '!N20/100/3.6*1000000</f>
        <v>1392.425715244899</v>
      </c>
      <c r="G10" s="34"/>
      <c r="H10" s="33"/>
      <c r="I10" s="33"/>
      <c r="J10" s="40">
        <f>C32*'E Balans VL '!D20/100/3.6*1000000+C32*'E Balans VL '!E20/100/3.6*1000000</f>
        <v>35.54749010195443</v>
      </c>
      <c r="K10" s="33"/>
      <c r="L10" s="33"/>
      <c r="M10" s="33"/>
      <c r="N10" s="33">
        <f>C32*'E Balans VL '!Y20/100/3.6*1000000</f>
        <v>126.26249842349083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21605.7523130062</v>
      </c>
      <c r="C12" s="33"/>
      <c r="D12" s="37">
        <f>IF( ISERROR(IND_min_gas_kWh/1000),0,IND_min_gas_kWh/1000)*0.902</f>
        <v>268528.66554678016</v>
      </c>
      <c r="E12" s="33">
        <f>C34*'E Balans VL '!I22/100/3.6*1000000</f>
        <v>535.89289870722621</v>
      </c>
      <c r="F12" s="33">
        <f>C34*'E Balans VL '!L22/100/3.6*1000000+C34*'E Balans VL '!N22/100/3.6*1000000</f>
        <v>2295.8180582545065</v>
      </c>
      <c r="G12" s="34"/>
      <c r="H12" s="33"/>
      <c r="I12" s="33"/>
      <c r="J12" s="40">
        <f>C34*'E Balans VL '!D22/100/3.6*1000000+C34*'E Balans VL '!E22/100/3.6*1000000</f>
        <v>122.73335057668142</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94105.78875130009</v>
      </c>
      <c r="C14" s="33"/>
      <c r="D14" s="37">
        <f>IF( ISERROR(IND_chemie_gas_kWh/1000),0,IND_chemie_gas_kWh/1000)*0.902</f>
        <v>132311.51256243212</v>
      </c>
      <c r="E14" s="33">
        <f>C36*'E Balans VL '!I24/100/3.6*1000000</f>
        <v>319.08344079999137</v>
      </c>
      <c r="F14" s="33">
        <f>C36*'E Balans VL '!L24/100/3.6*1000000+C36*'E Balans VL '!N24/100/3.6*1000000</f>
        <v>302.00827662644326</v>
      </c>
      <c r="G14" s="34"/>
      <c r="H14" s="33"/>
      <c r="I14" s="33"/>
      <c r="J14" s="40">
        <f>C36*'E Balans VL '!D24/100/3.6*1000000+C36*'E Balans VL '!E24/100/3.6*1000000</f>
        <v>0</v>
      </c>
      <c r="K14" s="33"/>
      <c r="L14" s="33"/>
      <c r="M14" s="33"/>
      <c r="N14" s="33">
        <f>C36*'E Balans VL '!Y24/100/3.6*1000000</f>
        <v>440.01316507855802</v>
      </c>
      <c r="O14" s="33"/>
      <c r="P14" s="33"/>
      <c r="R14" s="32"/>
    </row>
    <row r="15" spans="1:18">
      <c r="A15" s="6" t="s">
        <v>259</v>
      </c>
      <c r="B15" s="37">
        <f t="shared" si="0"/>
        <v>27276.855224982399</v>
      </c>
      <c r="C15" s="33"/>
      <c r="D15" s="37">
        <f>IF( ISERROR(IND_rest_gas_kWh/1000),0,IND_rest_gas_kWh/1000)*0.902</f>
        <v>37655.116273313739</v>
      </c>
      <c r="E15" s="33">
        <f>C37*'E Balans VL '!I15/100/3.6*1000000</f>
        <v>246.16716748820977</v>
      </c>
      <c r="F15" s="33">
        <f>C37*'E Balans VL '!L15/100/3.6*1000000+C37*'E Balans VL '!N15/100/3.6*1000000</f>
        <v>5452.8623885389716</v>
      </c>
      <c r="G15" s="34"/>
      <c r="H15" s="33"/>
      <c r="I15" s="33"/>
      <c r="J15" s="40">
        <f>C37*'E Balans VL '!D15/100/3.6*1000000+C37*'E Balans VL '!E15/100/3.6*1000000</f>
        <v>183.66467376275344</v>
      </c>
      <c r="K15" s="33"/>
      <c r="L15" s="33"/>
      <c r="M15" s="33"/>
      <c r="N15" s="33">
        <f>C37*'E Balans VL '!Y15/100/3.6*1000000</f>
        <v>490.87038402342114</v>
      </c>
      <c r="O15" s="33"/>
      <c r="P15" s="33"/>
      <c r="R15" s="32"/>
    </row>
    <row r="16" spans="1:18">
      <c r="A16" s="16" t="s">
        <v>483</v>
      </c>
      <c r="B16" s="244">
        <f>'lokale energieproductie'!N38+'lokale energieproductie'!N31</f>
        <v>0</v>
      </c>
      <c r="C16" s="244">
        <f>'lokale energieproductie'!O38+'lokale energieproductie'!O31</f>
        <v>0</v>
      </c>
      <c r="D16" s="304">
        <f>('lokale energieproductie'!P31+'lokale energieproductie'!P38)*(-1)</f>
        <v>0</v>
      </c>
      <c r="E16" s="245"/>
      <c r="F16" s="304">
        <f>('lokale energieproductie'!S31+'lokale energieproductie'!S38)*(-1)</f>
        <v>0</v>
      </c>
      <c r="G16" s="246"/>
      <c r="H16" s="245"/>
      <c r="I16" s="245"/>
      <c r="J16" s="245"/>
      <c r="K16" s="245"/>
      <c r="L16" s="304">
        <f>('lokale energieproductie'!T31+'lokale energieproductie'!U31+'lokale energieproductie'!T38+'lokale energieproductie'!U38)*(-1)</f>
        <v>0</v>
      </c>
      <c r="M16" s="245"/>
      <c r="N16" s="304">
        <f>('lokale energieproductie'!Q31+'lokale energieproductie'!R31+'lokale energieproductie'!V31+'lokale energieproductie'!Q38+'lokale energieproductie'!R38+'lokale energieproductie'!V38)*(-1)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246628.8536518155</v>
      </c>
      <c r="C18" s="21">
        <f>C5+C16</f>
        <v>0</v>
      </c>
      <c r="D18" s="21">
        <f>MAX((D5+D16),0)</f>
        <v>439998.34545973211</v>
      </c>
      <c r="E18" s="21">
        <f>MAX((E5+E16),0)</f>
        <v>1290.5797212364007</v>
      </c>
      <c r="F18" s="21">
        <f>MAX((F5+F16),0)</f>
        <v>42903.887155247445</v>
      </c>
      <c r="G18" s="21"/>
      <c r="H18" s="21"/>
      <c r="I18" s="21"/>
      <c r="J18" s="21">
        <f>MAX((J5+J16),0)</f>
        <v>17763.839519209698</v>
      </c>
      <c r="K18" s="21"/>
      <c r="L18" s="21">
        <f>MAX((L5+L16),0)</f>
        <v>0</v>
      </c>
      <c r="M18" s="21"/>
      <c r="N18" s="21">
        <f>MAX((N5+N16),0)</f>
        <v>1184.8619666555041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0.21900930465458118</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54014.013746040575</v>
      </c>
      <c r="C22" s="23">
        <f ca="1">C18*C20</f>
        <v>0</v>
      </c>
      <c r="D22" s="23">
        <f>D18*D20</f>
        <v>88879.665782865894</v>
      </c>
      <c r="E22" s="23">
        <f>E18*E20</f>
        <v>292.96159672066295</v>
      </c>
      <c r="F22" s="23">
        <f>F18*F20</f>
        <v>11455.337870451069</v>
      </c>
      <c r="G22" s="23"/>
      <c r="H22" s="23"/>
      <c r="I22" s="23"/>
      <c r="J22" s="23">
        <f>J18*J20</f>
        <v>6288.3991898002323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92729.945265802991</v>
      </c>
      <c r="C29" s="39">
        <f>IF(ISERROR(B29*3.6/1000000/'E Balans VL '!Z17*100),0,B29*3.6/1000000/'E Balans VL '!Z17*100)</f>
        <v>39.500513713920746</v>
      </c>
      <c r="D29" s="234" t="s">
        <v>700</v>
      </c>
    </row>
    <row r="30" spans="1:18">
      <c r="A30" s="169" t="s">
        <v>35</v>
      </c>
      <c r="B30" s="37">
        <f>IF( ISERROR(IND_metaal_ele_kWh/1000),0,IND_metaal_ele_kWh/1000)</f>
        <v>586.115737944442</v>
      </c>
      <c r="C30" s="39">
        <f>IF(ISERROR(B30*3.6/1000000/'E Balans VL '!Z18*100),0,B30*3.6/1000000/'E Balans VL '!Z18*100)</f>
        <v>3.9018082587223502E-2</v>
      </c>
      <c r="D30" s="234" t="s">
        <v>700</v>
      </c>
    </row>
    <row r="31" spans="1:18">
      <c r="A31" s="6" t="s">
        <v>32</v>
      </c>
      <c r="B31" s="37">
        <f>IF( ISERROR(IND_ander_ele_kWh/1000),0,IND_ander_ele_kWh/1000)</f>
        <v>1693.5485092901699</v>
      </c>
      <c r="C31" s="39">
        <f>IF(ISERROR(B31*3.6/1000000/'E Balans VL '!Z19*100),0,B31*3.6/1000000/'E Balans VL '!Z19*100)</f>
        <v>7.5068293974099989E-2</v>
      </c>
      <c r="D31" s="234" t="s">
        <v>700</v>
      </c>
    </row>
    <row r="32" spans="1:18">
      <c r="A32" s="169" t="s">
        <v>40</v>
      </c>
      <c r="B32" s="37">
        <f>IF( ISERROR(IND_voed_ele_kWh/1000),0,IND_voed_ele_kWh/1000)</f>
        <v>8630.8478494892006</v>
      </c>
      <c r="C32" s="39">
        <f>IF(ISERROR(B32*3.6/1000000/'E Balans VL '!Z20*100),0,B32*3.6/1000000/'E Balans VL '!Z20*100)</f>
        <v>0.28829507687101769</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21605.7523130062</v>
      </c>
      <c r="C34" s="39">
        <f>IF(ISERROR(B34*3.6/1000000/'E Balans VL '!Z22*100),0,B34*3.6/1000000/'E Balans VL '!Z22*100)</f>
        <v>4.2020814991809559</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94105.78875130009</v>
      </c>
      <c r="C36" s="39">
        <f>IF(ISERROR(B36*3.6/1000000/'E Balans VL '!Z24*100),0,B36*3.6/1000000/'E Balans VL '!Z24*100)</f>
        <v>2.209857384260828</v>
      </c>
      <c r="D36" s="234" t="s">
        <v>700</v>
      </c>
    </row>
    <row r="37" spans="1:5">
      <c r="A37" s="169" t="s">
        <v>259</v>
      </c>
      <c r="B37" s="37">
        <f>IF( ISERROR(IND_rest_ele_kWh/1000),0,IND_rest_ele_kWh/1000)</f>
        <v>27276.855224982399</v>
      </c>
      <c r="C37" s="39">
        <f>IF(ISERROR(B37*3.6/1000000/'E Balans VL '!Z15*100),0,B37*3.6/1000000/'E Balans VL '!Z15*100)</f>
        <v>0.20289536507553185</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1596.470888878913</v>
      </c>
      <c r="C5" s="17">
        <f>'Eigen informatie GS &amp; warmtenet'!B60</f>
        <v>0</v>
      </c>
      <c r="D5" s="30">
        <f>IF(ISERROR(SUM(LB_lb_gas_kWh,LB_rest_gas_kWh)/1000),0,SUM(LB_lb_gas_kWh,LB_rest_gas_kWh)/1000)*0.902</f>
        <v>53760.90454337393</v>
      </c>
      <c r="E5" s="17">
        <f>B17*'E Balans VL '!I25/3.6*1000000/100</f>
        <v>16.71858877019304</v>
      </c>
      <c r="F5" s="17">
        <f>B17*('E Balans VL '!L25/3.6*1000000+'E Balans VL '!N25/3.6*1000000)/100</f>
        <v>6834.1084646484051</v>
      </c>
      <c r="G5" s="18"/>
      <c r="H5" s="17"/>
      <c r="I5" s="17"/>
      <c r="J5" s="17">
        <f>('E Balans VL '!D25+'E Balans VL '!E25)/3.6*1000000*landbouw!B17/100</f>
        <v>142.57915978957766</v>
      </c>
      <c r="K5" s="17"/>
      <c r="L5" s="17">
        <f>L6*(-1)</f>
        <v>0</v>
      </c>
      <c r="M5" s="17"/>
      <c r="N5" s="17">
        <f>N6*(-1)</f>
        <v>0</v>
      </c>
      <c r="O5" s="17"/>
      <c r="P5" s="17"/>
      <c r="R5" s="32"/>
    </row>
    <row r="6" spans="1:18">
      <c r="A6" s="16" t="s">
        <v>483</v>
      </c>
      <c r="B6" s="17" t="s">
        <v>204</v>
      </c>
      <c r="C6" s="17">
        <f>'lokale energieproductie'!O40+'lokale energieproductie'!O33</f>
        <v>27700.714285714286</v>
      </c>
      <c r="D6" s="304">
        <f>('lokale energieproductie'!P33+'lokale energieproductie'!P40)*(-1)</f>
        <v>-55401.428571428572</v>
      </c>
      <c r="E6" s="245"/>
      <c r="F6" s="304">
        <f>('lokale energieproductie'!S33+'lokale energieproductie'!S40)*(-1)</f>
        <v>0</v>
      </c>
      <c r="G6" s="246"/>
      <c r="H6" s="245"/>
      <c r="I6" s="245"/>
      <c r="J6" s="245"/>
      <c r="K6" s="245"/>
      <c r="L6" s="304">
        <f>('lokale energieproductie'!T33+'lokale energieproductie'!U33+'lokale energieproductie'!T40+'lokale energieproductie'!U40)*(-1)</f>
        <v>0</v>
      </c>
      <c r="M6" s="245"/>
      <c r="N6" s="304">
        <f>('lokale energieproductie'!V33+'lokale energieproductie'!R33+'lokale energieproductie'!Q33+'lokale energieproductie'!Q40+'lokale energieproductie'!R40+'lokale energieproductie'!V40)*(-1)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1596.470888878913</v>
      </c>
      <c r="C8" s="21">
        <f>C5+C6</f>
        <v>27700.714285714286</v>
      </c>
      <c r="D8" s="21">
        <f>MAX((D5+D6),0)</f>
        <v>0</v>
      </c>
      <c r="E8" s="21">
        <f>MAX((E5+E6),0)</f>
        <v>16.71858877019304</v>
      </c>
      <c r="F8" s="21">
        <f>MAX((F5+F6),0)</f>
        <v>6834.1084646484051</v>
      </c>
      <c r="G8" s="21"/>
      <c r="H8" s="21"/>
      <c r="I8" s="21"/>
      <c r="J8" s="21">
        <f>MAX((J5+J6),0)</f>
        <v>142.57915978957766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0.21900930465458118</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349.64197927465187</v>
      </c>
      <c r="C12" s="23">
        <f ca="1">C8*C10</f>
        <v>6582.993277310924</v>
      </c>
      <c r="D12" s="23">
        <f>D8*D10</f>
        <v>0</v>
      </c>
      <c r="E12" s="23">
        <f>E8*E10</f>
        <v>3.7951196508338203</v>
      </c>
      <c r="F12" s="23">
        <f>F8*F10</f>
        <v>1824.7069600611242</v>
      </c>
      <c r="G12" s="23"/>
      <c r="H12" s="23"/>
      <c r="I12" s="23"/>
      <c r="J12" s="23">
        <f>J8*J10</f>
        <v>50.47302256551049</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0.24572768738166129</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169.80811965621373</v>
      </c>
      <c r="C26" s="244">
        <f>B26*'GWP N2O_CH4'!B5</f>
        <v>3565.9705127804882</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50.61916392639187</v>
      </c>
      <c r="C27" s="244">
        <f>B27*'GWP N2O_CH4'!B5</f>
        <v>1063.0024424542294</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5.3390985390141905</v>
      </c>
      <c r="C28" s="244">
        <f>B28*'GWP N2O_CH4'!B4</f>
        <v>1655.1205470943992</v>
      </c>
      <c r="D28" s="50"/>
    </row>
    <row r="29" spans="1:4">
      <c r="A29" s="41" t="s">
        <v>266</v>
      </c>
      <c r="B29" s="244">
        <f>B34*'ha_N2O bodem landbouw'!B4</f>
        <v>13.207687553007368</v>
      </c>
      <c r="C29" s="244">
        <f>B29*'GWP N2O_CH4'!B4</f>
        <v>4094.383141432284</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2.1827438338973574E-3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2.641164975761369E-6</v>
      </c>
      <c r="C5" s="433" t="s">
        <v>204</v>
      </c>
      <c r="D5" s="418">
        <f>SUM(D6:D11)</f>
        <v>8.8369324858382874E-6</v>
      </c>
      <c r="E5" s="418">
        <f>SUM(E6:E11)</f>
        <v>9.0964134997264558E-4</v>
      </c>
      <c r="F5" s="431" t="s">
        <v>204</v>
      </c>
      <c r="G5" s="418">
        <f>SUM(G6:G11)</f>
        <v>0.16498523519725838</v>
      </c>
      <c r="H5" s="418">
        <f>SUM(H6:H11)</f>
        <v>2.9080209438690694E-2</v>
      </c>
      <c r="I5" s="433" t="s">
        <v>204</v>
      </c>
      <c r="J5" s="433" t="s">
        <v>204</v>
      </c>
      <c r="K5" s="433" t="s">
        <v>204</v>
      </c>
      <c r="L5" s="433" t="s">
        <v>204</v>
      </c>
      <c r="M5" s="418">
        <f>SUM(M6:M11)</f>
        <v>8.445846627817475E-3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2.1855207987490578E-6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6.9198417907908378E-6</v>
      </c>
      <c r="E6" s="421">
        <f>vkm_GW_PW*SUMIFS(TableVerdeelsleutelVkm[LPG],TableVerdeelsleutelVkm[Voertuigtype],"Lichte voertuigen")*SUMIFS(TableECFTransport[EnergieConsumptieFactor (PJ per km)],TableECFTransport[Index],CONCATENATE($A6,"_LPG_LPG"))</f>
        <v>7.211076869770149E-4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9.6051723672047992E-2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2.3042601108524866E-2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5.1983666312420754E-3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9.7283539858725583E-8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4.3853198128113988E-2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1.1873245201739226E-6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1.8892140111778249E-3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3.5627348093743484E-7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1.91709069504745E-6</v>
      </c>
      <c r="E8" s="421">
        <f>vkm_NGW_PW*SUMIFS(TableVerdeelsleutelVkm[LPG],TableVerdeelsleutelVkm[Voertuigtype],"Lichte voertuigen")*SUMIFS(TableECFTransport[EnergieConsumptieFactor (PJ per km)],TableECFTransport[Index],CONCATENATE($A8,"_LPG_LPG"))</f>
        <v>1.8853366299563071E-4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2.377709897298683E-2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6.036390258735853E-3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1.3021231749244283E-3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2.087156216151013E-9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1.3032144241095758E-3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3.0746909798929183E-8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5.6142810473147944E-5</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0.73365693771149143</v>
      </c>
      <c r="C14" s="21"/>
      <c r="D14" s="21">
        <f t="shared" ref="D14:M14" si="0">((D5)*10^9/3600)+D12</f>
        <v>2.4547034682884132</v>
      </c>
      <c r="E14" s="21">
        <f t="shared" si="0"/>
        <v>252.67815277017931</v>
      </c>
      <c r="F14" s="21"/>
      <c r="G14" s="21">
        <f t="shared" si="0"/>
        <v>45829.231999238436</v>
      </c>
      <c r="H14" s="21">
        <f t="shared" si="0"/>
        <v>8077.8359551918602</v>
      </c>
      <c r="I14" s="21"/>
      <c r="J14" s="21"/>
      <c r="K14" s="21"/>
      <c r="L14" s="21"/>
      <c r="M14" s="21">
        <f t="shared" si="0"/>
        <v>2346.0685077270764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0.21900930465458118</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0.16067769578320312</v>
      </c>
      <c r="C18" s="23"/>
      <c r="D18" s="23">
        <f t="shared" ref="D18:M18" si="1">D14*D16</f>
        <v>0.49585010059425949</v>
      </c>
      <c r="E18" s="23">
        <f t="shared" si="1"/>
        <v>57.357940678830708</v>
      </c>
      <c r="F18" s="23"/>
      <c r="G18" s="23">
        <f t="shared" si="1"/>
        <v>12236.404943796662</v>
      </c>
      <c r="H18" s="23">
        <f t="shared" si="1"/>
        <v>2011.3811528427732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4.7660801685212628E-5</v>
      </c>
      <c r="C50" s="315">
        <f t="shared" ref="C50:P50" si="2">SUM(C51:C52)</f>
        <v>0</v>
      </c>
      <c r="D50" s="315">
        <f t="shared" si="2"/>
        <v>0</v>
      </c>
      <c r="E50" s="315">
        <f t="shared" si="2"/>
        <v>0</v>
      </c>
      <c r="F50" s="315">
        <f t="shared" si="2"/>
        <v>0</v>
      </c>
      <c r="G50" s="315">
        <f t="shared" si="2"/>
        <v>1.0339532417908911E-2</v>
      </c>
      <c r="H50" s="315">
        <f t="shared" si="2"/>
        <v>0</v>
      </c>
      <c r="I50" s="315">
        <f t="shared" si="2"/>
        <v>0</v>
      </c>
      <c r="J50" s="315">
        <f t="shared" si="2"/>
        <v>0</v>
      </c>
      <c r="K50" s="315">
        <f t="shared" si="2"/>
        <v>0</v>
      </c>
      <c r="L50" s="315">
        <f t="shared" si="2"/>
        <v>0</v>
      </c>
      <c r="M50" s="315">
        <f t="shared" si="2"/>
        <v>4.4269906141601204E-4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4.7660801685212628E-5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1.0339532417908911E-2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4.4269906141601204E-4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13.239111579225732</v>
      </c>
      <c r="C54" s="21">
        <f t="shared" ref="C54:P54" si="3">(C50)*10^9/3600</f>
        <v>0</v>
      </c>
      <c r="D54" s="21">
        <f t="shared" si="3"/>
        <v>0</v>
      </c>
      <c r="E54" s="21">
        <f t="shared" si="3"/>
        <v>0</v>
      </c>
      <c r="F54" s="21">
        <f t="shared" si="3"/>
        <v>0</v>
      </c>
      <c r="G54" s="21">
        <f t="shared" si="3"/>
        <v>2872.0923383080308</v>
      </c>
      <c r="H54" s="21">
        <f t="shared" si="3"/>
        <v>0</v>
      </c>
      <c r="I54" s="21">
        <f t="shared" si="3"/>
        <v>0</v>
      </c>
      <c r="J54" s="21">
        <f t="shared" si="3"/>
        <v>0</v>
      </c>
      <c r="K54" s="21">
        <f t="shared" si="3"/>
        <v>0</v>
      </c>
      <c r="L54" s="21">
        <f t="shared" si="3"/>
        <v>0</v>
      </c>
      <c r="M54" s="21">
        <f t="shared" si="3"/>
        <v>122.97196150444779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0.21900930465458118</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2.8994886212106419</v>
      </c>
      <c r="C58" s="23">
        <f t="shared" ref="C58:P58" ca="1" si="4">C54*C56</f>
        <v>0</v>
      </c>
      <c r="D58" s="23">
        <f t="shared" si="4"/>
        <v>0</v>
      </c>
      <c r="E58" s="23">
        <f t="shared" si="4"/>
        <v>0</v>
      </c>
      <c r="F58" s="23">
        <f t="shared" si="4"/>
        <v>0</v>
      </c>
      <c r="G58" s="23">
        <f t="shared" si="4"/>
        <v>766.84865432824427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4116.7093063589318</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N30</f>
        <v>19390.5</v>
      </c>
      <c r="C8" s="544">
        <f>B49</f>
        <v>22812.352941176468</v>
      </c>
      <c r="D8" s="963"/>
      <c r="E8" s="963">
        <f>E49</f>
        <v>0</v>
      </c>
      <c r="F8" s="964"/>
      <c r="G8" s="545"/>
      <c r="H8" s="963">
        <f>I49</f>
        <v>0</v>
      </c>
      <c r="I8" s="963">
        <f>G49+F49</f>
        <v>0</v>
      </c>
      <c r="J8" s="963">
        <f>H49+D49+C49</f>
        <v>0</v>
      </c>
      <c r="K8" s="963"/>
      <c r="L8" s="963"/>
      <c r="M8" s="963"/>
      <c r="N8" s="546"/>
      <c r="O8" s="547">
        <f>C8*$C$12+D8*$D$12+E8*$E$12+F8*$F$12+G8*$G$12+H8*$H$12+I8*$I$12+J8*$J$12</f>
        <v>4608.0952941176465</v>
      </c>
      <c r="P8" s="1253"/>
      <c r="Q8" s="1254"/>
      <c r="S8" s="996"/>
      <c r="T8" s="1250"/>
      <c r="U8" s="1250"/>
    </row>
    <row r="9" spans="1:21" s="532" customFormat="1" ht="17.45" customHeight="1" thickBot="1">
      <c r="A9" s="548" t="s">
        <v>237</v>
      </c>
      <c r="B9" s="1000">
        <f>N37+'Eigen informatie GS &amp; warmtenet'!B12</f>
        <v>0</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23507.209306358931</v>
      </c>
      <c r="C10" s="556">
        <f t="shared" ref="C10:L10" si="0">SUM(C8:C9)</f>
        <v>22812.352941176468</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4608.0952941176465</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O30</f>
        <v>27700.714285714286</v>
      </c>
      <c r="C17" s="568">
        <f>B50</f>
        <v>32589.075630252097</v>
      </c>
      <c r="D17" s="569"/>
      <c r="E17" s="569">
        <f>E50</f>
        <v>0</v>
      </c>
      <c r="F17" s="570"/>
      <c r="G17" s="571"/>
      <c r="H17" s="568">
        <f>I50</f>
        <v>0</v>
      </c>
      <c r="I17" s="569">
        <f>G50+F50</f>
        <v>0</v>
      </c>
      <c r="J17" s="569">
        <f>H50+D50+C50</f>
        <v>0</v>
      </c>
      <c r="K17" s="569"/>
      <c r="L17" s="569"/>
      <c r="M17" s="569"/>
      <c r="N17" s="959"/>
      <c r="O17" s="572">
        <f>C17*$C$22+E17*$E$22+H17*$H$22+I17*$I$22+J17*$J$22+D17*$D$22+F17*$F$22+G17*$G$22+K17*$K$22+L17*$L$22</f>
        <v>6582.993277310924</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27700.714285714286</v>
      </c>
      <c r="C20" s="555">
        <f>SUM(C17:C19)</f>
        <v>32589.075630252097</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6582.993277310924</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63.75" hidden="1">
      <c r="A28" s="580"/>
      <c r="B28" s="775">
        <v>13004</v>
      </c>
      <c r="C28" s="775">
        <v>2340</v>
      </c>
      <c r="D28" s="628"/>
      <c r="E28" s="627"/>
      <c r="F28" s="627"/>
      <c r="G28" s="627" t="s">
        <v>977</v>
      </c>
      <c r="H28" s="627" t="s">
        <v>977</v>
      </c>
      <c r="I28" s="627"/>
      <c r="J28" s="774"/>
      <c r="K28" s="774"/>
      <c r="L28" s="627" t="s">
        <v>978</v>
      </c>
      <c r="M28" s="627">
        <v>1</v>
      </c>
      <c r="N28" s="627">
        <v>0</v>
      </c>
      <c r="O28" s="627">
        <v>0</v>
      </c>
      <c r="P28" s="627">
        <v>0</v>
      </c>
      <c r="Q28" s="627">
        <v>0</v>
      </c>
      <c r="R28" s="627">
        <v>0</v>
      </c>
      <c r="S28" s="627">
        <v>0</v>
      </c>
      <c r="T28" s="627">
        <v>0</v>
      </c>
      <c r="U28" s="627">
        <v>0</v>
      </c>
      <c r="V28" s="627">
        <v>0</v>
      </c>
      <c r="W28" s="627">
        <v>0</v>
      </c>
      <c r="X28" s="627">
        <v>1600</v>
      </c>
      <c r="Y28" s="627" t="s">
        <v>49</v>
      </c>
      <c r="Z28" s="629" t="s">
        <v>149</v>
      </c>
    </row>
    <row r="29" spans="1:26" s="581" customFormat="1" ht="25.5" hidden="1">
      <c r="A29" s="580"/>
      <c r="B29" s="775">
        <v>13004</v>
      </c>
      <c r="C29" s="775">
        <v>2340</v>
      </c>
      <c r="D29" s="628"/>
      <c r="E29" s="627"/>
      <c r="F29" s="627"/>
      <c r="G29" s="627" t="s">
        <v>979</v>
      </c>
      <c r="H29" s="627" t="s">
        <v>980</v>
      </c>
      <c r="I29" s="627"/>
      <c r="J29" s="774"/>
      <c r="K29" s="774"/>
      <c r="L29" s="627" t="s">
        <v>978</v>
      </c>
      <c r="M29" s="627">
        <v>4309</v>
      </c>
      <c r="N29" s="627">
        <v>19390.5</v>
      </c>
      <c r="O29" s="627">
        <v>27700.714285714286</v>
      </c>
      <c r="P29" s="627">
        <v>55401.428571428572</v>
      </c>
      <c r="Q29" s="627">
        <v>0</v>
      </c>
      <c r="R29" s="627">
        <v>0</v>
      </c>
      <c r="S29" s="627">
        <v>0</v>
      </c>
      <c r="T29" s="627">
        <v>0</v>
      </c>
      <c r="U29" s="627">
        <v>0</v>
      </c>
      <c r="V29" s="627">
        <v>0</v>
      </c>
      <c r="W29" s="627">
        <v>0</v>
      </c>
      <c r="X29" s="627">
        <v>10</v>
      </c>
      <c r="Y29" s="627" t="s">
        <v>105</v>
      </c>
      <c r="Z29" s="629" t="s">
        <v>105</v>
      </c>
    </row>
    <row r="30" spans="1:26" s="563" customFormat="1" hidden="1">
      <c r="A30" s="583" t="s">
        <v>269</v>
      </c>
      <c r="B30" s="584"/>
      <c r="C30" s="584"/>
      <c r="D30" s="584"/>
      <c r="E30" s="584"/>
      <c r="F30" s="584"/>
      <c r="G30" s="584"/>
      <c r="H30" s="584"/>
      <c r="I30" s="584"/>
      <c r="J30" s="584"/>
      <c r="K30" s="584"/>
      <c r="L30" s="585"/>
      <c r="M30" s="585">
        <f>SUM(M28:M29)</f>
        <v>4310</v>
      </c>
      <c r="N30" s="585">
        <f>SUM(N28:N29)</f>
        <v>19390.5</v>
      </c>
      <c r="O30" s="585">
        <f>SUM(O28:O29)</f>
        <v>27700.714285714286</v>
      </c>
      <c r="P30" s="585">
        <f>SUM(P28:P29)</f>
        <v>55401.428571428572</v>
      </c>
      <c r="Q30" s="585">
        <f>SUM(Q28:Q29)</f>
        <v>0</v>
      </c>
      <c r="R30" s="585">
        <f>SUM(R28:R29)</f>
        <v>0</v>
      </c>
      <c r="S30" s="585">
        <f>SUM(S28:S29)</f>
        <v>0</v>
      </c>
      <c r="T30" s="585">
        <f>SUM(T28:T29)</f>
        <v>0</v>
      </c>
      <c r="U30" s="585">
        <f>SUM(U28:U29)</f>
        <v>0</v>
      </c>
      <c r="V30" s="585">
        <f>SUM(V28:V29)</f>
        <v>0</v>
      </c>
      <c r="W30" s="585">
        <f>SUM(W28:W29)</f>
        <v>0</v>
      </c>
      <c r="X30" s="586"/>
      <c r="Y30" s="586"/>
      <c r="Z30" s="587"/>
    </row>
    <row r="31" spans="1:26" s="563" customFormat="1">
      <c r="A31" s="583" t="s">
        <v>276</v>
      </c>
      <c r="B31" s="584"/>
      <c r="C31" s="584"/>
      <c r="D31" s="584"/>
      <c r="E31" s="584"/>
      <c r="F31" s="584"/>
      <c r="G31" s="584"/>
      <c r="H31" s="584"/>
      <c r="I31" s="584"/>
      <c r="J31" s="584"/>
      <c r="K31" s="584"/>
      <c r="L31" s="585"/>
      <c r="M31" s="585">
        <f>SUMIF($Z$28:$Z$29,"industrie",M28:M29)</f>
        <v>0</v>
      </c>
      <c r="N31" s="585">
        <f>SUMIF($Z$28:$Z$29,"industrie",N28:N29)</f>
        <v>0</v>
      </c>
      <c r="O31" s="585">
        <f>SUMIF($Z$28:$Z$29,"industrie",O28:O29)</f>
        <v>0</v>
      </c>
      <c r="P31" s="585">
        <f>SUMIF($Z$28:$Z$29,"industrie",P28:P29)</f>
        <v>0</v>
      </c>
      <c r="Q31" s="585">
        <f>SUMIF($Z$28:$Z$29,"industrie",Q28:Q29)</f>
        <v>0</v>
      </c>
      <c r="R31" s="585">
        <f>SUMIF($Z$28:$Z$29,"industrie",R28:R29)</f>
        <v>0</v>
      </c>
      <c r="S31" s="585">
        <f>SUMIF($Z$28:$Z$29,"industrie",S28:S29)</f>
        <v>0</v>
      </c>
      <c r="T31" s="585">
        <f>SUMIF($Z$28:$Z$29,"industrie",T28:T29)</f>
        <v>0</v>
      </c>
      <c r="U31" s="585">
        <f>SUMIF($Z$28:$Z$29,"industrie",U28:U29)</f>
        <v>0</v>
      </c>
      <c r="V31" s="585">
        <f>SUMIF($Z$28:$Z$29,"industrie",V28:V29)</f>
        <v>0</v>
      </c>
      <c r="W31" s="585">
        <f>SUMIF($Z$28:$Z$29,"industrie",W28:W29)</f>
        <v>0</v>
      </c>
      <c r="X31" s="586"/>
      <c r="Y31" s="586"/>
      <c r="Z31" s="587"/>
    </row>
    <row r="32" spans="1:26" s="563" customFormat="1">
      <c r="A32" s="583" t="s">
        <v>277</v>
      </c>
      <c r="B32" s="584"/>
      <c r="C32" s="584"/>
      <c r="D32" s="584"/>
      <c r="E32" s="584"/>
      <c r="F32" s="584"/>
      <c r="G32" s="584"/>
      <c r="H32" s="584"/>
      <c r="I32" s="584"/>
      <c r="J32" s="584"/>
      <c r="K32" s="584"/>
      <c r="L32" s="585"/>
      <c r="M32" s="585">
        <f ca="1">SUMIF($Z$28:AC29,"tertiair",M28:M29)</f>
        <v>1</v>
      </c>
      <c r="N32" s="585">
        <f ca="1">SUMIF($Z$28:AD29,"tertiair",N28:N29)</f>
        <v>0</v>
      </c>
      <c r="O32" s="585">
        <f ca="1">SUMIF($Z$28:AE29,"tertiair",O28:O29)</f>
        <v>0</v>
      </c>
      <c r="P32" s="585">
        <f ca="1">SUMIF($Z$28:AF29,"tertiair",P28:P29)</f>
        <v>0</v>
      </c>
      <c r="Q32" s="585">
        <f ca="1">SUMIF($Z$28:AG29,"tertiair",Q28:Q29)</f>
        <v>0</v>
      </c>
      <c r="R32" s="585">
        <f ca="1">SUMIF($Z$28:AH29,"tertiair",R28:R29)</f>
        <v>0</v>
      </c>
      <c r="S32" s="585">
        <f ca="1">SUMIF($Z$28:AI29,"tertiair",S28:S29)</f>
        <v>0</v>
      </c>
      <c r="T32" s="585">
        <f ca="1">SUMIF($Z$28:AJ29,"tertiair",T28:T29)</f>
        <v>0</v>
      </c>
      <c r="U32" s="585">
        <f ca="1">SUMIF($Z$28:AK29,"tertiair",U28:U29)</f>
        <v>0</v>
      </c>
      <c r="V32" s="585">
        <f ca="1">SUMIF($Z$28:AL29,"tertiair",V28:V29)</f>
        <v>0</v>
      </c>
      <c r="W32" s="585">
        <f ca="1">SUMIF($Z$28:AM29,"tertiair",W28:W29)</f>
        <v>0</v>
      </c>
      <c r="X32" s="586"/>
      <c r="Y32" s="586"/>
      <c r="Z32" s="587"/>
    </row>
    <row r="33" spans="1:27" s="563" customFormat="1" ht="15.75" thickBot="1">
      <c r="A33" s="588" t="s">
        <v>278</v>
      </c>
      <c r="B33" s="589"/>
      <c r="C33" s="589"/>
      <c r="D33" s="589"/>
      <c r="E33" s="589"/>
      <c r="F33" s="589"/>
      <c r="G33" s="589"/>
      <c r="H33" s="589"/>
      <c r="I33" s="589"/>
      <c r="J33" s="589"/>
      <c r="K33" s="589"/>
      <c r="L33" s="590"/>
      <c r="M33" s="590">
        <f>SUMIF($Z$28:$Z$29,"landbouw",M28:M29)</f>
        <v>4309</v>
      </c>
      <c r="N33" s="590">
        <f>SUMIF($Z$28:$Z$29,"landbouw",N28:N29)</f>
        <v>19390.5</v>
      </c>
      <c r="O33" s="590">
        <f>SUMIF($Z$28:$Z$29,"landbouw",O28:O29)</f>
        <v>27700.714285714286</v>
      </c>
      <c r="P33" s="590">
        <f>SUMIF($Z$28:$Z$29,"landbouw",P28:P29)</f>
        <v>55401.428571428572</v>
      </c>
      <c r="Q33" s="590">
        <f>SUMIF($Z$28:$Z$29,"landbouw",Q28:Q29)</f>
        <v>0</v>
      </c>
      <c r="R33" s="590">
        <f>SUMIF($Z$28:$Z$29,"landbouw",R28:R29)</f>
        <v>0</v>
      </c>
      <c r="S33" s="590">
        <f>SUMIF($Z$28:$Z$29,"landbouw",S28:S29)</f>
        <v>0</v>
      </c>
      <c r="T33" s="590">
        <f>SUMIF($Z$28:$Z$29,"landbouw",T28:T29)</f>
        <v>0</v>
      </c>
      <c r="U33" s="590">
        <f>SUMIF($Z$28:$Z$29,"landbouw",U28:U29)</f>
        <v>0</v>
      </c>
      <c r="V33" s="590">
        <f>SUMIF($Z$28:$Z$29,"landbouw",V28:V29)</f>
        <v>0</v>
      </c>
      <c r="W33" s="590">
        <f>SUMIF($Z$28:$Z$29,"landbouw",W28:W29)</f>
        <v>0</v>
      </c>
      <c r="X33" s="591"/>
      <c r="Y33" s="591"/>
      <c r="Z33" s="592"/>
    </row>
    <row r="34" spans="1:27" s="532" customFormat="1" ht="15.75" thickBot="1">
      <c r="A34" s="593"/>
      <c r="B34" s="594"/>
      <c r="C34" s="594"/>
      <c r="D34" s="594"/>
      <c r="E34" s="594"/>
      <c r="F34" s="594"/>
      <c r="G34" s="594"/>
      <c r="H34" s="594"/>
      <c r="I34" s="594"/>
      <c r="J34" s="594"/>
      <c r="K34" s="594"/>
      <c r="L34" s="577"/>
      <c r="M34" s="577"/>
      <c r="N34" s="577"/>
      <c r="O34" s="578"/>
      <c r="P34" s="578"/>
    </row>
    <row r="35" spans="1:27" s="532" customFormat="1" ht="45">
      <c r="A35" s="595" t="s">
        <v>270</v>
      </c>
      <c r="B35" s="624" t="s">
        <v>89</v>
      </c>
      <c r="C35" s="624" t="s">
        <v>90</v>
      </c>
      <c r="D35" s="624"/>
      <c r="E35" s="624"/>
      <c r="F35" s="624"/>
      <c r="G35" s="624" t="s">
        <v>91</v>
      </c>
      <c r="H35" s="624" t="s">
        <v>92</v>
      </c>
      <c r="I35" s="624"/>
      <c r="J35" s="624"/>
      <c r="K35" s="624"/>
      <c r="L35" s="624" t="s">
        <v>93</v>
      </c>
      <c r="M35" s="625" t="s">
        <v>287</v>
      </c>
      <c r="N35" s="625" t="s">
        <v>94</v>
      </c>
      <c r="O35" s="625" t="s">
        <v>95</v>
      </c>
      <c r="P35" s="625" t="s">
        <v>529</v>
      </c>
      <c r="Q35" s="625" t="s">
        <v>96</v>
      </c>
      <c r="R35" s="625" t="s">
        <v>97</v>
      </c>
      <c r="S35" s="625" t="s">
        <v>98</v>
      </c>
      <c r="T35" s="625" t="s">
        <v>99</v>
      </c>
      <c r="U35" s="625" t="s">
        <v>100</v>
      </c>
      <c r="V35" s="625" t="s">
        <v>101</v>
      </c>
      <c r="W35" s="624" t="s">
        <v>102</v>
      </c>
      <c r="X35" s="624" t="s">
        <v>288</v>
      </c>
      <c r="Y35" s="624" t="s">
        <v>103</v>
      </c>
      <c r="Z35" s="626" t="s">
        <v>289</v>
      </c>
    </row>
    <row r="36" spans="1:27" s="596" customFormat="1" ht="12.75" hidden="1">
      <c r="A36" s="582"/>
      <c r="B36" s="775"/>
      <c r="C36" s="775"/>
      <c r="D36" s="630"/>
      <c r="E36" s="630"/>
      <c r="F36" s="630"/>
      <c r="G36" s="630"/>
      <c r="H36" s="630"/>
      <c r="I36" s="630"/>
      <c r="J36" s="774"/>
      <c r="K36" s="774"/>
      <c r="L36" s="630"/>
      <c r="M36" s="630"/>
      <c r="N36" s="630"/>
      <c r="O36" s="630"/>
      <c r="P36" s="630"/>
      <c r="Q36" s="630"/>
      <c r="R36" s="630"/>
      <c r="S36" s="630"/>
      <c r="T36" s="630"/>
      <c r="U36" s="630"/>
      <c r="V36" s="630"/>
      <c r="W36" s="630"/>
      <c r="X36" s="630"/>
      <c r="Y36" s="630"/>
      <c r="Z36" s="631"/>
    </row>
    <row r="37" spans="1:27" s="563" customFormat="1" hidden="1">
      <c r="A37" s="583" t="s">
        <v>269</v>
      </c>
      <c r="B37" s="584"/>
      <c r="C37" s="584"/>
      <c r="D37" s="584"/>
      <c r="E37" s="584"/>
      <c r="F37" s="584"/>
      <c r="G37" s="584"/>
      <c r="H37" s="584"/>
      <c r="I37" s="584"/>
      <c r="J37" s="584"/>
      <c r="K37" s="584"/>
      <c r="L37" s="585"/>
      <c r="M37" s="585">
        <f>SUM(M36:M36)</f>
        <v>0</v>
      </c>
      <c r="N37" s="585">
        <f>SUM(N36:N36)</f>
        <v>0</v>
      </c>
      <c r="O37" s="585">
        <f>SUM(O36:O36)</f>
        <v>0</v>
      </c>
      <c r="P37" s="585">
        <f>SUM(P36:P36)</f>
        <v>0</v>
      </c>
      <c r="Q37" s="585">
        <f>SUM(Q36:Q36)</f>
        <v>0</v>
      </c>
      <c r="R37" s="585">
        <f>SUM(R36:R36)</f>
        <v>0</v>
      </c>
      <c r="S37" s="585">
        <f>SUM(S36:S36)</f>
        <v>0</v>
      </c>
      <c r="T37" s="585">
        <f>SUM(T36:T36)</f>
        <v>0</v>
      </c>
      <c r="U37" s="585">
        <f>SUM(U36:U36)</f>
        <v>0</v>
      </c>
      <c r="V37" s="585">
        <f>SUM(V36:V36)</f>
        <v>0</v>
      </c>
      <c r="W37" s="585">
        <f>SUM(W36:W36)</f>
        <v>0</v>
      </c>
      <c r="X37" s="586"/>
      <c r="Y37" s="586"/>
      <c r="Z37" s="587"/>
    </row>
    <row r="38" spans="1:27" s="563" customFormat="1">
      <c r="A38" s="583" t="s">
        <v>276</v>
      </c>
      <c r="B38" s="584"/>
      <c r="C38" s="584"/>
      <c r="D38" s="584"/>
      <c r="E38" s="584"/>
      <c r="F38" s="584"/>
      <c r="G38" s="584"/>
      <c r="H38" s="584"/>
      <c r="I38" s="584"/>
      <c r="J38" s="584"/>
      <c r="K38" s="584"/>
      <c r="L38" s="585"/>
      <c r="M38" s="585">
        <f>SUMIF($Z$36:$Z$36,"industrie",M36:M36)</f>
        <v>0</v>
      </c>
      <c r="N38" s="585">
        <f>SUMIF($Z$36:$Z$36,"industrie",N36:N36)</f>
        <v>0</v>
      </c>
      <c r="O38" s="585">
        <f>SUMIF($Z$36:$Z$36,"industrie",O36:O36)</f>
        <v>0</v>
      </c>
      <c r="P38" s="585">
        <f>SUMIF($Z$36:$Z$36,"industrie",P36:P36)</f>
        <v>0</v>
      </c>
      <c r="Q38" s="585">
        <f>SUMIF($Z$36:$Z$36,"industrie",Q36:Q36)</f>
        <v>0</v>
      </c>
      <c r="R38" s="585">
        <f>SUMIF($Z$36:$Z$36,"industrie",R36:R36)</f>
        <v>0</v>
      </c>
      <c r="S38" s="585">
        <f>SUMIF($Z$36:$Z$36,"industrie",S36:S36)</f>
        <v>0</v>
      </c>
      <c r="T38" s="585">
        <f>SUMIF($Z$36:$Z$36,"industrie",T36:T36)</f>
        <v>0</v>
      </c>
      <c r="U38" s="585">
        <f>SUMIF($Z$36:$Z$36,"industrie",U36:U36)</f>
        <v>0</v>
      </c>
      <c r="V38" s="585">
        <f>SUMIF($Z$36:$Z$36,"industrie",V36:V36)</f>
        <v>0</v>
      </c>
      <c r="W38" s="585">
        <f>SUMIF($Z$36:$Z$36,"industrie",W36:W36)</f>
        <v>0</v>
      </c>
      <c r="X38" s="586"/>
      <c r="Y38" s="586"/>
      <c r="Z38" s="587"/>
    </row>
    <row r="39" spans="1:27" s="563" customFormat="1">
      <c r="A39" s="583" t="s">
        <v>277</v>
      </c>
      <c r="B39" s="584"/>
      <c r="C39" s="584"/>
      <c r="D39" s="584"/>
      <c r="E39" s="584"/>
      <c r="F39" s="584"/>
      <c r="G39" s="584"/>
      <c r="H39" s="584"/>
      <c r="I39" s="584"/>
      <c r="J39" s="584"/>
      <c r="K39" s="584"/>
      <c r="L39" s="585"/>
      <c r="M39" s="585">
        <f>SUMIF($Z$36:$Z$37,"tertiair",M36:M37)</f>
        <v>0</v>
      </c>
      <c r="N39" s="585">
        <f>SUMIF($Z$36:$Z$37,"tertiair",N36:N37)</f>
        <v>0</v>
      </c>
      <c r="O39" s="585">
        <f>SUMIF($Z$36:$Z$37,"tertiair",O36:O37)</f>
        <v>0</v>
      </c>
      <c r="P39" s="585">
        <f>SUMIF($Z$36:$Z$37,"tertiair",P36:P37)</f>
        <v>0</v>
      </c>
      <c r="Q39" s="585">
        <f>SUMIF($Z$36:$Z$37,"tertiair",Q36:Q37)</f>
        <v>0</v>
      </c>
      <c r="R39" s="585">
        <f>SUMIF($Z$36:$Z$37,"tertiair",R36:R37)</f>
        <v>0</v>
      </c>
      <c r="S39" s="585">
        <f>SUMIF($Z$36:$Z$37,"tertiair",S36:S37)</f>
        <v>0</v>
      </c>
      <c r="T39" s="585">
        <f>SUMIF($Z$36:$Z$37,"tertiair",T36:T37)</f>
        <v>0</v>
      </c>
      <c r="U39" s="585">
        <f>SUMIF($Z$36:$Z$37,"tertiair",U36:U37)</f>
        <v>0</v>
      </c>
      <c r="V39" s="585">
        <f>SUMIF($Z$36:$Z$37,"tertiair",V36:V37)</f>
        <v>0</v>
      </c>
      <c r="W39" s="585">
        <f>SUMIF($Z$36:$Z$37,"tertiair",W36:W37)</f>
        <v>0</v>
      </c>
      <c r="X39" s="586"/>
      <c r="Y39" s="586"/>
      <c r="Z39" s="587"/>
    </row>
    <row r="40" spans="1:27" s="563" customFormat="1" ht="15.75" thickBot="1">
      <c r="A40" s="588" t="s">
        <v>278</v>
      </c>
      <c r="B40" s="589"/>
      <c r="C40" s="589"/>
      <c r="D40" s="589"/>
      <c r="E40" s="589"/>
      <c r="F40" s="589"/>
      <c r="G40" s="589"/>
      <c r="H40" s="589"/>
      <c r="I40" s="589"/>
      <c r="J40" s="589"/>
      <c r="K40" s="589"/>
      <c r="L40" s="590"/>
      <c r="M40" s="590">
        <f>SUMIF($Z$36:$Z$38,"landbouw",M36:M38)</f>
        <v>0</v>
      </c>
      <c r="N40" s="590">
        <f>SUMIF($Z$36:$Z$38,"landbouw",N36:N38)</f>
        <v>0</v>
      </c>
      <c r="O40" s="590">
        <f>SUMIF($Z$36:$Z$38,"landbouw",O36:O38)</f>
        <v>0</v>
      </c>
      <c r="P40" s="590">
        <f>SUMIF($Z$36:$Z$38,"landbouw",P36:P38)</f>
        <v>0</v>
      </c>
      <c r="Q40" s="590">
        <f>SUMIF($Z$36:$Z$38,"landbouw",Q36:Q38)</f>
        <v>0</v>
      </c>
      <c r="R40" s="590">
        <f>SUMIF($Z$36:$Z$38,"landbouw",R36:R38)</f>
        <v>0</v>
      </c>
      <c r="S40" s="590">
        <f>SUMIF($Z$36:$Z$38,"landbouw",S36:S38)</f>
        <v>0</v>
      </c>
      <c r="T40" s="590">
        <f>SUMIF($Z$36:$Z$38,"landbouw",T36:T38)</f>
        <v>0</v>
      </c>
      <c r="U40" s="590">
        <f>SUMIF($Z$36:$Z$38,"landbouw",U36:U38)</f>
        <v>0</v>
      </c>
      <c r="V40" s="590">
        <f>SUMIF($Z$36:$Z$38,"landbouw",V36:V38)</f>
        <v>0</v>
      </c>
      <c r="W40" s="590">
        <f>SUMIF($Z$36:$Z$38,"landbouw",W36:W38)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271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272</v>
      </c>
      <c r="C45" s="607" t="s">
        <v>273</v>
      </c>
      <c r="D45" s="607"/>
      <c r="E45" s="607"/>
      <c r="F45" s="607"/>
      <c r="G45" s="607"/>
      <c r="H45" s="607"/>
      <c r="I45" s="608"/>
      <c r="J45" s="607"/>
      <c r="K45" s="607"/>
      <c r="L45" s="607"/>
      <c r="M45" s="607"/>
      <c r="N45" s="607"/>
      <c r="O45" s="607"/>
      <c r="P45" s="602"/>
    </row>
    <row r="46" spans="1:27">
      <c r="A46" s="604" t="s">
        <v>269</v>
      </c>
      <c r="B46" s="609">
        <f>IF(ISERROR(O30/(O30+N30)),0,O30/(O30+N30))</f>
        <v>0.58823529411764697</v>
      </c>
      <c r="C46" s="610">
        <f>IF(ISERROR(N30/(O30+N30)),0,N30/(N30+O30))</f>
        <v>0.41176470588235292</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529</v>
      </c>
      <c r="C48" s="617" t="s">
        <v>96</v>
      </c>
      <c r="D48" s="617" t="s">
        <v>97</v>
      </c>
      <c r="E48" s="617" t="s">
        <v>98</v>
      </c>
      <c r="F48" s="617" t="s">
        <v>99</v>
      </c>
      <c r="G48" s="617" t="s">
        <v>100</v>
      </c>
      <c r="H48" s="617" t="s">
        <v>101</v>
      </c>
      <c r="I48" s="618" t="s">
        <v>102</v>
      </c>
      <c r="J48" s="607"/>
      <c r="K48" s="607"/>
      <c r="L48" s="615"/>
      <c r="M48" s="615"/>
      <c r="N48" s="615"/>
      <c r="O48" s="602"/>
      <c r="P48" s="602"/>
    </row>
    <row r="49" spans="1:16">
      <c r="A49" s="606" t="s">
        <v>274</v>
      </c>
      <c r="B49" s="619">
        <f t="shared" ref="B49:I49" si="2">$C$46*P30</f>
        <v>22812.352941176468</v>
      </c>
      <c r="C49" s="619">
        <f t="shared" si="2"/>
        <v>0</v>
      </c>
      <c r="D49" s="619">
        <f t="shared" si="2"/>
        <v>0</v>
      </c>
      <c r="E49" s="619">
        <f t="shared" si="2"/>
        <v>0</v>
      </c>
      <c r="F49" s="619">
        <f t="shared" si="2"/>
        <v>0</v>
      </c>
      <c r="G49" s="619">
        <f t="shared" si="2"/>
        <v>0</v>
      </c>
      <c r="H49" s="619">
        <f t="shared" si="2"/>
        <v>0</v>
      </c>
      <c r="I49" s="620">
        <f t="shared" si="2"/>
        <v>0</v>
      </c>
      <c r="J49" s="577"/>
      <c r="K49" s="577"/>
      <c r="L49" s="615"/>
      <c r="M49" s="615"/>
      <c r="N49" s="615"/>
      <c r="O49" s="602"/>
      <c r="P49" s="602"/>
    </row>
    <row r="50" spans="1:16" ht="15.75" thickBot="1">
      <c r="A50" s="621" t="s">
        <v>275</v>
      </c>
      <c r="B50" s="622">
        <f t="shared" ref="B50:I50" si="3">$B$46*P30</f>
        <v>32589.075630252097</v>
      </c>
      <c r="C50" s="622">
        <f t="shared" si="3"/>
        <v>0</v>
      </c>
      <c r="D50" s="622">
        <f t="shared" si="3"/>
        <v>0</v>
      </c>
      <c r="E50" s="622">
        <f t="shared" si="3"/>
        <v>0</v>
      </c>
      <c r="F50" s="622">
        <f t="shared" si="3"/>
        <v>0</v>
      </c>
      <c r="G50" s="622">
        <f t="shared" si="3"/>
        <v>0</v>
      </c>
      <c r="H50" s="622">
        <f t="shared" si="3"/>
        <v>0</v>
      </c>
      <c r="I50" s="623">
        <f t="shared" si="3"/>
        <v>0</v>
      </c>
      <c r="J50" s="577"/>
      <c r="K50" s="577"/>
      <c r="L50" s="615"/>
      <c r="M50" s="615"/>
      <c r="N50" s="615"/>
      <c r="O50" s="602"/>
      <c r="P50" s="602"/>
    </row>
    <row r="51" spans="1:16">
      <c r="J51" s="561"/>
      <c r="K51" s="561"/>
      <c r="L51" s="561"/>
      <c r="M51" s="561"/>
      <c r="N51" s="561"/>
    </row>
    <row r="52" spans="1:16">
      <c r="J52" s="561"/>
      <c r="K52" s="561"/>
      <c r="L52" s="561"/>
      <c r="M52" s="561"/>
      <c r="N52"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2021-11-11T13:41:19Z</dcterms:modified>
</cp:coreProperties>
</file>