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6EBE3350-DDE3-46E3-BCB0-4A0F8D7EBFB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63" i="18"/>
  <c r="V63" i="18"/>
  <c r="U63" i="18"/>
  <c r="T63" i="18"/>
  <c r="S63" i="18"/>
  <c r="R63" i="18"/>
  <c r="Q63" i="18"/>
  <c r="P63" i="18"/>
  <c r="O63" i="18"/>
  <c r="N63" i="18"/>
  <c r="M63" i="18"/>
  <c r="W62" i="18"/>
  <c r="V62" i="18"/>
  <c r="U62" i="18"/>
  <c r="T62" i="18"/>
  <c r="S62" i="18"/>
  <c r="R62" i="18"/>
  <c r="Q62" i="18"/>
  <c r="P62" i="18"/>
  <c r="O62" i="18"/>
  <c r="N62" i="18"/>
  <c r="M62" i="18"/>
  <c r="W61" i="18"/>
  <c r="V61" i="18"/>
  <c r="U61" i="18"/>
  <c r="T61" i="18"/>
  <c r="S61" i="18"/>
  <c r="R61" i="18"/>
  <c r="Q61" i="18"/>
  <c r="P61" i="18"/>
  <c r="O61" i="18"/>
  <c r="N61" i="18"/>
  <c r="M61" i="18"/>
  <c r="W60" i="18"/>
  <c r="H9" i="18" s="1"/>
  <c r="V60" i="18"/>
  <c r="U60" i="18"/>
  <c r="T60" i="18"/>
  <c r="I9" i="18" s="1"/>
  <c r="S60" i="18"/>
  <c r="E9" i="18" s="1"/>
  <c r="R60" i="18"/>
  <c r="Q60" i="18"/>
  <c r="P60" i="18"/>
  <c r="C9" i="18" s="1"/>
  <c r="O60" i="18"/>
  <c r="N60" i="18"/>
  <c r="B9" i="18" s="1"/>
  <c r="M60" i="18"/>
  <c r="W56" i="18"/>
  <c r="V56" i="18"/>
  <c r="U56" i="18"/>
  <c r="T56" i="18"/>
  <c r="S56" i="18"/>
  <c r="R56" i="18"/>
  <c r="Q56" i="18"/>
  <c r="P56" i="18"/>
  <c r="O56" i="18"/>
  <c r="N56" i="18"/>
  <c r="M56" i="18"/>
  <c r="W55" i="18"/>
  <c r="V55" i="18"/>
  <c r="U55" i="18"/>
  <c r="T55" i="18"/>
  <c r="S55" i="18"/>
  <c r="R55" i="18"/>
  <c r="Q55" i="18"/>
  <c r="P55" i="18"/>
  <c r="O55" i="18"/>
  <c r="N55" i="18"/>
  <c r="M55" i="18"/>
  <c r="W54" i="18"/>
  <c r="V54" i="18"/>
  <c r="U54" i="18"/>
  <c r="T54" i="18"/>
  <c r="S54" i="18"/>
  <c r="R54" i="18"/>
  <c r="Q54" i="18"/>
  <c r="P54" i="18"/>
  <c r="O54" i="18"/>
  <c r="N54" i="18"/>
  <c r="M54" i="18"/>
  <c r="W53" i="18"/>
  <c r="V53" i="18"/>
  <c r="U53" i="18"/>
  <c r="T53" i="18"/>
  <c r="S53" i="18"/>
  <c r="R53" i="18"/>
  <c r="Q53" i="18"/>
  <c r="P53" i="18"/>
  <c r="O53" i="18"/>
  <c r="N53" i="18"/>
  <c r="B8" i="18" s="1"/>
  <c r="M53" i="18"/>
  <c r="G22" i="18"/>
  <c r="F22" i="18"/>
  <c r="E22" i="18"/>
  <c r="D22" i="18"/>
  <c r="C22" i="18"/>
  <c r="D20" i="18"/>
  <c r="G12" i="18"/>
  <c r="F12" i="18"/>
  <c r="E12" i="18"/>
  <c r="D12" i="18"/>
  <c r="C12" i="18"/>
  <c r="L10" i="18"/>
  <c r="K10" i="18"/>
  <c r="G10" i="18"/>
  <c r="D10" i="18"/>
  <c r="B6" i="18"/>
  <c r="B5" i="18"/>
  <c r="B4" i="18"/>
  <c r="G20" i="18" l="1"/>
  <c r="K20" i="18"/>
  <c r="B69" i="18"/>
  <c r="I73" i="18" s="1"/>
  <c r="H17" i="18" s="1"/>
  <c r="J9" i="18"/>
  <c r="O9" i="18" s="1"/>
  <c r="B17" i="18"/>
  <c r="B20" i="18" s="1"/>
  <c r="C69" i="18"/>
  <c r="H72" i="18" s="1"/>
  <c r="O19" i="18"/>
  <c r="O18" i="18"/>
  <c r="L20" i="18"/>
  <c r="B10" i="18"/>
  <c r="D73"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73" i="18"/>
  <c r="C17" i="18" s="1"/>
  <c r="D87" i="14" s="1"/>
  <c r="D17" i="55" s="1"/>
  <c r="D20" i="55" s="1"/>
  <c r="L20" i="55"/>
  <c r="F73" i="18"/>
  <c r="J77" i="14"/>
  <c r="J9" i="55" s="1"/>
  <c r="H73" i="18"/>
  <c r="H20" i="18"/>
  <c r="M87" i="14"/>
  <c r="M17" i="55" s="1"/>
  <c r="M20" i="55" s="1"/>
  <c r="C73" i="18"/>
  <c r="E73" i="18"/>
  <c r="E17" i="18" s="1"/>
  <c r="G73" i="18"/>
  <c r="K10" i="55"/>
  <c r="C72" i="18"/>
  <c r="E72" i="18"/>
  <c r="E8" i="18" s="1"/>
  <c r="G72" i="18"/>
  <c r="I72" i="18"/>
  <c r="H8" i="18" s="1"/>
  <c r="B72" i="18"/>
  <c r="C8" i="18" s="1"/>
  <c r="D76" i="14" s="1"/>
  <c r="D8" i="55" s="1"/>
  <c r="D10" i="55" s="1"/>
  <c r="D72" i="18"/>
  <c r="F72"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Q87" i="14"/>
  <c r="D90" i="14"/>
  <c r="J10" i="18" l="1"/>
  <c r="I76" i="14"/>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<sst xmlns="http://schemas.openxmlformats.org/spreadsheetml/2006/main" count="2699" uniqueCount="985">
  <si>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</si>
  <si>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</si>
  <si>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</si>
  <si>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</si>
  <si>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</si>
  <si>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</si>
  <si>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</si>
  <si>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</si>
  <si>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</si>
  <si>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</si>
  <si>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</si>
  <si>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</si>
  <si>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</si>
  <si>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</si>
  <si>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</si>
  <si>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</si>
  <si>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</si>
  <si>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</si>
  <si>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</si>
  <si>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</si>
  <si>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</si>
  <si>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</si>
  <si>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</si>
  <si>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</si>
  <si>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</si>
  <si>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</si>
  <si>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</si>
  <si>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</si>
  <si>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</si>
  <si>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</si>
  <si>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</si>
  <si>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</si>
  <si>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</si>
  <si>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</si>
  <si>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</si>
  <si>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</si>
  <si>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</si>
  <si>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</si>
  <si>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</si>
  <si>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</si>
  <si>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</si>
  <si>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</si>
  <si>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</si>
  <si>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</si>
  <si>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</si>
  <si>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</si>
  <si>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</si>
  <si>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</si>
  <si>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</si>
  <si>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</si>
  <si>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</si>
  <si>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</si>
  <si>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</si>
  <si>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</si>
  <si>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</si>
  <si>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</si>
  <si>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</si>
  <si>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</si>
  <si>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</si>
  <si>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</si>
  <si>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</si>
  <si>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</si>
  <si>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</si>
  <si>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</si>
  <si>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</si>
  <si>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</si>
  <si>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</si>
  <si>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</si>
  <si>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</si>
  <si>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</si>
  <si>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</si>
  <si>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</si>
  <si>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</si>
  <si>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</si>
  <si>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</si>
  <si>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</si>
  <si>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</si>
  <si>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</si>
  <si>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</si>
  <si>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</si>
  <si>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</si>
  <si>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</si>
  <si>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</si>
  <si>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</si>
  <si>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</si>
  <si>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</si>
  <si>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</si>
  <si>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</si>
  <si>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</si>
  <si>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</si>
  <si>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</si>
  <si>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</si>
  <si>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</si>
  <si>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</si>
  <si>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</si>
  <si>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</si>
  <si>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</si>
  <si>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</si>
  <si>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</si>
  <si>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</si>
  <si>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</si>
  <si>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</si>
  <si>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</si>
  <si>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</si>
  <si>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</si>
  <si>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</si>
  <si>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</si>
  <si>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</si>
  <si>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</si>
  <si>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</si>
  <si>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</si>
  <si>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</si>
  <si>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</si>
  <si>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</si>
  <si>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</si>
  <si>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</si>
  <si>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</si>
  <si>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</si>
  <si>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</si>
  <si>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</si>
  <si>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</si>
  <si>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</si>
  <si>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</si>
  <si>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</si>
  <si>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</si>
  <si>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</si>
  <si>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</si>
  <si>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</si>
  <si>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</si>
  <si>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</si>
  <si>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</si>
  <si>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</si>
  <si>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</si>
  <si>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</si>
  <si>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</si>
  <si>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</si>
  <si>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</si>
  <si>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</si>
  <si>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</si>
  <si>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</si>
  <si>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</si>
  <si>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</si>
  <si>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</si>
  <si>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</si>
  <si>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</si>
  <si>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</si>
  <si>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</si>
  <si>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</si>
  <si>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</si>
  <si>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</si>
  <si>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</si>
  <si>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</si>
  <si>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</si>
  <si>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</si>
  <si>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</si>
  <si>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</si>
  <si>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</si>
  <si>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</si>
  <si>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</si>
  <si>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</si>
  <si>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</si>
  <si>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</si>
  <si>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</si>
  <si>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</si>
  <si>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</si>
  <si>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</si>
  <si>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</si>
  <si>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</si>
  <si>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</si>
  <si>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</si>
  <si>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</si>
  <si>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</si>
  <si>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</si>
  <si>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</si>
  <si>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</si>
  <si>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</si>
  <si>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</si>
  <si>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</si>
  <si>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</si>
  <si>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</si>
  <si>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</si>
  <si>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</si>
  <si>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</si>
  <si>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</si>
  <si>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</si>
  <si>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</si>
  <si>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</si>
  <si>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</si>
  <si>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</si>
  <si>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</si>
  <si>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</si>
  <si>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</si>
  <si>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</si>
  <si>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</si>
  <si>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</si>
  <si>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</si>
  <si>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</si>
  <si>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</si>
  <si>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</si>
  <si>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</si>
  <si>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</si>
  <si>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</si>
  <si>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</si>
  <si>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</si>
  <si>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</si>
  <si>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</si>
  <si>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</si>
  <si>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</si>
  <si>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</si>
  <si>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</si>
  <si>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</si>
  <si>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</si>
  <si>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</si>
  <si>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</si>
  <si>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</si>
  <si>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</si>
  <si>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</si>
  <si>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</si>
  <si>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</si>
  <si>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</si>
  <si>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</si>
  <si>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</si>
  <si>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</si>
  <si>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</si>
  <si>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</si>
  <si>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</si>
  <si>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</si>
  <si>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</si>
  <si>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</si>
  <si>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</si>
  <si>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</si>
  <si>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</si>
  <si>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</si>
  <si>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</si>
  <si>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</si>
  <si>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</si>
  <si>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</si>
  <si>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</si>
  <si>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</si>
  <si>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</si>
  <si>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</si>
  <si>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</si>
  <si>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</si>
  <si>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</si>
  <si>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</si>
  <si>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</si>
  <si>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</si>
  <si>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</si>
  <si>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</si>
  <si>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</si>
  <si>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</si>
  <si>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</si>
  <si>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</si>
  <si>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</si>
  <si>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</si>
  <si>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</si>
  <si>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</si>
  <si>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</si>
  <si>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</si>
  <si>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</si>
  <si>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</si>
  <si>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</si>
  <si>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</si>
  <si>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</si>
  <si>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</si>
  <si>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</si>
  <si>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</si>
  <si>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</si>
  <si>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</si>
  <si>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</si>
  <si>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</si>
  <si>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</si>
  <si>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</si>
  <si>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</si>
  <si>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</si>
  <si>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</si>
  <si>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</si>
  <si>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</si>
  <si>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</si>
  <si>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</si>
  <si>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</si>
  <si>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</si>
  <si>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</si>
  <si>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</si>
  <si>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</si>
  <si>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</si>
  <si>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</si>
  <si>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</si>
  <si>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</si>
  <si>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</si>
  <si>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</si>
  <si>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</si>
  <si>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</si>
  <si>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</si>
  <si>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</si>
  <si>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</si>
  <si>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</si>
  <si>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</si>
  <si>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</si>
  <si>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</si>
  <si>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</si>
  <si>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</si>
  <si>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</si>
  <si>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</si>
  <si>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</si>
  <si>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</si>
  <si>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</si>
  <si>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</si>
  <si>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</si>
  <si>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</si>
  <si>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</si>
  <si>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</si>
  <si>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</si>
  <si>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</si>
  <si>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</si>
  <si>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</si>
  <si>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</si>
  <si>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</si>
  <si>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</si>
  <si>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</si>
  <si>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</si>
  <si>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</si>
  <si>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</si>
  <si>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</si>
  <si>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</si>
  <si>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</si>
  <si>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</si>
  <si>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</si>
  <si>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</si>
  <si>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</si>
  <si>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</si>
  <si>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</si>
  <si>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</si>
  <si>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</si>
  <si>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</si>
  <si>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</si>
  <si>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</si>
  <si>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</si>
  <si>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</si>
  <si>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</si>
  <si>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</si>
  <si>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</si>
  <si>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</si>
  <si>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</si>
  <si>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</si>
  <si>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</si>
  <si>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</si>
  <si>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</si>
  <si>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</si>
  <si>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</si>
  <si>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</si>
  <si>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</si>
  <si>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</si>
  <si>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</si>
  <si>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</si>
  <si>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</si>
  <si>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</si>
  <si>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</si>
  <si>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</si>
  <si>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</si>
  <si>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</si>
  <si>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</si>
  <si>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</si>
  <si>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</si>
  <si>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</si>
  <si>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</si>
  <si>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</si>
  <si>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</si>
  <si>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</si>
  <si>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</si>
  <si>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</si>
  <si>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</si>
  <si>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</si>
  <si>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</si>
  <si>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</si>
  <si>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</si>
  <si>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</si>
  <si>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</si>
  <si>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</si>
  <si>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</si>
  <si>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</si>
  <si>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</si>
  <si>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</si>
  <si>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</si>
  <si>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</si>
  <si>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</si>
  <si>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</si>
  <si>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</si>
  <si>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</si>
  <si>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</si>
  <si>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</si>
  <si>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</si>
  <si>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</si>
  <si>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</si>
  <si>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</si>
  <si>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</si>
  <si>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</si>
  <si>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</si>
  <si>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</si>
  <si>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</si>
  <si>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</si>
  <si>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</si>
  <si>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</si>
  <si>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</si>
  <si>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</si>
  <si>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</si>
  <si>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</si>
  <si>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</si>
  <si>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</si>
  <si>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</si>
  <si>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</si>
  <si>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</si>
  <si>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</si>
  <si>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</si>
  <si>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</si>
  <si>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</si>
  <si>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</si>
  <si>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</si>
  <si>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</si>
  <si>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</si>
  <si>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</si>
  <si>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</si>
  <si>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</si>
  <si>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</si>
  <si>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</si>
  <si>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</si>
  <si>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</si>
  <si>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</si>
  <si>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</si>
  <si>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</si>
  <si>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</si>
  <si>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</si>
  <si>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</si>
  <si>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</si>
  <si>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</si>
  <si>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</si>
  <si>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</si>
  <si>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</si>
  <si>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</si>
  <si>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</si>
  <si>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</si>
  <si>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</si>
  <si>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</si>
  <si>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</si>
  <si>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</si>
  <si>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</si>
  <si>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</si>
  <si>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</si>
  <si>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</si>
  <si>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</si>
  <si>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</si>
  <si>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</si>
  <si>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</si>
  <si>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</si>
  <si>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</si>
  <si>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</si>
  <si>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</si>
  <si>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</si>
  <si>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</si>
  <si>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</si>
  <si>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</si>
  <si>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</si>
  <si>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</si>
  <si>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</si>
  <si>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</si>
  <si>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</si>
  <si>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</si>
  <si>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</si>
  <si>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</si>
  <si>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</si>
  <si>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</si>
  <si>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</si>
  <si>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</si>
  <si>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</si>
  <si>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</si>
  <si>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</si>
  <si>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</si>
  <si>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</si>
  <si>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</si>
  <si>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</si>
  <si>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</si>
  <si>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</si>
  <si>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</si>
  <si>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</si>
  <si>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</si>
  <si>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</si>
  <si>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</si>
  <si>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</si>
  <si>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</si>
  <si>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</si>
  <si>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</si>
  <si>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</si>
  <si>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</si>
  <si>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</si>
  <si>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</si>
  <si>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</si>
  <si>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</si>
  <si>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</si>
  <si>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</si>
  <si>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</si>
  <si>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</si>
  <si>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</si>
  <si>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</si>
  <si>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</si>
  <si>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</si>
  <si>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</si>
  <si>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</si>
  <si>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</si>
  <si>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</si>
  <si>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</si>
  <si>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</si>
  <si>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</si>
  <si>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</si>
  <si>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</si>
  <si>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</si>
  <si>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</si>
  <si>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</si>
  <si>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</si>
  <si>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</si>
  <si>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</si>
  <si>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</si>
  <si>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</si>
  <si>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</si>
  <si>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</si>
  <si>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</si>
  <si>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</si>
  <si>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</si>
  <si>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</si>
  <si>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</si>
  <si>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</si>
  <si>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</si>
  <si>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</si>
  <si>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</si>
  <si>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</si>
  <si>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</si>
  <si>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</si>
  <si>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</si>
  <si>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</si>
  <si>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</si>
  <si>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</si>
  <si>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</si>
  <si>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</si>
  <si>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</si>
  <si>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</si>
  <si>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</si>
  <si>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</si>
  <si>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</si>
  <si>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</si>
  <si>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</si>
  <si>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</si>
  <si>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</si>
  <si>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</si>
  <si>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</si>
  <si>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</si>
  <si>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</si>
  <si>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</si>
  <si>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</si>
  <si>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</si>
  <si>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</si>
  <si>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</si>
  <si>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</si>
  <si>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</si>
  <si>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</si>
  <si>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</si>
  <si>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</si>
  <si>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</si>
  <si>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</si>
  <si>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</si>
  <si>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</si>
  <si>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</si>
  <si>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</si>
  <si>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</si>
  <si>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</si>
  <si>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</si>
  <si>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</si>
  <si>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</si>
  <si>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</si>
  <si>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</si>
  <si>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</si>
  <si>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</si>
  <si>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</si>
  <si>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</si>
  <si>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</si>
  <si>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</si>
  <si>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</si>
  <si>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</si>
  <si>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</si>
  <si>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</si>
  <si>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</si>
  <si>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</si>
  <si>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</si>
  <si>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</si>
  <si>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</si>
  <si>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</si>
  <si>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</si>
  <si>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</si>
  <si>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</si>
  <si>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</si>
  <si>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</si>
  <si>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</si>
  <si>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</si>
  <si>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</si>
  <si>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</si>
  <si>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</si>
  <si>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</si>
  <si>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</si>
  <si>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</si>
  <si>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</si>
  <si>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</si>
  <si>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</si>
  <si>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</si>
  <si>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</si>
  <si>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</si>
  <si>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</si>
  <si>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</si>
  <si>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</si>
  <si>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</si>
  <si>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</si>
  <si>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</si>
  <si>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</si>
  <si>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</si>
  <si>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</si>
  <si>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</si>
  <si>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</si>
  <si>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</si>
  <si>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</si>
  <si>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</si>
  <si>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</si>
  <si>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</si>
  <si>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</si>
  <si>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</si>
  <si>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</si>
  <si>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</si>
  <si>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</si>
  <si>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</si>
  <si>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</si>
  <si>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</si>
  <si>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</si>
  <si>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</si>
  <si>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</si>
  <si>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</si>
  <si>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</si>
  <si>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</si>
  <si>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</si>
  <si>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</si>
  <si>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</si>
  <si>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</si>
  <si>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</si>
  <si>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</si>
  <si>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</si>
  <si>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</si>
  <si>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</si>
  <si>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</si>
  <si>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</si>
  <si>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</si>
  <si>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</si>
  <si>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</si>
  <si>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</si>
  <si>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</si>
  <si>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</si>
  <si>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</si>
  <si>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</si>
  <si>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</si>
  <si>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</si>
  <si>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</si>
  <si>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</si>
  <si>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</si>
  <si>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</si>
  <si>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</si>
  <si>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</si>
  <si>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</si>
  <si>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</si>
  <si>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</si>
  <si>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</si>
  <si>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</si>
  <si>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</si>
  <si>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</si>
  <si>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</si>
  <si>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</si>
  <si>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</si>
  <si>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</si>
  <si>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</si>
  <si>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</si>
  <si>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</si>
  <si>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</si>
  <si>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</si>
  <si>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</si>
  <si>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</si>
  <si>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</si>
  <si>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</si>
  <si>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</si>
  <si>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</si>
  <si>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</si>
  <si>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</si>
  <si>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</si>
  <si>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</si>
  <si>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</si>
  <si>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</si>
  <si>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</si>
  <si>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</si>
  <si>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</si>
  <si>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</si>
  <si>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</si>
  <si>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</si>
  <si>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</si>
  <si>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</si>
  <si>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</si>
  <si>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</si>
  <si>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</si>
  <si>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</si>
  <si>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</si>
  <si>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</si>
  <si>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</si>
  <si>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</si>
  <si>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</si>
  <si>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</si>
  <si>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</si>
  <si>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</si>
  <si>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</si>
  <si>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</si>
  <si>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</si>
  <si>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</si>
  <si>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</si>
  <si>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</si>
  <si>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</si>
  <si>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</si>
  <si>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</si>
  <si>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</si>
  <si>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</si>
  <si>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</si>
  <si>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</si>
  <si>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</si>
  <si>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</si>
  <si>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</si>
  <si>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</si>
  <si>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</si>
  <si>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</si>
  <si>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</si>
  <si>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</si>
  <si>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</si>
  <si>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</si>
  <si>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</si>
  <si>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</si>
  <si>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</si>
  <si>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</si>
  <si>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</si>
  <si>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</si>
  <si>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</si>
  <si>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</si>
  <si>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</si>
  <si>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</si>
  <si>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</si>
  <si>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</si>
  <si>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</si>
  <si>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</si>
  <si>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</si>
  <si>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</si>
  <si>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</si>
  <si>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</si>
  <si>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</si>
  <si>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</si>
  <si>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</si>
  <si>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</si>
  <si>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</si>
  <si>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</si>
  <si>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</si>
  <si>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</si>
  <si>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</si>
  <si>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</si>
  <si>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</si>
  <si>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</si>
  <si>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</si>
  <si>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</si>
  <si>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</si>
  <si>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</si>
  <si>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</si>
  <si>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</si>
  <si>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</si>
  <si>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</si>
  <si>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</si>
  <si>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</si>
  <si>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</si>
  <si>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</si>
  <si>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</si>
  <si>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</si>
  <si>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</si>
  <si>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</si>
  <si>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</si>
  <si>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</si>
  <si>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</si>
  <si>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</si>
  <si>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</si>
  <si>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</si>
  <si>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</si>
  <si>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</si>
  <si>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</si>
  <si>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</si>
  <si>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</si>
  <si>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</si>
  <si>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</si>
  <si>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</si>
  <si>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</si>
  <si>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</si>
  <si>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</si>
  <si>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</si>
  <si>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</si>
  <si>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</si>
  <si>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</si>
  <si>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</si>
  <si>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</si>
  <si>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</si>
  <si>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</si>
  <si>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</si>
  <si>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</si>
  <si>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</si>
  <si>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</si>
  <si>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</si>
  <si>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</si>
  <si>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</si>
  <si>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</si>
  <si>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</si>
  <si>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</si>
  <si>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</si>
  <si>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</si>
  <si>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</si>
  <si>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</si>
  <si>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</si>
  <si>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</si>
  <si>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</si>
  <si>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</si>
  <si>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</si>
  <si>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</si>
  <si>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</si>
  <si>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</si>
  <si>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</si>
  <si>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</si>
  <si>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</si>
  <si>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</si>
  <si>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</si>
  <si>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</si>
  <si>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</si>
  <si>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</si>
  <si>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</si>
  <si>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</si>
  <si>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</si>
  <si>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</si>
  <si>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</si>
  <si>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</si>
  <si>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</si>
  <si>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</si>
  <si>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</si>
  <si>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</si>
  <si>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</si>
  <si>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</si>
  <si>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</si>
  <si>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</si>
  <si>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</si>
  <si>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</si>
  <si>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</si>
  <si>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</si>
  <si>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</si>
  <si>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</si>
  <si>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</si>
  <si>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</si>
  <si>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</si>
  <si>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</si>
  <si>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</si>
  <si>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</si>
  <si>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</si>
  <si>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</si>
  <si>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</si>
  <si>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</si>
  <si>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</si>
  <si>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</si>
  <si>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</si>
  <si>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</si>
  <si>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</si>
  <si>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</si>
  <si>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</si>
  <si>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</si>
  <si>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</si>
  <si>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</si>
  <si>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</si>
  <si>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</si>
  <si>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</si>
  <si>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</si>
  <si>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</si>
  <si>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</si>
  <si>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</si>
  <si>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</si>
  <si>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</si>
  <si>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</si>
  <si>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</si>
  <si>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</si>
  <si>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</si>
  <si>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</si>
  <si>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</si>
  <si>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</si>
  <si>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</si>
  <si>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</si>
  <si>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</si>
  <si>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</si>
  <si>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</si>
  <si>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</si>
  <si>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</si>
  <si>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</si>
  <si>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</si>
  <si>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</si>
  <si>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</si>
  <si>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</si>
  <si>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</si>
  <si>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</si>
  <si>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</si>
  <si>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</si>
  <si>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</si>
  <si>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</si>
  <si>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</si>
  <si>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</si>
  <si>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</si>
  <si>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</si>
  <si>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</si>
  <si>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</si>
  <si>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</si>
  <si>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</si>
  <si>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</si>
  <si>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</si>
  <si>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</si>
  <si>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</si>
  <si>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</si>
  <si>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</si>
  <si>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</si>
  <si>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</si>
  <si>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</si>
  <si>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</si>
  <si>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</si>
  <si>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</si>
  <si>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</si>
  <si>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</si>
  <si>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</si>
  <si>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</si>
  <si>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</si>
  <si>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</si>
  <si>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</si>
  <si>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</si>
  <si>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</si>
  <si>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</si>
  <si>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</si>
  <si>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</si>
  <si>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</si>
  <si>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</si>
  <si>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</si>
  <si>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</si>
  <si>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</si>
  <si>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</si>
  <si>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</si>
  <si>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</si>
  <si>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</si>
  <si>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</si>
  <si>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</si>
  <si>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</si>
  <si>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</si>
  <si>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</si>
  <si>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</si>
  <si>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</si>
  <si>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</si>
  <si>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</si>
  <si>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</si>
  <si>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</si>
  <si>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</si>
  <si>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</si>
  <si>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12035</t>
  </si>
  <si>
    <t>SINT-KATELIJNE-WAVER</t>
  </si>
  <si>
    <t>Paarden&amp;pony's 200 - 600 kg</t>
  </si>
  <si>
    <t>Paarden&amp;pony's &lt; 200 kg</t>
  </si>
  <si>
    <t>Fluvius</t>
  </si>
  <si>
    <t xml:space="preserve">Bron: </t>
  </si>
  <si>
    <t>referentietaak LNE (2017); Jaarverslag De Lijn</t>
  </si>
  <si>
    <t>interne verbrandingsmotor</t>
  </si>
  <si>
    <t>WKK interne verbrandinsgmotor (gas)</t>
  </si>
  <si>
    <t>IVERLEK</t>
  </si>
  <si>
    <t>WKK interne verbrandinsgmotor (vloeibaar)</t>
  </si>
  <si>
    <t>eilandwerking</t>
  </si>
  <si>
    <t>biomassa uit land- of bosbouw</t>
  </si>
  <si>
    <t>niet WKK interne verbrandingsmotor (andere biomassa)</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</si>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</sst>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74F459C0-1DED-4710-BE84-1498BF2C24A1}"/>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12035</v>
      </c>
      <c r="B6" s="384"/>
      <c r="C6" s="385"/>
    </row>
    <row r="7" spans="1:7" s="382" customFormat="1" ht="15.75" customHeight="1">
      <c r="A7" s="386" t="str">
        <f>txtMunicipality</f>
        <v>SINT-KATELIJNE-WAVER</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55421.730159393162</v>
      </c>
      <c r="D10" s="674">
        <f ca="1">tertiair!C16</f>
        <v>0</v>
      </c>
      <c r="E10" s="674">
        <f ca="1">tertiair!D16</f>
        <v>39594.964631683746</v>
      </c>
      <c r="F10" s="674">
        <f>tertiair!E16</f>
        <v>779.20217639987686</v>
      </c>
      <c r="G10" s="674">
        <f ca="1">tertiair!F16</f>
        <v>9459.2858534852785</v>
      </c>
      <c r="H10" s="674">
        <f>tertiair!G16</f>
        <v>0</v>
      </c>
      <c r="I10" s="674">
        <f>tertiair!H16</f>
        <v>0</v>
      </c>
      <c r="J10" s="674">
        <f>tertiair!I16</f>
        <v>0</v>
      </c>
      <c r="K10" s="674">
        <f>tertiair!J16</f>
        <v>0</v>
      </c>
      <c r="L10" s="674">
        <f>tertiair!K16</f>
        <v>0</v>
      </c>
      <c r="M10" s="674">
        <f ca="1">tertiair!L16</f>
        <v>0</v>
      </c>
      <c r="N10" s="674">
        <f>tertiair!M16</f>
        <v>0</v>
      </c>
      <c r="O10" s="674">
        <f ca="1">tertiair!N16</f>
        <v>547.85879213673934</v>
      </c>
      <c r="P10" s="674">
        <f>tertiair!O16</f>
        <v>3.1266666666666669</v>
      </c>
      <c r="Q10" s="675">
        <f>tertiair!P16</f>
        <v>19.066666666666666</v>
      </c>
      <c r="R10" s="677">
        <f ca="1">SUM(C10:Q10)</f>
        <v>105825.23494643215</v>
      </c>
      <c r="S10" s="67"/>
    </row>
    <row r="11" spans="1:19" s="443" customFormat="1">
      <c r="A11" s="789" t="s">
        <v>214</v>
      </c>
      <c r="B11" s="794"/>
      <c r="C11" s="674">
        <f>huishoudens!B8</f>
        <v>36764.898354176024</v>
      </c>
      <c r="D11" s="674">
        <f>huishoudens!C8</f>
        <v>0</v>
      </c>
      <c r="E11" s="674">
        <f>huishoudens!D8</f>
        <v>76167.237615479593</v>
      </c>
      <c r="F11" s="674">
        <f>huishoudens!E8</f>
        <v>1635.9582179977103</v>
      </c>
      <c r="G11" s="674">
        <f>huishoudens!F8</f>
        <v>55842.445066069558</v>
      </c>
      <c r="H11" s="674">
        <f>huishoudens!G8</f>
        <v>0</v>
      </c>
      <c r="I11" s="674">
        <f>huishoudens!H8</f>
        <v>0</v>
      </c>
      <c r="J11" s="674">
        <f>huishoudens!I8</f>
        <v>0</v>
      </c>
      <c r="K11" s="674">
        <f>huishoudens!J8</f>
        <v>1257.4302862526442</v>
      </c>
      <c r="L11" s="674">
        <f>huishoudens!K8</f>
        <v>0</v>
      </c>
      <c r="M11" s="674">
        <f>huishoudens!L8</f>
        <v>0</v>
      </c>
      <c r="N11" s="674">
        <f>huishoudens!M8</f>
        <v>0</v>
      </c>
      <c r="O11" s="674">
        <f>huishoudens!N8</f>
        <v>9502.8191335613683</v>
      </c>
      <c r="P11" s="674">
        <f>huishoudens!O8</f>
        <v>103.17999999999999</v>
      </c>
      <c r="Q11" s="675">
        <f>huishoudens!P8</f>
        <v>343.2</v>
      </c>
      <c r="R11" s="677">
        <f>SUM(C11:Q11)</f>
        <v>181617.16867353689</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6190.5249437916045</v>
      </c>
      <c r="D13" s="674">
        <f>industrie!C18</f>
        <v>0</v>
      </c>
      <c r="E13" s="674">
        <f>industrie!D18</f>
        <v>7413.4672968426494</v>
      </c>
      <c r="F13" s="674">
        <f>industrie!E18</f>
        <v>59.844072622826545</v>
      </c>
      <c r="G13" s="674">
        <f>industrie!F18</f>
        <v>1565.8191206743063</v>
      </c>
      <c r="H13" s="674">
        <f>industrie!G18</f>
        <v>0</v>
      </c>
      <c r="I13" s="674">
        <f>industrie!H18</f>
        <v>0</v>
      </c>
      <c r="J13" s="674">
        <f>industrie!I18</f>
        <v>0</v>
      </c>
      <c r="K13" s="674">
        <f>industrie!J18</f>
        <v>50.130414177071238</v>
      </c>
      <c r="L13" s="674">
        <f>industrie!K18</f>
        <v>0</v>
      </c>
      <c r="M13" s="674">
        <f>industrie!L18</f>
        <v>0</v>
      </c>
      <c r="N13" s="674">
        <f>industrie!M18</f>
        <v>0</v>
      </c>
      <c r="O13" s="674">
        <f>industrie!N18</f>
        <v>137.21879006339299</v>
      </c>
      <c r="P13" s="674">
        <f>industrie!O18</f>
        <v>0</v>
      </c>
      <c r="Q13" s="675">
        <f>industrie!P18</f>
        <v>0</v>
      </c>
      <c r="R13" s="677">
        <f>SUM(C13:Q13)</f>
        <v>15417.004638171851</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98377.153457360793</v>
      </c>
      <c r="D16" s="707">
        <f t="shared" ref="D16:R16" ca="1" si="0">SUM(D9:D15)</f>
        <v>0</v>
      </c>
      <c r="E16" s="707">
        <f t="shared" ca="1" si="0"/>
        <v>123175.66954400598</v>
      </c>
      <c r="F16" s="707">
        <f t="shared" si="0"/>
        <v>2475.0044670204134</v>
      </c>
      <c r="G16" s="707">
        <f t="shared" ca="1" si="0"/>
        <v>66867.550040229136</v>
      </c>
      <c r="H16" s="707">
        <f t="shared" si="0"/>
        <v>0</v>
      </c>
      <c r="I16" s="707">
        <f t="shared" si="0"/>
        <v>0</v>
      </c>
      <c r="J16" s="707">
        <f t="shared" si="0"/>
        <v>0</v>
      </c>
      <c r="K16" s="707">
        <f t="shared" si="0"/>
        <v>1307.5607004297156</v>
      </c>
      <c r="L16" s="707">
        <f t="shared" si="0"/>
        <v>0</v>
      </c>
      <c r="M16" s="707">
        <f t="shared" ca="1" si="0"/>
        <v>0</v>
      </c>
      <c r="N16" s="707">
        <f t="shared" si="0"/>
        <v>0</v>
      </c>
      <c r="O16" s="707">
        <f t="shared" ca="1" si="0"/>
        <v>10187.896715761501</v>
      </c>
      <c r="P16" s="707">
        <f t="shared" si="0"/>
        <v>106.30666666666666</v>
      </c>
      <c r="Q16" s="707">
        <f t="shared" si="0"/>
        <v>362.26666666666665</v>
      </c>
      <c r="R16" s="707">
        <f t="shared" ca="1" si="0"/>
        <v>302859.4082581409</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12.240919653305999</v>
      </c>
      <c r="D19" s="674">
        <f>transport!C54</f>
        <v>0</v>
      </c>
      <c r="E19" s="674">
        <f>transport!D54</f>
        <v>0</v>
      </c>
      <c r="F19" s="674">
        <f>transport!E54</f>
        <v>0</v>
      </c>
      <c r="G19" s="674">
        <f>transport!F54</f>
        <v>0</v>
      </c>
      <c r="H19" s="674">
        <f>transport!G54</f>
        <v>2655.5446216852915</v>
      </c>
      <c r="I19" s="674">
        <f>transport!H54</f>
        <v>0</v>
      </c>
      <c r="J19" s="674">
        <f>transport!I54</f>
        <v>0</v>
      </c>
      <c r="K19" s="674">
        <f>transport!J54</f>
        <v>0</v>
      </c>
      <c r="L19" s="674">
        <f>transport!K54</f>
        <v>0</v>
      </c>
      <c r="M19" s="674">
        <f>transport!L54</f>
        <v>0</v>
      </c>
      <c r="N19" s="674">
        <f>transport!M54</f>
        <v>113.70022009236804</v>
      </c>
      <c r="O19" s="674">
        <f>transport!N54</f>
        <v>0</v>
      </c>
      <c r="P19" s="674">
        <f>transport!O54</f>
        <v>0</v>
      </c>
      <c r="Q19" s="675">
        <f>transport!P54</f>
        <v>0</v>
      </c>
      <c r="R19" s="677">
        <f>SUM(C19:Q19)</f>
        <v>2781.4857614309653</v>
      </c>
      <c r="S19" s="67"/>
    </row>
    <row r="20" spans="1:19" s="443" customFormat="1">
      <c r="A20" s="789" t="s">
        <v>296</v>
      </c>
      <c r="B20" s="794"/>
      <c r="C20" s="674">
        <f>transport!B14</f>
        <v>0.82151726276120751</v>
      </c>
      <c r="D20" s="674">
        <f>transport!C14</f>
        <v>0</v>
      </c>
      <c r="E20" s="674">
        <f>transport!D14</f>
        <v>2.8625725072301229</v>
      </c>
      <c r="F20" s="674">
        <f>transport!E14</f>
        <v>293.40950862591478</v>
      </c>
      <c r="G20" s="674">
        <f>transport!F14</f>
        <v>0</v>
      </c>
      <c r="H20" s="674">
        <f>transport!G14</f>
        <v>50481.034555453698</v>
      </c>
      <c r="I20" s="674">
        <f>transport!H14</f>
        <v>9381.2420489321739</v>
      </c>
      <c r="J20" s="674">
        <f>transport!I14</f>
        <v>0</v>
      </c>
      <c r="K20" s="674">
        <f>transport!J14</f>
        <v>0</v>
      </c>
      <c r="L20" s="674">
        <f>transport!K14</f>
        <v>0</v>
      </c>
      <c r="M20" s="674">
        <f>transport!L14</f>
        <v>0</v>
      </c>
      <c r="N20" s="674">
        <f>transport!M14</f>
        <v>2606.453701302893</v>
      </c>
      <c r="O20" s="674">
        <f>transport!N14</f>
        <v>0</v>
      </c>
      <c r="P20" s="674">
        <f>transport!O14</f>
        <v>0</v>
      </c>
      <c r="Q20" s="675">
        <f>transport!P14</f>
        <v>0</v>
      </c>
      <c r="R20" s="677">
        <f>SUM(C20:Q20)</f>
        <v>62765.823904084667</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13.062436916067206</v>
      </c>
      <c r="D22" s="792">
        <f t="shared" ref="D22:R22" si="1">SUM(D18:D21)</f>
        <v>0</v>
      </c>
      <c r="E22" s="792">
        <f t="shared" si="1"/>
        <v>2.8625725072301229</v>
      </c>
      <c r="F22" s="792">
        <f t="shared" si="1"/>
        <v>293.40950862591478</v>
      </c>
      <c r="G22" s="792">
        <f t="shared" si="1"/>
        <v>0</v>
      </c>
      <c r="H22" s="792">
        <f t="shared" si="1"/>
        <v>53136.579177138992</v>
      </c>
      <c r="I22" s="792">
        <f t="shared" si="1"/>
        <v>9381.2420489321739</v>
      </c>
      <c r="J22" s="792">
        <f t="shared" si="1"/>
        <v>0</v>
      </c>
      <c r="K22" s="792">
        <f t="shared" si="1"/>
        <v>0</v>
      </c>
      <c r="L22" s="792">
        <f t="shared" si="1"/>
        <v>0</v>
      </c>
      <c r="M22" s="792">
        <f t="shared" si="1"/>
        <v>0</v>
      </c>
      <c r="N22" s="792">
        <f t="shared" si="1"/>
        <v>2720.153921395261</v>
      </c>
      <c r="O22" s="792">
        <f t="shared" si="1"/>
        <v>0</v>
      </c>
      <c r="P22" s="792">
        <f t="shared" si="1"/>
        <v>0</v>
      </c>
      <c r="Q22" s="792">
        <f t="shared" si="1"/>
        <v>0</v>
      </c>
      <c r="R22" s="792">
        <f t="shared" si="1"/>
        <v>65547.309665515626</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6589.6976709053506</v>
      </c>
      <c r="D24" s="674">
        <f>+landbouw!C8</f>
        <v>215289.9642857142</v>
      </c>
      <c r="E24" s="674">
        <f>+landbouw!D8</f>
        <v>22611.124495812401</v>
      </c>
      <c r="F24" s="674">
        <f>+landbouw!E8</f>
        <v>69.008740621089714</v>
      </c>
      <c r="G24" s="674">
        <f>+landbouw!F8</f>
        <v>16598.913138298929</v>
      </c>
      <c r="H24" s="674">
        <f>+landbouw!G8</f>
        <v>0</v>
      </c>
      <c r="I24" s="674">
        <f>+landbouw!H8</f>
        <v>0</v>
      </c>
      <c r="J24" s="674">
        <f>+landbouw!I8</f>
        <v>0</v>
      </c>
      <c r="K24" s="674">
        <f>+landbouw!J8</f>
        <v>588.51906647969201</v>
      </c>
      <c r="L24" s="674">
        <f>+landbouw!K8</f>
        <v>0</v>
      </c>
      <c r="M24" s="674">
        <f>+landbouw!L8</f>
        <v>0</v>
      </c>
      <c r="N24" s="674">
        <f>+landbouw!M8</f>
        <v>0</v>
      </c>
      <c r="O24" s="674">
        <f>+landbouw!N8</f>
        <v>0</v>
      </c>
      <c r="P24" s="674">
        <f>+landbouw!O8</f>
        <v>0</v>
      </c>
      <c r="Q24" s="675">
        <f>+landbouw!P8</f>
        <v>0</v>
      </c>
      <c r="R24" s="677">
        <f>SUM(C24:Q24)</f>
        <v>261747.22739783168</v>
      </c>
      <c r="S24" s="67"/>
    </row>
    <row r="25" spans="1:19" s="443" customFormat="1" ht="15" thickBot="1">
      <c r="A25" s="811" t="s">
        <v>889</v>
      </c>
      <c r="B25" s="966"/>
      <c r="C25" s="967">
        <f>IF(Onbekend_ele_kWh="---",0,Onbekend_ele_kWh)/1000+IF(REST_rest_ele_kWh="---",0,REST_rest_ele_kWh)/1000</f>
        <v>1538.80762471715</v>
      </c>
      <c r="D25" s="967"/>
      <c r="E25" s="967">
        <f>IF(onbekend_gas_kWh="---",0,onbekend_gas_kWh)/1000+IF(REST_rest_gas_kWh="---",0,REST_rest_gas_kWh)/1000</f>
        <v>5716.1383903917294</v>
      </c>
      <c r="F25" s="967"/>
      <c r="G25" s="967"/>
      <c r="H25" s="967"/>
      <c r="I25" s="967"/>
      <c r="J25" s="967"/>
      <c r="K25" s="967"/>
      <c r="L25" s="967"/>
      <c r="M25" s="967"/>
      <c r="N25" s="967"/>
      <c r="O25" s="967"/>
      <c r="P25" s="967"/>
      <c r="Q25" s="968"/>
      <c r="R25" s="677">
        <f>SUM(C25:Q25)</f>
        <v>7254.9460151088797</v>
      </c>
      <c r="S25" s="67"/>
    </row>
    <row r="26" spans="1:19" s="443" customFormat="1" ht="15.75" thickBot="1">
      <c r="A26" s="680" t="s">
        <v>890</v>
      </c>
      <c r="B26" s="797"/>
      <c r="C26" s="792">
        <f>SUM(C24:C25)</f>
        <v>8128.5052956225009</v>
      </c>
      <c r="D26" s="792">
        <f t="shared" ref="D26:R26" si="2">SUM(D24:D25)</f>
        <v>215289.9642857142</v>
      </c>
      <c r="E26" s="792">
        <f t="shared" si="2"/>
        <v>28327.262886204131</v>
      </c>
      <c r="F26" s="792">
        <f t="shared" si="2"/>
        <v>69.008740621089714</v>
      </c>
      <c r="G26" s="792">
        <f t="shared" si="2"/>
        <v>16598.913138298929</v>
      </c>
      <c r="H26" s="792">
        <f t="shared" si="2"/>
        <v>0</v>
      </c>
      <c r="I26" s="792">
        <f t="shared" si="2"/>
        <v>0</v>
      </c>
      <c r="J26" s="792">
        <f t="shared" si="2"/>
        <v>0</v>
      </c>
      <c r="K26" s="792">
        <f t="shared" si="2"/>
        <v>588.51906647969201</v>
      </c>
      <c r="L26" s="792">
        <f t="shared" si="2"/>
        <v>0</v>
      </c>
      <c r="M26" s="792">
        <f t="shared" si="2"/>
        <v>0</v>
      </c>
      <c r="N26" s="792">
        <f t="shared" si="2"/>
        <v>0</v>
      </c>
      <c r="O26" s="792">
        <f t="shared" si="2"/>
        <v>0</v>
      </c>
      <c r="P26" s="792">
        <f t="shared" si="2"/>
        <v>0</v>
      </c>
      <c r="Q26" s="792">
        <f t="shared" si="2"/>
        <v>0</v>
      </c>
      <c r="R26" s="792">
        <f t="shared" si="2"/>
        <v>269002.17341294058</v>
      </c>
      <c r="S26" s="67"/>
    </row>
    <row r="27" spans="1:19" s="443" customFormat="1" ht="17.25" thickTop="1" thickBot="1">
      <c r="A27" s="681" t="s">
        <v>109</v>
      </c>
      <c r="B27" s="784"/>
      <c r="C27" s="682">
        <f ca="1">C22+C16+C26</f>
        <v>106518.72118989936</v>
      </c>
      <c r="D27" s="682">
        <f t="shared" ref="D27:R27" ca="1" si="3">D22+D16+D26</f>
        <v>215289.9642857142</v>
      </c>
      <c r="E27" s="682">
        <f t="shared" ca="1" si="3"/>
        <v>151505.79500271735</v>
      </c>
      <c r="F27" s="682">
        <f t="shared" si="3"/>
        <v>2837.4227162674179</v>
      </c>
      <c r="G27" s="682">
        <f t="shared" ca="1" si="3"/>
        <v>83466.463178528065</v>
      </c>
      <c r="H27" s="682">
        <f t="shared" si="3"/>
        <v>53136.579177138992</v>
      </c>
      <c r="I27" s="682">
        <f t="shared" si="3"/>
        <v>9381.2420489321739</v>
      </c>
      <c r="J27" s="682">
        <f t="shared" si="3"/>
        <v>0</v>
      </c>
      <c r="K27" s="682">
        <f t="shared" si="3"/>
        <v>1896.0797669094077</v>
      </c>
      <c r="L27" s="682">
        <f t="shared" si="3"/>
        <v>0</v>
      </c>
      <c r="M27" s="682">
        <f t="shared" ca="1" si="3"/>
        <v>0</v>
      </c>
      <c r="N27" s="682">
        <f t="shared" si="3"/>
        <v>2720.153921395261</v>
      </c>
      <c r="O27" s="682">
        <f t="shared" ca="1" si="3"/>
        <v>10187.896715761501</v>
      </c>
      <c r="P27" s="682">
        <f t="shared" si="3"/>
        <v>106.30666666666666</v>
      </c>
      <c r="Q27" s="682">
        <f t="shared" si="3"/>
        <v>362.26666666666665</v>
      </c>
      <c r="R27" s="682">
        <f t="shared" ca="1" si="3"/>
        <v>637408.89133659704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11545.802232711741</v>
      </c>
      <c r="D40" s="674">
        <f ca="1">tertiair!C20</f>
        <v>0</v>
      </c>
      <c r="E40" s="674">
        <f ca="1">tertiair!D20</f>
        <v>7998.1828556001174</v>
      </c>
      <c r="F40" s="674">
        <f>tertiair!E20</f>
        <v>176.87889404277206</v>
      </c>
      <c r="G40" s="674">
        <f ca="1">tertiair!F20</f>
        <v>2525.6293228805694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22246.493305235203</v>
      </c>
    </row>
    <row r="41" spans="1:18">
      <c r="A41" s="802" t="s">
        <v>214</v>
      </c>
      <c r="B41" s="809"/>
      <c r="C41" s="674">
        <f ca="1">huishoudens!B12</f>
        <v>7659.0940824521094</v>
      </c>
      <c r="D41" s="674">
        <f ca="1">huishoudens!C12</f>
        <v>0</v>
      </c>
      <c r="E41" s="674">
        <f>huishoudens!D12</f>
        <v>15385.781998326878</v>
      </c>
      <c r="F41" s="674">
        <f>huishoudens!E12</f>
        <v>371.36251548548023</v>
      </c>
      <c r="G41" s="674">
        <f>huishoudens!F12</f>
        <v>14909.932832640572</v>
      </c>
      <c r="H41" s="674">
        <f>huishoudens!G12</f>
        <v>0</v>
      </c>
      <c r="I41" s="674">
        <f>huishoudens!H12</f>
        <v>0</v>
      </c>
      <c r="J41" s="674">
        <f>huishoudens!I12</f>
        <v>0</v>
      </c>
      <c r="K41" s="674">
        <f>huishoudens!J12</f>
        <v>445.13032133343603</v>
      </c>
      <c r="L41" s="674">
        <f>huishoudens!K12</f>
        <v>0</v>
      </c>
      <c r="M41" s="674">
        <f>huishoudens!L12</f>
        <v>0</v>
      </c>
      <c r="N41" s="674">
        <f>huishoudens!M12</f>
        <v>0</v>
      </c>
      <c r="O41" s="674">
        <f>huishoudens!N12</f>
        <v>0</v>
      </c>
      <c r="P41" s="674">
        <f>huishoudens!O12</f>
        <v>0</v>
      </c>
      <c r="Q41" s="749">
        <f>huishoudens!P12</f>
        <v>0</v>
      </c>
      <c r="R41" s="830">
        <f t="shared" ca="1" si="4"/>
        <v>38771.301750238483</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1289.6489610144904</v>
      </c>
      <c r="D43" s="674">
        <f ca="1">industrie!C22</f>
        <v>0</v>
      </c>
      <c r="E43" s="674">
        <f>industrie!D22</f>
        <v>1497.5203939622152</v>
      </c>
      <c r="F43" s="674">
        <f>industrie!E22</f>
        <v>13.584604485381625</v>
      </c>
      <c r="G43" s="674">
        <f>industrie!F22</f>
        <v>418.07370522003981</v>
      </c>
      <c r="H43" s="674">
        <f>industrie!G22</f>
        <v>0</v>
      </c>
      <c r="I43" s="674">
        <f>industrie!H22</f>
        <v>0</v>
      </c>
      <c r="J43" s="674">
        <f>industrie!I22</f>
        <v>0</v>
      </c>
      <c r="K43" s="674">
        <f>industrie!J22</f>
        <v>17.746166618683219</v>
      </c>
      <c r="L43" s="674">
        <f>industrie!K22</f>
        <v>0</v>
      </c>
      <c r="M43" s="674">
        <f>industrie!L22</f>
        <v>0</v>
      </c>
      <c r="N43" s="674">
        <f>industrie!M22</f>
        <v>0</v>
      </c>
      <c r="O43" s="674">
        <f>industrie!N22</f>
        <v>0</v>
      </c>
      <c r="P43" s="674">
        <f>industrie!O22</f>
        <v>0</v>
      </c>
      <c r="Q43" s="749">
        <f>industrie!P22</f>
        <v>0</v>
      </c>
      <c r="R43" s="829">
        <f t="shared" ca="1" si="4"/>
        <v>3236.5738313008101</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20494.545276178342</v>
      </c>
      <c r="D46" s="707">
        <f t="shared" ref="D46:Q46" ca="1" si="5">SUM(D39:D45)</f>
        <v>0</v>
      </c>
      <c r="E46" s="707">
        <f t="shared" ca="1" si="5"/>
        <v>24881.48524788921</v>
      </c>
      <c r="F46" s="707">
        <f t="shared" si="5"/>
        <v>561.82601401363388</v>
      </c>
      <c r="G46" s="707">
        <f t="shared" ca="1" si="5"/>
        <v>17853.635860741178</v>
      </c>
      <c r="H46" s="707">
        <f t="shared" si="5"/>
        <v>0</v>
      </c>
      <c r="I46" s="707">
        <f t="shared" si="5"/>
        <v>0</v>
      </c>
      <c r="J46" s="707">
        <f t="shared" si="5"/>
        <v>0</v>
      </c>
      <c r="K46" s="707">
        <f t="shared" si="5"/>
        <v>462.87648795211925</v>
      </c>
      <c r="L46" s="707">
        <f t="shared" si="5"/>
        <v>0</v>
      </c>
      <c r="M46" s="707">
        <f t="shared" ca="1" si="5"/>
        <v>0</v>
      </c>
      <c r="N46" s="707">
        <f t="shared" si="5"/>
        <v>0</v>
      </c>
      <c r="O46" s="707">
        <f t="shared" ca="1" si="5"/>
        <v>0</v>
      </c>
      <c r="P46" s="707">
        <f t="shared" si="5"/>
        <v>0</v>
      </c>
      <c r="Q46" s="707">
        <f t="shared" si="5"/>
        <v>0</v>
      </c>
      <c r="R46" s="707">
        <f ca="1">SUM(R39:R45)</f>
        <v>64254.3688867745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2.5501051132311483</v>
      </c>
      <c r="D49" s="674">
        <f ca="1">transport!C58</f>
        <v>0</v>
      </c>
      <c r="E49" s="674">
        <f>transport!D58</f>
        <v>0</v>
      </c>
      <c r="F49" s="674">
        <f>transport!E58</f>
        <v>0</v>
      </c>
      <c r="G49" s="674">
        <f>transport!F58</f>
        <v>0</v>
      </c>
      <c r="H49" s="674">
        <f>transport!G58</f>
        <v>709.03041398997289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711.58051910320398</v>
      </c>
    </row>
    <row r="50" spans="1:18">
      <c r="A50" s="805" t="s">
        <v>296</v>
      </c>
      <c r="B50" s="815"/>
      <c r="C50" s="973">
        <f ca="1">transport!B18</f>
        <v>0.17114362578216999</v>
      </c>
      <c r="D50" s="973">
        <f>transport!C18</f>
        <v>0</v>
      </c>
      <c r="E50" s="973">
        <f>transport!D18</f>
        <v>0.57823964646048487</v>
      </c>
      <c r="F50" s="973">
        <f>transport!E18</f>
        <v>66.603958458082658</v>
      </c>
      <c r="G50" s="973">
        <f>transport!F18</f>
        <v>0</v>
      </c>
      <c r="H50" s="973">
        <f>transport!G18</f>
        <v>13478.436226306138</v>
      </c>
      <c r="I50" s="973">
        <f>transport!H18</f>
        <v>2335.9292701841114</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15881.718838220575</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2.7212487390133182</v>
      </c>
      <c r="D52" s="707">
        <f t="shared" ref="D52:Q52" ca="1" si="6">SUM(D48:D51)</f>
        <v>0</v>
      </c>
      <c r="E52" s="707">
        <f t="shared" si="6"/>
        <v>0.57823964646048487</v>
      </c>
      <c r="F52" s="707">
        <f t="shared" si="6"/>
        <v>66.603958458082658</v>
      </c>
      <c r="G52" s="707">
        <f t="shared" si="6"/>
        <v>0</v>
      </c>
      <c r="H52" s="707">
        <f t="shared" si="6"/>
        <v>14187.46664029611</v>
      </c>
      <c r="I52" s="707">
        <f t="shared" si="6"/>
        <v>2335.9292701841114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16593.29935732378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1372.8071257035515</v>
      </c>
      <c r="D54" s="973">
        <f ca="1">+landbouw!C12</f>
        <v>46198.071841879522</v>
      </c>
      <c r="E54" s="973">
        <f>+landbouw!D12</f>
        <v>4567.447148154105</v>
      </c>
      <c r="F54" s="973">
        <f>+landbouw!E12</f>
        <v>15.664984120987366</v>
      </c>
      <c r="G54" s="973">
        <f>+landbouw!F12</f>
        <v>4431.9098079258147</v>
      </c>
      <c r="H54" s="973">
        <f>+landbouw!G12</f>
        <v>0</v>
      </c>
      <c r="I54" s="973">
        <f>+landbouw!H12</f>
        <v>0</v>
      </c>
      <c r="J54" s="973">
        <f>+landbouw!I12</f>
        <v>0</v>
      </c>
      <c r="K54" s="973">
        <f>+landbouw!J12</f>
        <v>208.33574953381097</v>
      </c>
      <c r="L54" s="973">
        <f>+landbouw!K12</f>
        <v>0</v>
      </c>
      <c r="M54" s="973">
        <f>+landbouw!L12</f>
        <v>0</v>
      </c>
      <c r="N54" s="973">
        <f>+landbouw!M12</f>
        <v>0</v>
      </c>
      <c r="O54" s="973">
        <f>+landbouw!N12</f>
        <v>0</v>
      </c>
      <c r="P54" s="973">
        <f>+landbouw!O12</f>
        <v>0</v>
      </c>
      <c r="Q54" s="974">
        <f>+landbouw!P12</f>
        <v>0</v>
      </c>
      <c r="R54" s="706">
        <f ca="1">SUM(C54:Q54)</f>
        <v>56794.236657317786</v>
      </c>
    </row>
    <row r="55" spans="1:18" ht="15" thickBot="1">
      <c r="A55" s="805" t="s">
        <v>889</v>
      </c>
      <c r="B55" s="815"/>
      <c r="C55" s="973">
        <f ca="1">C25*'EF ele_warmte'!B12</f>
        <v>320.57405025205475</v>
      </c>
      <c r="D55" s="973"/>
      <c r="E55" s="973">
        <f>E25*EF_CO2_aardgas</f>
        <v>1154.6599548591294</v>
      </c>
      <c r="F55" s="973"/>
      <c r="G55" s="973"/>
      <c r="H55" s="973"/>
      <c r="I55" s="973"/>
      <c r="J55" s="973"/>
      <c r="K55" s="973"/>
      <c r="L55" s="973"/>
      <c r="M55" s="973"/>
      <c r="N55" s="973"/>
      <c r="O55" s="973"/>
      <c r="P55" s="973"/>
      <c r="Q55" s="974"/>
      <c r="R55" s="706">
        <f ca="1">SUM(C55:Q55)</f>
        <v>1475.2340051111842</v>
      </c>
    </row>
    <row r="56" spans="1:18" ht="15.75" thickBot="1">
      <c r="A56" s="803" t="s">
        <v>890</v>
      </c>
      <c r="B56" s="816"/>
      <c r="C56" s="707">
        <f ca="1">SUM(C54:C55)</f>
        <v>1693.3811759556063</v>
      </c>
      <c r="D56" s="707">
        <f t="shared" ref="D56:Q56" ca="1" si="7">SUM(D54:D55)</f>
        <v>46198.071841879522</v>
      </c>
      <c r="E56" s="707">
        <f t="shared" si="7"/>
        <v>5722.1071030132343</v>
      </c>
      <c r="F56" s="707">
        <f t="shared" si="7"/>
        <v>15.664984120987366</v>
      </c>
      <c r="G56" s="707">
        <f t="shared" si="7"/>
        <v>4431.9098079258147</v>
      </c>
      <c r="H56" s="707">
        <f t="shared" si="7"/>
        <v>0</v>
      </c>
      <c r="I56" s="707">
        <f t="shared" si="7"/>
        <v>0</v>
      </c>
      <c r="J56" s="707">
        <f t="shared" si="7"/>
        <v>0</v>
      </c>
      <c r="K56" s="707">
        <f t="shared" si="7"/>
        <v>208.33574953381097</v>
      </c>
      <c r="L56" s="707">
        <f t="shared" si="7"/>
        <v>0</v>
      </c>
      <c r="M56" s="707">
        <f t="shared" si="7"/>
        <v>0</v>
      </c>
      <c r="N56" s="707">
        <f t="shared" si="7"/>
        <v>0</v>
      </c>
      <c r="O56" s="707">
        <f t="shared" si="7"/>
        <v>0</v>
      </c>
      <c r="P56" s="707">
        <f t="shared" si="7"/>
        <v>0</v>
      </c>
      <c r="Q56" s="708">
        <f t="shared" si="7"/>
        <v>0</v>
      </c>
      <c r="R56" s="709">
        <f ca="1">SUM(R54:R55)</f>
        <v>58269.470662428968</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22190.64770087296</v>
      </c>
      <c r="D61" s="715">
        <f t="shared" ref="D61:Q61" ca="1" si="8">D46+D52+D56</f>
        <v>46198.071841879522</v>
      </c>
      <c r="E61" s="715">
        <f t="shared" ca="1" si="8"/>
        <v>30604.170590548903</v>
      </c>
      <c r="F61" s="715">
        <f t="shared" si="8"/>
        <v>644.09495659270385</v>
      </c>
      <c r="G61" s="715">
        <f t="shared" ca="1" si="8"/>
        <v>22285.545668666993</v>
      </c>
      <c r="H61" s="715">
        <f t="shared" si="8"/>
        <v>14187.46664029611</v>
      </c>
      <c r="I61" s="715">
        <f t="shared" si="8"/>
        <v>2335.9292701841114</v>
      </c>
      <c r="J61" s="715">
        <f t="shared" si="8"/>
        <v>0</v>
      </c>
      <c r="K61" s="715">
        <f t="shared" si="8"/>
        <v>671.21223748593025</v>
      </c>
      <c r="L61" s="715">
        <f t="shared" si="8"/>
        <v>0</v>
      </c>
      <c r="M61" s="715">
        <f t="shared" ca="1" si="8"/>
        <v>0</v>
      </c>
      <c r="N61" s="715">
        <f t="shared" si="8"/>
        <v>0</v>
      </c>
      <c r="O61" s="715">
        <f t="shared" ca="1" si="8"/>
        <v>0</v>
      </c>
      <c r="P61" s="715">
        <f t="shared" si="8"/>
        <v>0</v>
      </c>
      <c r="Q61" s="715">
        <f t="shared" si="8"/>
        <v>0</v>
      </c>
      <c r="R61" s="715">
        <f ca="1">R46+R52+R56</f>
        <v>139117.13890652725</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0.20832626840601978</v>
      </c>
      <c r="D63" s="759">
        <f t="shared" ca="1" si="9"/>
        <v>0.21458534769679019</v>
      </c>
      <c r="E63" s="975">
        <f t="shared" ca="1" si="9"/>
        <v>0.20199999999999999</v>
      </c>
      <c r="F63" s="759">
        <f t="shared" si="9"/>
        <v>0.22700000000000001</v>
      </c>
      <c r="G63" s="759">
        <f t="shared" ca="1" si="9"/>
        <v>0.26700000000000002</v>
      </c>
      <c r="H63" s="759">
        <f t="shared" si="9"/>
        <v>0.26699999999999996</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4658.2637210852299</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16432.613467105701</v>
      </c>
      <c r="C76" s="725">
        <f>'lokale energieproductie'!B8*IFERROR(SUM(D76:H76)/SUM(D76:O76),0)</f>
        <v>139174.01153289431</v>
      </c>
      <c r="D76" s="985">
        <f>'lokale energieproductie'!C8</f>
        <v>158863.25084463524</v>
      </c>
      <c r="E76" s="986">
        <f>'lokale energieproductie'!D8</f>
        <v>0</v>
      </c>
      <c r="F76" s="986">
        <f>'lokale energieproductie'!E8</f>
        <v>4870.880370534549</v>
      </c>
      <c r="G76" s="986">
        <f>'lokale energieproductie'!F8</f>
        <v>0</v>
      </c>
      <c r="H76" s="986">
        <f>'lokale energieproductie'!G8</f>
        <v>0</v>
      </c>
      <c r="I76" s="986">
        <f>'lokale energieproductie'!I8</f>
        <v>19332.486431889065</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33390.901729549048</v>
      </c>
      <c r="R76" s="832">
        <v>0</v>
      </c>
    </row>
    <row r="77" spans="1:18" ht="30.75" thickBot="1">
      <c r="A77" s="728" t="s">
        <v>340</v>
      </c>
      <c r="B77" s="725">
        <f>'lokale energieproductie'!B9*IFERROR(SUM(I77:O77)/SUM(D77:O77),0)</f>
        <v>16.875</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42.1875</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21107.752188190931</v>
      </c>
      <c r="C78" s="730">
        <f>SUM(C72:C77)</f>
        <v>139174.01153289431</v>
      </c>
      <c r="D78" s="731">
        <f t="shared" ref="D78:H78" si="10">SUM(D76:D77)</f>
        <v>158863.25084463524</v>
      </c>
      <c r="E78" s="731">
        <f t="shared" si="10"/>
        <v>0</v>
      </c>
      <c r="F78" s="731">
        <f t="shared" si="10"/>
        <v>4870.880370534549</v>
      </c>
      <c r="G78" s="731">
        <f t="shared" si="10"/>
        <v>0</v>
      </c>
      <c r="H78" s="731">
        <f t="shared" si="10"/>
        <v>0</v>
      </c>
      <c r="I78" s="731">
        <f>SUM(I76:I77)</f>
        <v>19332.486431889065</v>
      </c>
      <c r="J78" s="731">
        <f>SUM(J76:J77)</f>
        <v>42.1875</v>
      </c>
      <c r="K78" s="731">
        <f t="shared" ref="K78:L78" si="11">SUM(K76:K77)</f>
        <v>0</v>
      </c>
      <c r="L78" s="731">
        <f t="shared" si="11"/>
        <v>0</v>
      </c>
      <c r="M78" s="731">
        <f>SUM(M76:M77)</f>
        <v>0</v>
      </c>
      <c r="N78" s="731">
        <f>SUM(N76:N77)</f>
        <v>0</v>
      </c>
      <c r="O78" s="840">
        <f>SUM(O76:O77)</f>
        <v>0</v>
      </c>
      <c r="P78" s="732">
        <v>0</v>
      </c>
      <c r="Q78" s="732">
        <f>SUM(Q76:Q77)</f>
        <v>33390.901729549048</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22735.386532894292</v>
      </c>
      <c r="C87" s="741">
        <f>'lokale energieproductie'!B17*IFERROR(SUM(D87:H87)/SUM(D87:O87),0)</f>
        <v>192554.5777528199</v>
      </c>
      <c r="D87" s="752">
        <f>'lokale energieproductie'!C17</f>
        <v>219795.67772679328</v>
      </c>
      <c r="E87" s="752">
        <f>'lokale energieproductie'!D17</f>
        <v>0</v>
      </c>
      <c r="F87" s="752">
        <f>'lokale energieproductie'!E17</f>
        <v>6739.119629465451</v>
      </c>
      <c r="G87" s="752">
        <f>'lokale energieproductie'!F17</f>
        <v>0</v>
      </c>
      <c r="H87" s="752">
        <f>'lokale energieproductie'!G17</f>
        <v>0</v>
      </c>
      <c r="I87" s="752">
        <f>'lokale energieproductie'!I17</f>
        <v>26747.513568110935</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46198.071841879522</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22735.386532894292</v>
      </c>
      <c r="C90" s="730">
        <f>SUM(C87:C89)</f>
        <v>192554.5777528199</v>
      </c>
      <c r="D90" s="730">
        <f t="shared" ref="D90:H90" si="12">SUM(D87:D89)</f>
        <v>219795.67772679328</v>
      </c>
      <c r="E90" s="730">
        <f t="shared" si="12"/>
        <v>0</v>
      </c>
      <c r="F90" s="730">
        <f t="shared" si="12"/>
        <v>6739.119629465451</v>
      </c>
      <c r="G90" s="730">
        <f t="shared" si="12"/>
        <v>0</v>
      </c>
      <c r="H90" s="730">
        <f t="shared" si="12"/>
        <v>0</v>
      </c>
      <c r="I90" s="730">
        <f>SUM(I87:I89)</f>
        <v>26747.513568110935</v>
      </c>
      <c r="J90" s="730">
        <f>SUM(J87:J89)</f>
        <v>0</v>
      </c>
      <c r="K90" s="730">
        <f t="shared" ref="K90:L90" si="13">SUM(K87:K89)</f>
        <v>0</v>
      </c>
      <c r="L90" s="730">
        <f t="shared" si="13"/>
        <v>0</v>
      </c>
      <c r="M90" s="730">
        <f>SUM(M87:M89)</f>
        <v>0</v>
      </c>
      <c r="N90" s="730">
        <f>SUM(N87:N89)</f>
        <v>0</v>
      </c>
      <c r="O90" s="730">
        <f>SUM(O87:O89)</f>
        <v>0</v>
      </c>
      <c r="P90" s="730">
        <v>0</v>
      </c>
      <c r="Q90" s="730">
        <f>SUM(Q87:Q89)</f>
        <v>46198.071841879522</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36764.898354176024</v>
      </c>
      <c r="C4" s="447">
        <f>huishoudens!C8</f>
        <v>0</v>
      </c>
      <c r="D4" s="447">
        <f>huishoudens!D8</f>
        <v>76167.237615479593</v>
      </c>
      <c r="E4" s="447">
        <f>huishoudens!E8</f>
        <v>1635.9582179977103</v>
      </c>
      <c r="F4" s="447">
        <f>huishoudens!F8</f>
        <v>55842.445066069558</v>
      </c>
      <c r="G4" s="447">
        <f>huishoudens!G8</f>
        <v>0</v>
      </c>
      <c r="H4" s="447">
        <f>huishoudens!H8</f>
        <v>0</v>
      </c>
      <c r="I4" s="447">
        <f>huishoudens!I8</f>
        <v>0</v>
      </c>
      <c r="J4" s="447">
        <f>huishoudens!J8</f>
        <v>1257.4302862526442</v>
      </c>
      <c r="K4" s="447">
        <f>huishoudens!K8</f>
        <v>0</v>
      </c>
      <c r="L4" s="447">
        <f>huishoudens!L8</f>
        <v>0</v>
      </c>
      <c r="M4" s="447">
        <f>huishoudens!M8</f>
        <v>0</v>
      </c>
      <c r="N4" s="447">
        <f>huishoudens!N8</f>
        <v>9502.8191335613683</v>
      </c>
      <c r="O4" s="447">
        <f>huishoudens!O8</f>
        <v>103.17999999999999</v>
      </c>
      <c r="P4" s="448">
        <f>huishoudens!P8</f>
        <v>343.2</v>
      </c>
      <c r="Q4" s="449">
        <f>SUM(B4:P4)</f>
        <v>181617.16867353689</v>
      </c>
    </row>
    <row r="5" spans="1:17">
      <c r="A5" s="446" t="s">
        <v>149</v>
      </c>
      <c r="B5" s="447">
        <f ca="1">tertiair!B16</f>
        <v>53806.622159393162</v>
      </c>
      <c r="C5" s="447">
        <f ca="1">tertiair!C16</f>
        <v>0</v>
      </c>
      <c r="D5" s="447">
        <f ca="1">tertiair!D16</f>
        <v>39594.964631683746</v>
      </c>
      <c r="E5" s="447">
        <f>tertiair!E16</f>
        <v>779.20217639987686</v>
      </c>
      <c r="F5" s="447">
        <f ca="1">tertiair!F16</f>
        <v>9459.2858534852785</v>
      </c>
      <c r="G5" s="447">
        <f>tertiair!G16</f>
        <v>0</v>
      </c>
      <c r="H5" s="447">
        <f>tertiair!H16</f>
        <v>0</v>
      </c>
      <c r="I5" s="447">
        <f>tertiair!I16</f>
        <v>0</v>
      </c>
      <c r="J5" s="447">
        <f>tertiair!J16</f>
        <v>0</v>
      </c>
      <c r="K5" s="447">
        <f>tertiair!K16</f>
        <v>0</v>
      </c>
      <c r="L5" s="447">
        <f ca="1">tertiair!L16</f>
        <v>0</v>
      </c>
      <c r="M5" s="447">
        <f>tertiair!M16</f>
        <v>0</v>
      </c>
      <c r="N5" s="447">
        <f ca="1">tertiair!N16</f>
        <v>547.85879213673934</v>
      </c>
      <c r="O5" s="447">
        <f>tertiair!O16</f>
        <v>3.1266666666666669</v>
      </c>
      <c r="P5" s="448">
        <f>tertiair!P16</f>
        <v>19.066666666666666</v>
      </c>
      <c r="Q5" s="446">
        <f t="shared" ref="Q5:Q14" ca="1" si="0">SUM(B5:P5)</f>
        <v>104210.12694643214</v>
      </c>
    </row>
    <row r="6" spans="1:17">
      <c r="A6" s="446" t="s">
        <v>187</v>
      </c>
      <c r="B6" s="447">
        <f>'openbare verlichting'!B8</f>
        <v>1615.1079999999999</v>
      </c>
      <c r="C6" s="447"/>
      <c r="D6" s="447"/>
      <c r="E6" s="447"/>
      <c r="F6" s="447"/>
      <c r="G6" s="447"/>
      <c r="H6" s="447"/>
      <c r="I6" s="447"/>
      <c r="J6" s="447"/>
      <c r="K6" s="447"/>
      <c r="L6" s="447"/>
      <c r="M6" s="447"/>
      <c r="N6" s="447"/>
      <c r="O6" s="447"/>
      <c r="P6" s="448"/>
      <c r="Q6" s="446">
        <f t="shared" si="0"/>
        <v>1615.1079999999999</v>
      </c>
    </row>
    <row r="7" spans="1:17">
      <c r="A7" s="446" t="s">
        <v>105</v>
      </c>
      <c r="B7" s="447">
        <f>landbouw!B8</f>
        <v>6589.6976709053506</v>
      </c>
      <c r="C7" s="447">
        <f>landbouw!C8</f>
        <v>215289.9642857142</v>
      </c>
      <c r="D7" s="447">
        <f>landbouw!D8</f>
        <v>22611.124495812401</v>
      </c>
      <c r="E7" s="447">
        <f>landbouw!E8</f>
        <v>69.008740621089714</v>
      </c>
      <c r="F7" s="447">
        <f>landbouw!F8</f>
        <v>16598.913138298929</v>
      </c>
      <c r="G7" s="447">
        <f>landbouw!G8</f>
        <v>0</v>
      </c>
      <c r="H7" s="447">
        <f>landbouw!H8</f>
        <v>0</v>
      </c>
      <c r="I7" s="447">
        <f>landbouw!I8</f>
        <v>0</v>
      </c>
      <c r="J7" s="447">
        <f>landbouw!J8</f>
        <v>588.51906647969201</v>
      </c>
      <c r="K7" s="447">
        <f>landbouw!K8</f>
        <v>0</v>
      </c>
      <c r="L7" s="447">
        <f>landbouw!L8</f>
        <v>0</v>
      </c>
      <c r="M7" s="447">
        <f>landbouw!M8</f>
        <v>0</v>
      </c>
      <c r="N7" s="447">
        <f>landbouw!N8</f>
        <v>0</v>
      </c>
      <c r="O7" s="447">
        <f>landbouw!O8</f>
        <v>0</v>
      </c>
      <c r="P7" s="448">
        <f>landbouw!P8</f>
        <v>0</v>
      </c>
      <c r="Q7" s="446">
        <f t="shared" si="0"/>
        <v>261747.22739783168</v>
      </c>
    </row>
    <row r="8" spans="1:17">
      <c r="A8" s="446" t="s">
        <v>637</v>
      </c>
      <c r="B8" s="447">
        <f>industrie!B18</f>
        <v>6190.5249437916045</v>
      </c>
      <c r="C8" s="447">
        <f>industrie!C18</f>
        <v>0</v>
      </c>
      <c r="D8" s="447">
        <f>industrie!D18</f>
        <v>7413.4672968426494</v>
      </c>
      <c r="E8" s="447">
        <f>industrie!E18</f>
        <v>59.844072622826545</v>
      </c>
      <c r="F8" s="447">
        <f>industrie!F18</f>
        <v>1565.8191206743063</v>
      </c>
      <c r="G8" s="447">
        <f>industrie!G18</f>
        <v>0</v>
      </c>
      <c r="H8" s="447">
        <f>industrie!H18</f>
        <v>0</v>
      </c>
      <c r="I8" s="447">
        <f>industrie!I18</f>
        <v>0</v>
      </c>
      <c r="J8" s="447">
        <f>industrie!J18</f>
        <v>50.130414177071238</v>
      </c>
      <c r="K8" s="447">
        <f>industrie!K18</f>
        <v>0</v>
      </c>
      <c r="L8" s="447">
        <f>industrie!L18</f>
        <v>0</v>
      </c>
      <c r="M8" s="447">
        <f>industrie!M18</f>
        <v>0</v>
      </c>
      <c r="N8" s="447">
        <f>industrie!N18</f>
        <v>137.21879006339299</v>
      </c>
      <c r="O8" s="447">
        <f>industrie!O18</f>
        <v>0</v>
      </c>
      <c r="P8" s="448">
        <f>industrie!P18</f>
        <v>0</v>
      </c>
      <c r="Q8" s="446">
        <f t="shared" si="0"/>
        <v>15417.004638171851</v>
      </c>
    </row>
    <row r="9" spans="1:17" s="452" customFormat="1">
      <c r="A9" s="450" t="s">
        <v>556</v>
      </c>
      <c r="B9" s="451">
        <f>transport!B14</f>
        <v>0.82151726276120751</v>
      </c>
      <c r="C9" s="451">
        <f>transport!C14</f>
        <v>0</v>
      </c>
      <c r="D9" s="451">
        <f>transport!D14</f>
        <v>2.8625725072301229</v>
      </c>
      <c r="E9" s="451">
        <f>transport!E14</f>
        <v>293.40950862591478</v>
      </c>
      <c r="F9" s="451">
        <f>transport!F14</f>
        <v>0</v>
      </c>
      <c r="G9" s="451">
        <f>transport!G14</f>
        <v>50481.034555453698</v>
      </c>
      <c r="H9" s="451">
        <f>transport!H14</f>
        <v>9381.2420489321739</v>
      </c>
      <c r="I9" s="451">
        <f>transport!I14</f>
        <v>0</v>
      </c>
      <c r="J9" s="451">
        <f>transport!J14</f>
        <v>0</v>
      </c>
      <c r="K9" s="451">
        <f>transport!K14</f>
        <v>0</v>
      </c>
      <c r="L9" s="451">
        <f>transport!L14</f>
        <v>0</v>
      </c>
      <c r="M9" s="451">
        <f>transport!M14</f>
        <v>2606.453701302893</v>
      </c>
      <c r="N9" s="451">
        <f>transport!N14</f>
        <v>0</v>
      </c>
      <c r="O9" s="451">
        <f>transport!O14</f>
        <v>0</v>
      </c>
      <c r="P9" s="451">
        <f>transport!P14</f>
        <v>0</v>
      </c>
      <c r="Q9" s="450">
        <f>SUM(B9:P9)</f>
        <v>62765.823904084667</v>
      </c>
    </row>
    <row r="10" spans="1:17">
      <c r="A10" s="446" t="s">
        <v>546</v>
      </c>
      <c r="B10" s="447">
        <f>transport!B54</f>
        <v>12.240919653305999</v>
      </c>
      <c r="C10" s="447">
        <f>transport!C54</f>
        <v>0</v>
      </c>
      <c r="D10" s="447">
        <f>transport!D54</f>
        <v>0</v>
      </c>
      <c r="E10" s="447">
        <f>transport!E54</f>
        <v>0</v>
      </c>
      <c r="F10" s="447">
        <f>transport!F54</f>
        <v>0</v>
      </c>
      <c r="G10" s="447">
        <f>transport!G54</f>
        <v>2655.5446216852915</v>
      </c>
      <c r="H10" s="447">
        <f>transport!H54</f>
        <v>0</v>
      </c>
      <c r="I10" s="447">
        <f>transport!I54</f>
        <v>0</v>
      </c>
      <c r="J10" s="447">
        <f>transport!J54</f>
        <v>0</v>
      </c>
      <c r="K10" s="447">
        <f>transport!K54</f>
        <v>0</v>
      </c>
      <c r="L10" s="447">
        <f>transport!L54</f>
        <v>0</v>
      </c>
      <c r="M10" s="447">
        <f>transport!M54</f>
        <v>113.70022009236804</v>
      </c>
      <c r="N10" s="447">
        <f>transport!N54</f>
        <v>0</v>
      </c>
      <c r="O10" s="447">
        <f>transport!O54</f>
        <v>0</v>
      </c>
      <c r="P10" s="448">
        <f>transport!P54</f>
        <v>0</v>
      </c>
      <c r="Q10" s="446">
        <f t="shared" si="0"/>
        <v>2781.4857614309653</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1538.80762471715</v>
      </c>
      <c r="C14" s="454"/>
      <c r="D14" s="454">
        <f>'SEAP template'!E25</f>
        <v>5716.1383903917294</v>
      </c>
      <c r="E14" s="454"/>
      <c r="F14" s="454"/>
      <c r="G14" s="454"/>
      <c r="H14" s="454"/>
      <c r="I14" s="454"/>
      <c r="J14" s="454"/>
      <c r="K14" s="454"/>
      <c r="L14" s="454"/>
      <c r="M14" s="454"/>
      <c r="N14" s="454"/>
      <c r="O14" s="454"/>
      <c r="P14" s="455"/>
      <c r="Q14" s="446">
        <f t="shared" si="0"/>
        <v>7254.9460151088797</v>
      </c>
    </row>
    <row r="15" spans="1:17" s="459" customFormat="1">
      <c r="A15" s="456" t="s">
        <v>550</v>
      </c>
      <c r="B15" s="457">
        <f ca="1">SUM(B4:B14)</f>
        <v>106518.72118989937</v>
      </c>
      <c r="C15" s="457">
        <f t="shared" ref="C15:Q15" ca="1" si="1">SUM(C4:C14)</f>
        <v>215289.9642857142</v>
      </c>
      <c r="D15" s="457">
        <f t="shared" ca="1" si="1"/>
        <v>151505.79500271735</v>
      </c>
      <c r="E15" s="457">
        <f t="shared" si="1"/>
        <v>2837.4227162674179</v>
      </c>
      <c r="F15" s="457">
        <f t="shared" ca="1" si="1"/>
        <v>83466.463178528065</v>
      </c>
      <c r="G15" s="457">
        <f t="shared" si="1"/>
        <v>53136.579177138992</v>
      </c>
      <c r="H15" s="457">
        <f t="shared" si="1"/>
        <v>9381.2420489321739</v>
      </c>
      <c r="I15" s="457">
        <f t="shared" si="1"/>
        <v>0</v>
      </c>
      <c r="J15" s="457">
        <f t="shared" si="1"/>
        <v>1896.0797669094075</v>
      </c>
      <c r="K15" s="457">
        <f t="shared" si="1"/>
        <v>0</v>
      </c>
      <c r="L15" s="457">
        <f t="shared" ca="1" si="1"/>
        <v>0</v>
      </c>
      <c r="M15" s="457">
        <f t="shared" si="1"/>
        <v>2720.153921395261</v>
      </c>
      <c r="N15" s="457">
        <f t="shared" ca="1" si="1"/>
        <v>10187.896715761501</v>
      </c>
      <c r="O15" s="457">
        <f t="shared" si="1"/>
        <v>106.30666666666666</v>
      </c>
      <c r="P15" s="457">
        <f t="shared" si="1"/>
        <v>362.26666666666665</v>
      </c>
      <c r="Q15" s="457">
        <f t="shared" ca="1" si="1"/>
        <v>637408.89133659692</v>
      </c>
    </row>
    <row r="17" spans="1:17">
      <c r="A17" s="460" t="s">
        <v>551</v>
      </c>
      <c r="B17" s="764">
        <f ca="1">huishoudens!B10</f>
        <v>0.20832626840601978</v>
      </c>
      <c r="C17" s="764">
        <f ca="1">huishoudens!C10</f>
        <v>0.21458534769679019</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7659.0940824521094</v>
      </c>
      <c r="C22" s="447">
        <f t="shared" ref="C22:C32" ca="1" si="3">C4*$C$17</f>
        <v>0</v>
      </c>
      <c r="D22" s="447">
        <f t="shared" ref="D22:D32" si="4">D4*$D$17</f>
        <v>15385.781998326878</v>
      </c>
      <c r="E22" s="447">
        <f t="shared" ref="E22:E32" si="5">E4*$E$17</f>
        <v>371.36251548548023</v>
      </c>
      <c r="F22" s="447">
        <f t="shared" ref="F22:F32" si="6">F4*$F$17</f>
        <v>14909.932832640572</v>
      </c>
      <c r="G22" s="447">
        <f t="shared" ref="G22:G32" si="7">G4*$G$17</f>
        <v>0</v>
      </c>
      <c r="H22" s="447">
        <f t="shared" ref="H22:H32" si="8">H4*$H$17</f>
        <v>0</v>
      </c>
      <c r="I22" s="447">
        <f t="shared" ref="I22:I32" si="9">I4*$I$17</f>
        <v>0</v>
      </c>
      <c r="J22" s="447">
        <f t="shared" ref="J22:J32" si="10">J4*$J$17</f>
        <v>445.13032133343603</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38771.301750238483</v>
      </c>
    </row>
    <row r="23" spans="1:17">
      <c r="A23" s="446" t="s">
        <v>149</v>
      </c>
      <c r="B23" s="447">
        <f t="shared" ca="1" si="2"/>
        <v>11209.332809999032</v>
      </c>
      <c r="C23" s="447">
        <f t="shared" ca="1" si="3"/>
        <v>0</v>
      </c>
      <c r="D23" s="447">
        <f t="shared" ca="1" si="4"/>
        <v>7998.1828556001174</v>
      </c>
      <c r="E23" s="447">
        <f t="shared" si="5"/>
        <v>176.87889404277206</v>
      </c>
      <c r="F23" s="447">
        <f t="shared" ca="1" si="6"/>
        <v>2525.6293228805694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21910.023882522491</v>
      </c>
    </row>
    <row r="24" spans="1:17">
      <c r="A24" s="446" t="s">
        <v>187</v>
      </c>
      <c r="B24" s="447">
        <f t="shared" ca="1" si="2"/>
        <v>336.46942271270979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336.46942271270979</v>
      </c>
    </row>
    <row r="25" spans="1:17">
      <c r="A25" s="446" t="s">
        <v>105</v>
      </c>
      <c r="B25" s="447">
        <f t="shared" ca="1" si="2"/>
        <v>1372.8071257035515</v>
      </c>
      <c r="C25" s="447">
        <f t="shared" ca="1" si="3"/>
        <v>46198.071841879522</v>
      </c>
      <c r="D25" s="447">
        <f t="shared" si="4"/>
        <v>4567.447148154105</v>
      </c>
      <c r="E25" s="447">
        <f t="shared" si="5"/>
        <v>15.664984120987366</v>
      </c>
      <c r="F25" s="447">
        <f t="shared" si="6"/>
        <v>4431.9098079258147</v>
      </c>
      <c r="G25" s="447">
        <f t="shared" si="7"/>
        <v>0</v>
      </c>
      <c r="H25" s="447">
        <f t="shared" si="8"/>
        <v>0</v>
      </c>
      <c r="I25" s="447">
        <f t="shared" si="9"/>
        <v>0</v>
      </c>
      <c r="J25" s="447">
        <f t="shared" si="10"/>
        <v>208.33574953381097</v>
      </c>
      <c r="K25" s="447">
        <f t="shared" si="11"/>
        <v>0</v>
      </c>
      <c r="L25" s="447">
        <f t="shared" si="12"/>
        <v>0</v>
      </c>
      <c r="M25" s="447">
        <f t="shared" si="13"/>
        <v>0</v>
      </c>
      <c r="N25" s="447">
        <f t="shared" si="14"/>
        <v>0</v>
      </c>
      <c r="O25" s="447">
        <f t="shared" si="15"/>
        <v>0</v>
      </c>
      <c r="P25" s="448">
        <f t="shared" si="16"/>
        <v>0</v>
      </c>
      <c r="Q25" s="446">
        <f t="shared" ca="1" si="17"/>
        <v>56794.236657317786</v>
      </c>
    </row>
    <row r="26" spans="1:17">
      <c r="A26" s="446" t="s">
        <v>637</v>
      </c>
      <c r="B26" s="447">
        <f t="shared" ca="1" si="2"/>
        <v>1289.6489610144904</v>
      </c>
      <c r="C26" s="447">
        <f t="shared" ca="1" si="3"/>
        <v>0</v>
      </c>
      <c r="D26" s="447">
        <f t="shared" si="4"/>
        <v>1497.5203939622152</v>
      </c>
      <c r="E26" s="447">
        <f t="shared" si="5"/>
        <v>13.584604485381625</v>
      </c>
      <c r="F26" s="447">
        <f t="shared" si="6"/>
        <v>418.07370522003981</v>
      </c>
      <c r="G26" s="447">
        <f t="shared" si="7"/>
        <v>0</v>
      </c>
      <c r="H26" s="447">
        <f t="shared" si="8"/>
        <v>0</v>
      </c>
      <c r="I26" s="447">
        <f t="shared" si="9"/>
        <v>0</v>
      </c>
      <c r="J26" s="447">
        <f t="shared" si="10"/>
        <v>17.746166618683219</v>
      </c>
      <c r="K26" s="447">
        <f t="shared" si="11"/>
        <v>0</v>
      </c>
      <c r="L26" s="447">
        <f t="shared" si="12"/>
        <v>0</v>
      </c>
      <c r="M26" s="447">
        <f t="shared" si="13"/>
        <v>0</v>
      </c>
      <c r="N26" s="447">
        <f t="shared" si="14"/>
        <v>0</v>
      </c>
      <c r="O26" s="447">
        <f t="shared" si="15"/>
        <v>0</v>
      </c>
      <c r="P26" s="448">
        <f t="shared" si="16"/>
        <v>0</v>
      </c>
      <c r="Q26" s="446">
        <f t="shared" ca="1" si="17"/>
        <v>3236.5738313008101</v>
      </c>
    </row>
    <row r="27" spans="1:17" s="452" customFormat="1">
      <c r="A27" s="450" t="s">
        <v>556</v>
      </c>
      <c r="B27" s="758">
        <f t="shared" ca="1" si="2"/>
        <v>0.17114362578216999</v>
      </c>
      <c r="C27" s="451">
        <f t="shared" ca="1" si="3"/>
        <v>0</v>
      </c>
      <c r="D27" s="451">
        <f t="shared" si="4"/>
        <v>0.57823964646048487</v>
      </c>
      <c r="E27" s="451">
        <f t="shared" si="5"/>
        <v>66.603958458082658</v>
      </c>
      <c r="F27" s="451">
        <f t="shared" si="6"/>
        <v>0</v>
      </c>
      <c r="G27" s="451">
        <f t="shared" si="7"/>
        <v>13478.436226306138</v>
      </c>
      <c r="H27" s="451">
        <f t="shared" si="8"/>
        <v>2335.9292701841114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15881.718838220575</v>
      </c>
    </row>
    <row r="28" spans="1:17">
      <c r="A28" s="446" t="s">
        <v>546</v>
      </c>
      <c r="B28" s="447">
        <f t="shared" ca="1" si="2"/>
        <v>2.5501051132311483</v>
      </c>
      <c r="C28" s="447">
        <f t="shared" ca="1" si="3"/>
        <v>0</v>
      </c>
      <c r="D28" s="447">
        <f t="shared" si="4"/>
        <v>0</v>
      </c>
      <c r="E28" s="447">
        <f t="shared" si="5"/>
        <v>0</v>
      </c>
      <c r="F28" s="447">
        <f t="shared" si="6"/>
        <v>0</v>
      </c>
      <c r="G28" s="447">
        <f t="shared" si="7"/>
        <v>709.03041398997289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711.58051910320398</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320.57405025205475</v>
      </c>
      <c r="C32" s="447">
        <f t="shared" ca="1" si="3"/>
        <v>0</v>
      </c>
      <c r="D32" s="447">
        <f t="shared" si="4"/>
        <v>1154.6599548591294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1475.2340051111842</v>
      </c>
    </row>
    <row r="33" spans="1:17" s="459" customFormat="1">
      <c r="A33" s="456" t="s">
        <v>550</v>
      </c>
      <c r="B33" s="457">
        <f ca="1">SUM(B22:B32)</f>
        <v>22190.64770087296</v>
      </c>
      <c r="C33" s="457">
        <f t="shared" ref="C33:Q33" ca="1" si="19">SUM(C22:C32)</f>
        <v>46198.071841879522</v>
      </c>
      <c r="D33" s="457">
        <f t="shared" ca="1" si="19"/>
        <v>30604.170590548903</v>
      </c>
      <c r="E33" s="457">
        <f t="shared" si="19"/>
        <v>644.09495659270385</v>
      </c>
      <c r="F33" s="457">
        <f t="shared" ca="1" si="19"/>
        <v>22285.545668666993</v>
      </c>
      <c r="G33" s="457">
        <f t="shared" si="19"/>
        <v>14187.46664029611</v>
      </c>
      <c r="H33" s="457">
        <f t="shared" si="19"/>
        <v>2335.9292701841114</v>
      </c>
      <c r="I33" s="457">
        <f t="shared" si="19"/>
        <v>0</v>
      </c>
      <c r="J33" s="457">
        <f t="shared" si="19"/>
        <v>671.21223748593025</v>
      </c>
      <c r="K33" s="457">
        <f t="shared" si="19"/>
        <v>0</v>
      </c>
      <c r="L33" s="457">
        <f t="shared" ca="1" si="19"/>
        <v>0</v>
      </c>
      <c r="M33" s="457">
        <f t="shared" si="19"/>
        <v>0</v>
      </c>
      <c r="N33" s="457">
        <f t="shared" ca="1" si="19"/>
        <v>0</v>
      </c>
      <c r="O33" s="457">
        <f t="shared" si="19"/>
        <v>0</v>
      </c>
      <c r="P33" s="457">
        <f t="shared" si="19"/>
        <v>0</v>
      </c>
      <c r="Q33" s="457">
        <f t="shared" ca="1" si="19"/>
        <v>139117.13890652725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4658.2637210852299</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16432.613467105701</v>
      </c>
      <c r="C8" s="1006">
        <f>'SEAP template'!C76</f>
        <v>139174.01153289431</v>
      </c>
      <c r="D8" s="1006">
        <f>'SEAP template'!D76</f>
        <v>158863.25084463524</v>
      </c>
      <c r="E8" s="1006">
        <f>'SEAP template'!E76</f>
        <v>0</v>
      </c>
      <c r="F8" s="1006">
        <f>'SEAP template'!F76</f>
        <v>4870.880370534549</v>
      </c>
      <c r="G8" s="1006">
        <f>'SEAP template'!G76</f>
        <v>0</v>
      </c>
      <c r="H8" s="1006">
        <f>'SEAP template'!H76</f>
        <v>0</v>
      </c>
      <c r="I8" s="1006">
        <f>'SEAP template'!I76</f>
        <v>19332.486431889065</v>
      </c>
      <c r="J8" s="1006">
        <f>'SEAP template'!J76</f>
        <v>0</v>
      </c>
      <c r="K8" s="1006">
        <f>'SEAP template'!K76</f>
        <v>0</v>
      </c>
      <c r="L8" s="1006">
        <f>'SEAP template'!L76</f>
        <v>0</v>
      </c>
      <c r="M8" s="1006">
        <f>'SEAP template'!M76</f>
        <v>0</v>
      </c>
      <c r="N8" s="1006">
        <f>'SEAP template'!N76</f>
        <v>0</v>
      </c>
      <c r="O8" s="1006">
        <f>'SEAP template'!O76</f>
        <v>0</v>
      </c>
      <c r="P8" s="1007">
        <f>'SEAP template'!Q76</f>
        <v>33390.901729549048</v>
      </c>
    </row>
    <row r="9" spans="1:16">
      <c r="A9" s="1009" t="s">
        <v>902</v>
      </c>
      <c r="B9" s="1006">
        <f>'SEAP template'!B77</f>
        <v>16.875</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42.1875</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21107.752188190931</v>
      </c>
      <c r="C10" s="1010">
        <f>SUM(C4:C9)</f>
        <v>139174.01153289431</v>
      </c>
      <c r="D10" s="1010">
        <f t="shared" ref="D10:H10" si="0">SUM(D8:D9)</f>
        <v>158863.25084463524</v>
      </c>
      <c r="E10" s="1010">
        <f t="shared" si="0"/>
        <v>0</v>
      </c>
      <c r="F10" s="1010">
        <f t="shared" si="0"/>
        <v>4870.880370534549</v>
      </c>
      <c r="G10" s="1010">
        <f t="shared" si="0"/>
        <v>0</v>
      </c>
      <c r="H10" s="1010">
        <f t="shared" si="0"/>
        <v>0</v>
      </c>
      <c r="I10" s="1010">
        <f>SUM(I8:I9)</f>
        <v>19332.486431889065</v>
      </c>
      <c r="J10" s="1010">
        <f>SUM(J8:J9)</f>
        <v>42.1875</v>
      </c>
      <c r="K10" s="1010">
        <f t="shared" ref="K10:L10" si="1">SUM(K8:K9)</f>
        <v>0</v>
      </c>
      <c r="L10" s="1010">
        <f t="shared" si="1"/>
        <v>0</v>
      </c>
      <c r="M10" s="1010">
        <f>SUM(M8:M9)</f>
        <v>0</v>
      </c>
      <c r="N10" s="1010">
        <f>SUM(N8:N9)</f>
        <v>0</v>
      </c>
      <c r="O10" s="1010">
        <f>SUM(O8:O9)</f>
        <v>0</v>
      </c>
      <c r="P10" s="1010">
        <f>SUM(P8:P9)</f>
        <v>33390.901729549048</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0.20832626840601978</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22735.386532894292</v>
      </c>
      <c r="C17" s="1013">
        <f>'SEAP template'!C87</f>
        <v>192554.5777528199</v>
      </c>
      <c r="D17" s="1007">
        <f>'SEAP template'!D87</f>
        <v>219795.67772679328</v>
      </c>
      <c r="E17" s="1007">
        <f>'SEAP template'!E87</f>
        <v>0</v>
      </c>
      <c r="F17" s="1007">
        <f>'SEAP template'!F87</f>
        <v>6739.119629465451</v>
      </c>
      <c r="G17" s="1007">
        <f>'SEAP template'!G87</f>
        <v>0</v>
      </c>
      <c r="H17" s="1007">
        <f>'SEAP template'!H87</f>
        <v>0</v>
      </c>
      <c r="I17" s="1007">
        <f>'SEAP template'!I87</f>
        <v>26747.513568110935</v>
      </c>
      <c r="J17" s="1007">
        <f>'SEAP template'!J87</f>
        <v>0</v>
      </c>
      <c r="K17" s="1007">
        <f>'SEAP template'!K87</f>
        <v>0</v>
      </c>
      <c r="L17" s="1007">
        <f>'SEAP template'!L87</f>
        <v>0</v>
      </c>
      <c r="M17" s="1007">
        <f>'SEAP template'!M87</f>
        <v>0</v>
      </c>
      <c r="N17" s="1007">
        <f>'SEAP template'!N87</f>
        <v>0</v>
      </c>
      <c r="O17" s="1007">
        <f>'SEAP template'!O87</f>
        <v>0</v>
      </c>
      <c r="P17" s="1007">
        <f>'SEAP template'!Q87</f>
        <v>46198.071841879522</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22735.386532894292</v>
      </c>
      <c r="C20" s="1010">
        <f>SUM(C17:C19)</f>
        <v>192554.5777528199</v>
      </c>
      <c r="D20" s="1010">
        <f t="shared" ref="D20:H20" si="2">SUM(D17:D19)</f>
        <v>219795.67772679328</v>
      </c>
      <c r="E20" s="1010">
        <f t="shared" si="2"/>
        <v>0</v>
      </c>
      <c r="F20" s="1010">
        <f t="shared" si="2"/>
        <v>6739.119629465451</v>
      </c>
      <c r="G20" s="1010">
        <f t="shared" si="2"/>
        <v>0</v>
      </c>
      <c r="H20" s="1010">
        <f t="shared" si="2"/>
        <v>0</v>
      </c>
      <c r="I20" s="1010">
        <f>SUM(I17:I19)</f>
        <v>26747.513568110935</v>
      </c>
      <c r="J20" s="1010">
        <f>SUM(J17:J19)</f>
        <v>0</v>
      </c>
      <c r="K20" s="1010">
        <f t="shared" ref="K20:L20" si="3">SUM(K17:K19)</f>
        <v>0</v>
      </c>
      <c r="L20" s="1010">
        <f t="shared" si="3"/>
        <v>0</v>
      </c>
      <c r="M20" s="1010">
        <f>SUM(M17:M19)</f>
        <v>0</v>
      </c>
      <c r="N20" s="1010">
        <f>SUM(N17:N19)</f>
        <v>0</v>
      </c>
      <c r="O20" s="1010">
        <f>SUM(O17:O19)</f>
        <v>0</v>
      </c>
      <c r="P20" s="1010">
        <f>SUM(P17:P19)</f>
        <v>46198.071841879522</v>
      </c>
    </row>
    <row r="22" spans="1:16">
      <c r="A22" s="460" t="s">
        <v>910</v>
      </c>
      <c r="B22" s="764" t="s">
        <v>904</v>
      </c>
      <c r="C22" s="764">
        <f ca="1">'EF ele_warmte'!B22</f>
        <v>0.21458534769679019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0.20832626840601978</v>
      </c>
      <c r="C17" s="496">
        <f ca="1">'EF ele_warmte'!B22</f>
        <v>0.21458534769679019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1</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1.5633333333333335</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0.20832626840601978</v>
      </c>
      <c r="C17" s="496">
        <f ca="1">'EF ele_warmte'!B22</f>
        <v>0.21458534769679019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0.20832626840601978</v>
      </c>
      <c r="C29" s="497">
        <f ca="1">'EF ele_warmte'!B22</f>
        <v>0.21458534769679019</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7840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1073</v>
      </c>
      <c r="C14" s="326"/>
      <c r="D14" s="326"/>
      <c r="E14" s="326"/>
      <c r="F14" s="326"/>
    </row>
    <row r="15" spans="1:6">
      <c r="A15" s="1280" t="s">
        <v>177</v>
      </c>
      <c r="B15" s="1281">
        <v>7</v>
      </c>
      <c r="C15" s="326"/>
      <c r="D15" s="326"/>
      <c r="E15" s="326"/>
      <c r="F15" s="326"/>
    </row>
    <row r="16" spans="1:6">
      <c r="A16" s="1280" t="s">
        <v>6</v>
      </c>
      <c r="B16" s="1281">
        <v>318</v>
      </c>
      <c r="C16" s="326"/>
      <c r="D16" s="326"/>
      <c r="E16" s="326"/>
      <c r="F16" s="326"/>
    </row>
    <row r="17" spans="1:6">
      <c r="A17" s="1280" t="s">
        <v>7</v>
      </c>
      <c r="B17" s="1281">
        <v>172</v>
      </c>
      <c r="C17" s="326"/>
      <c r="D17" s="326"/>
      <c r="E17" s="326"/>
      <c r="F17" s="326"/>
    </row>
    <row r="18" spans="1:6">
      <c r="A18" s="1280" t="s">
        <v>8</v>
      </c>
      <c r="B18" s="1281">
        <v>300</v>
      </c>
      <c r="C18" s="326"/>
      <c r="D18" s="326"/>
      <c r="E18" s="326"/>
      <c r="F18" s="326"/>
    </row>
    <row r="19" spans="1:6">
      <c r="A19" s="1280" t="s">
        <v>9</v>
      </c>
      <c r="B19" s="1281">
        <v>215</v>
      </c>
      <c r="C19" s="326"/>
      <c r="D19" s="326"/>
      <c r="E19" s="326"/>
      <c r="F19" s="326"/>
    </row>
    <row r="20" spans="1:6">
      <c r="A20" s="1280" t="s">
        <v>10</v>
      </c>
      <c r="B20" s="1281">
        <v>255</v>
      </c>
      <c r="C20" s="326"/>
      <c r="D20" s="326"/>
      <c r="E20" s="326"/>
      <c r="F20" s="326"/>
    </row>
    <row r="21" spans="1:6">
      <c r="A21" s="1280" t="s">
        <v>11</v>
      </c>
      <c r="B21" s="1281">
        <v>0</v>
      </c>
      <c r="C21" s="326"/>
      <c r="D21" s="326"/>
      <c r="E21" s="326"/>
      <c r="F21" s="326"/>
    </row>
    <row r="22" spans="1:6">
      <c r="A22" s="1280" t="s">
        <v>12</v>
      </c>
      <c r="B22" s="1281">
        <v>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128</v>
      </c>
      <c r="C26" s="326"/>
      <c r="D26" s="326"/>
      <c r="E26" s="326"/>
      <c r="F26" s="326"/>
    </row>
    <row r="27" spans="1:6">
      <c r="A27" s="1280" t="s">
        <v>17</v>
      </c>
      <c r="B27" s="1281">
        <v>3</v>
      </c>
      <c r="C27" s="326"/>
      <c r="D27" s="326"/>
      <c r="E27" s="326"/>
      <c r="F27" s="326"/>
    </row>
    <row r="28" spans="1:6">
      <c r="A28" s="1280" t="s">
        <v>18</v>
      </c>
      <c r="B28" s="1282">
        <v>31379</v>
      </c>
      <c r="C28" s="326"/>
      <c r="D28" s="326"/>
      <c r="E28" s="326"/>
      <c r="F28" s="326"/>
    </row>
    <row r="29" spans="1:6">
      <c r="A29" s="1280" t="s">
        <v>972</v>
      </c>
      <c r="B29" s="1282">
        <v>401</v>
      </c>
      <c r="C29" s="326"/>
      <c r="D29" s="326"/>
      <c r="E29" s="326"/>
      <c r="F29" s="326"/>
    </row>
    <row r="30" spans="1:6">
      <c r="A30" s="1275" t="s">
        <v>973</v>
      </c>
      <c r="B30" s="1283">
        <v>72</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2</v>
      </c>
      <c r="D38" s="1281">
        <v>29921910.355202299</v>
      </c>
      <c r="E38" s="1281">
        <v>4</v>
      </c>
      <c r="F38" s="1281">
        <v>162789.13200457001</v>
      </c>
    </row>
    <row r="39" spans="1:6">
      <c r="A39" s="1280" t="s">
        <v>29</v>
      </c>
      <c r="B39" s="1280" t="s">
        <v>30</v>
      </c>
      <c r="C39" s="1281">
        <v>4666</v>
      </c>
      <c r="D39" s="1281">
        <v>84442613.764389798</v>
      </c>
      <c r="E39" s="1281">
        <v>7463</v>
      </c>
      <c r="F39" s="1281">
        <v>34648632.5531004</v>
      </c>
    </row>
    <row r="40" spans="1:6">
      <c r="A40" s="1280" t="s">
        <v>29</v>
      </c>
      <c r="B40" s="1280" t="s">
        <v>28</v>
      </c>
      <c r="C40" s="1281">
        <v>0</v>
      </c>
      <c r="D40" s="1281">
        <v>0</v>
      </c>
      <c r="E40" s="1281">
        <v>0</v>
      </c>
      <c r="F40" s="1281">
        <v>0</v>
      </c>
    </row>
    <row r="41" spans="1:6">
      <c r="A41" s="1280" t="s">
        <v>31</v>
      </c>
      <c r="B41" s="1280" t="s">
        <v>32</v>
      </c>
      <c r="C41" s="1281">
        <v>30</v>
      </c>
      <c r="D41" s="1281">
        <v>1662950.2069298499</v>
      </c>
      <c r="E41" s="1281">
        <v>91</v>
      </c>
      <c r="F41" s="1281">
        <v>756116.29889663903</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6</v>
      </c>
      <c r="D44" s="1281">
        <v>486515.98712485499</v>
      </c>
      <c r="E44" s="1281">
        <v>13</v>
      </c>
      <c r="F44" s="1281">
        <v>1054406.02022688</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3</v>
      </c>
      <c r="F47" s="1281">
        <v>7531.4759812806997</v>
      </c>
    </row>
    <row r="48" spans="1:6">
      <c r="A48" s="1280" t="s">
        <v>31</v>
      </c>
      <c r="B48" s="1280" t="s">
        <v>28</v>
      </c>
      <c r="C48" s="1281">
        <v>38</v>
      </c>
      <c r="D48" s="1281">
        <v>5820722.2941755699</v>
      </c>
      <c r="E48" s="1281">
        <v>51</v>
      </c>
      <c r="F48" s="1281">
        <v>3938830.7690366199</v>
      </c>
    </row>
    <row r="49" spans="1:6">
      <c r="A49" s="1280" t="s">
        <v>31</v>
      </c>
      <c r="B49" s="1280" t="s">
        <v>39</v>
      </c>
      <c r="C49" s="1281">
        <v>0</v>
      </c>
      <c r="D49" s="1281">
        <v>0</v>
      </c>
      <c r="E49" s="1281">
        <v>0</v>
      </c>
      <c r="F49" s="1281">
        <v>0</v>
      </c>
    </row>
    <row r="50" spans="1:6">
      <c r="A50" s="1280" t="s">
        <v>31</v>
      </c>
      <c r="B50" s="1280" t="s">
        <v>40</v>
      </c>
      <c r="C50" s="1281">
        <v>4</v>
      </c>
      <c r="D50" s="1281">
        <v>248733.12689461399</v>
      </c>
      <c r="E50" s="1281">
        <v>13</v>
      </c>
      <c r="F50" s="1281">
        <v>433640.37965018401</v>
      </c>
    </row>
    <row r="51" spans="1:6">
      <c r="A51" s="1280" t="s">
        <v>41</v>
      </c>
      <c r="B51" s="1280" t="s">
        <v>42</v>
      </c>
      <c r="C51" s="1281">
        <v>59</v>
      </c>
      <c r="D51" s="1281">
        <v>442747175.10887802</v>
      </c>
      <c r="E51" s="1281">
        <v>189</v>
      </c>
      <c r="F51" s="1281">
        <v>6219793.4212694196</v>
      </c>
    </row>
    <row r="52" spans="1:6">
      <c r="A52" s="1280" t="s">
        <v>41</v>
      </c>
      <c r="B52" s="1280" t="s">
        <v>28</v>
      </c>
      <c r="C52" s="1281">
        <v>7</v>
      </c>
      <c r="D52" s="1281">
        <v>2119846.0299700601</v>
      </c>
      <c r="E52" s="1281">
        <v>14</v>
      </c>
      <c r="F52" s="1281">
        <v>369904.24963593099</v>
      </c>
    </row>
    <row r="53" spans="1:6">
      <c r="A53" s="1280" t="s">
        <v>43</v>
      </c>
      <c r="B53" s="1280" t="s">
        <v>44</v>
      </c>
      <c r="C53" s="1281">
        <v>149</v>
      </c>
      <c r="D53" s="1281">
        <v>5716138.3903917298</v>
      </c>
      <c r="E53" s="1281">
        <v>255</v>
      </c>
      <c r="F53" s="1281">
        <v>1538807.6247171501</v>
      </c>
    </row>
    <row r="54" spans="1:6">
      <c r="A54" s="1280" t="s">
        <v>45</v>
      </c>
      <c r="B54" s="1280" t="s">
        <v>46</v>
      </c>
      <c r="C54" s="1281">
        <v>0</v>
      </c>
      <c r="D54" s="1281">
        <v>0</v>
      </c>
      <c r="E54" s="1281">
        <v>1</v>
      </c>
      <c r="F54" s="1281">
        <v>1615108</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20</v>
      </c>
      <c r="D57" s="1281">
        <v>607232.02164748299</v>
      </c>
      <c r="E57" s="1281">
        <v>48</v>
      </c>
      <c r="F57" s="1281">
        <v>454296.11721769901</v>
      </c>
    </row>
    <row r="58" spans="1:6">
      <c r="A58" s="1280" t="s">
        <v>48</v>
      </c>
      <c r="B58" s="1280" t="s">
        <v>50</v>
      </c>
      <c r="C58" s="1281">
        <v>25</v>
      </c>
      <c r="D58" s="1281">
        <v>7271049.7251957497</v>
      </c>
      <c r="E58" s="1281">
        <v>31</v>
      </c>
      <c r="F58" s="1281">
        <v>1665990.60373291</v>
      </c>
    </row>
    <row r="59" spans="1:6">
      <c r="A59" s="1280" t="s">
        <v>48</v>
      </c>
      <c r="B59" s="1280" t="s">
        <v>51</v>
      </c>
      <c r="C59" s="1281">
        <v>72</v>
      </c>
      <c r="D59" s="1281">
        <v>4483434.0156964697</v>
      </c>
      <c r="E59" s="1281">
        <v>172</v>
      </c>
      <c r="F59" s="1281">
        <v>29336330.2080332</v>
      </c>
    </row>
    <row r="60" spans="1:6">
      <c r="A60" s="1280" t="s">
        <v>48</v>
      </c>
      <c r="B60" s="1280" t="s">
        <v>52</v>
      </c>
      <c r="C60" s="1281">
        <v>66</v>
      </c>
      <c r="D60" s="1281">
        <v>4901116.7079465203</v>
      </c>
      <c r="E60" s="1281">
        <v>124</v>
      </c>
      <c r="F60" s="1281">
        <v>2930752.19229487</v>
      </c>
    </row>
    <row r="61" spans="1:6">
      <c r="A61" s="1280" t="s">
        <v>48</v>
      </c>
      <c r="B61" s="1280" t="s">
        <v>53</v>
      </c>
      <c r="C61" s="1281">
        <v>104</v>
      </c>
      <c r="D61" s="1281">
        <v>6529771.0407900698</v>
      </c>
      <c r="E61" s="1281">
        <v>221</v>
      </c>
      <c r="F61" s="1281">
        <v>3935239.6224152301</v>
      </c>
    </row>
    <row r="62" spans="1:6">
      <c r="A62" s="1280" t="s">
        <v>48</v>
      </c>
      <c r="B62" s="1280" t="s">
        <v>54</v>
      </c>
      <c r="C62" s="1281">
        <v>6</v>
      </c>
      <c r="D62" s="1281">
        <v>2014786.11158057</v>
      </c>
      <c r="E62" s="1281">
        <v>8</v>
      </c>
      <c r="F62" s="1281">
        <v>467696.94176514901</v>
      </c>
    </row>
    <row r="63" spans="1:6">
      <c r="A63" s="1280" t="s">
        <v>48</v>
      </c>
      <c r="B63" s="1280" t="s">
        <v>28</v>
      </c>
      <c r="C63" s="1281">
        <v>134</v>
      </c>
      <c r="D63" s="1281">
        <v>18089466.9532892</v>
      </c>
      <c r="E63" s="1281">
        <v>187</v>
      </c>
      <c r="F63" s="1281">
        <v>14999441.473934099</v>
      </c>
    </row>
    <row r="64" spans="1:6">
      <c r="A64" s="1280" t="s">
        <v>55</v>
      </c>
      <c r="B64" s="1280" t="s">
        <v>56</v>
      </c>
      <c r="C64" s="1281">
        <v>0</v>
      </c>
      <c r="D64" s="1281">
        <v>0</v>
      </c>
      <c r="E64" s="1281">
        <v>0</v>
      </c>
      <c r="F64" s="1281">
        <v>0</v>
      </c>
    </row>
    <row r="65" spans="1:6">
      <c r="A65" s="1280" t="s">
        <v>55</v>
      </c>
      <c r="B65" s="1280" t="s">
        <v>28</v>
      </c>
      <c r="C65" s="1281">
        <v>4</v>
      </c>
      <c r="D65" s="1281">
        <v>150755.26645280601</v>
      </c>
      <c r="E65" s="1281">
        <v>5</v>
      </c>
      <c r="F65" s="1281">
        <v>70577.069715403602</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7</v>
      </c>
      <c r="D68" s="1283">
        <v>341632.92648746399</v>
      </c>
      <c r="E68" s="1283">
        <v>20</v>
      </c>
      <c r="F68" s="1283">
        <v>1512633.33489456</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60674461</v>
      </c>
      <c r="E73" s="445"/>
      <c r="F73" s="326"/>
    </row>
    <row r="74" spans="1:6">
      <c r="A74" s="1280" t="s">
        <v>63</v>
      </c>
      <c r="B74" s="1280" t="s">
        <v>754</v>
      </c>
      <c r="C74" s="1293" t="s">
        <v>755</v>
      </c>
      <c r="D74" s="1281">
        <v>4193168.8980589062</v>
      </c>
      <c r="E74" s="445"/>
      <c r="F74" s="326"/>
    </row>
    <row r="75" spans="1:6">
      <c r="A75" s="1280" t="s">
        <v>64</v>
      </c>
      <c r="B75" s="1280" t="s">
        <v>752</v>
      </c>
      <c r="C75" s="1293" t="s">
        <v>756</v>
      </c>
      <c r="D75" s="1281">
        <v>14694727</v>
      </c>
      <c r="E75" s="445"/>
      <c r="F75" s="326"/>
    </row>
    <row r="76" spans="1:6">
      <c r="A76" s="1280" t="s">
        <v>64</v>
      </c>
      <c r="B76" s="1280" t="s">
        <v>754</v>
      </c>
      <c r="C76" s="1293" t="s">
        <v>757</v>
      </c>
      <c r="D76" s="1281">
        <v>294326.8980589062</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728340.2038821876</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2116.2658010756245</v>
      </c>
      <c r="C91" s="326"/>
      <c r="D91" s="326"/>
      <c r="E91" s="326"/>
      <c r="F91" s="326"/>
    </row>
    <row r="92" spans="1:6">
      <c r="A92" s="1275" t="s">
        <v>68</v>
      </c>
      <c r="B92" s="1276">
        <v>2541.9979200096054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3367</v>
      </c>
      <c r="C97" s="326"/>
      <c r="D97" s="326"/>
      <c r="E97" s="326"/>
      <c r="F97" s="326"/>
    </row>
    <row r="98" spans="1:6">
      <c r="A98" s="1280" t="s">
        <v>71</v>
      </c>
      <c r="B98" s="1281">
        <v>10</v>
      </c>
      <c r="C98" s="326"/>
      <c r="D98" s="326"/>
      <c r="E98" s="326"/>
      <c r="F98" s="326"/>
    </row>
    <row r="99" spans="1:6">
      <c r="A99" s="1280" t="s">
        <v>72</v>
      </c>
      <c r="B99" s="1281">
        <v>75</v>
      </c>
      <c r="C99" s="326"/>
      <c r="D99" s="326"/>
      <c r="E99" s="326"/>
      <c r="F99" s="326"/>
    </row>
    <row r="100" spans="1:6">
      <c r="A100" s="1280" t="s">
        <v>73</v>
      </c>
      <c r="B100" s="1281">
        <v>535</v>
      </c>
      <c r="C100" s="326"/>
      <c r="D100" s="326"/>
      <c r="E100" s="326"/>
      <c r="F100" s="326"/>
    </row>
    <row r="101" spans="1:6">
      <c r="A101" s="1280" t="s">
        <v>74</v>
      </c>
      <c r="B101" s="1281">
        <v>63</v>
      </c>
      <c r="C101" s="326"/>
      <c r="D101" s="326"/>
      <c r="E101" s="326"/>
      <c r="F101" s="326"/>
    </row>
    <row r="102" spans="1:6">
      <c r="A102" s="1280" t="s">
        <v>75</v>
      </c>
      <c r="B102" s="1281">
        <v>94</v>
      </c>
      <c r="C102" s="326"/>
      <c r="D102" s="326"/>
      <c r="E102" s="326"/>
      <c r="F102" s="326"/>
    </row>
    <row r="103" spans="1:6">
      <c r="A103" s="1280" t="s">
        <v>76</v>
      </c>
      <c r="B103" s="1281">
        <v>187</v>
      </c>
      <c r="C103" s="326"/>
      <c r="D103" s="326"/>
      <c r="E103" s="326"/>
      <c r="F103" s="326"/>
    </row>
    <row r="104" spans="1:6">
      <c r="A104" s="1280" t="s">
        <v>77</v>
      </c>
      <c r="B104" s="1281">
        <v>2851</v>
      </c>
      <c r="C104" s="326"/>
      <c r="D104" s="326"/>
      <c r="E104" s="326"/>
      <c r="F104" s="326"/>
    </row>
    <row r="105" spans="1:6">
      <c r="A105" s="1275" t="s">
        <v>78</v>
      </c>
      <c r="B105" s="1283">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1</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7</v>
      </c>
      <c r="C123" s="1281">
        <v>4</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62</v>
      </c>
      <c r="C129" s="326"/>
      <c r="D129" s="326"/>
      <c r="E129" s="326"/>
      <c r="F129" s="326"/>
    </row>
    <row r="130" spans="1:6">
      <c r="A130" s="1280" t="s">
        <v>284</v>
      </c>
      <c r="B130" s="1281">
        <v>2</v>
      </c>
      <c r="C130" s="326"/>
      <c r="D130" s="326"/>
      <c r="E130" s="326"/>
      <c r="F130" s="326"/>
    </row>
    <row r="131" spans="1:6">
      <c r="A131" s="1280" t="s">
        <v>285</v>
      </c>
      <c r="B131" s="1281">
        <v>1</v>
      </c>
      <c r="C131" s="326"/>
      <c r="D131" s="326"/>
      <c r="E131" s="326"/>
      <c r="F131" s="326"/>
    </row>
    <row r="132" spans="1:6">
      <c r="A132" s="1275" t="s">
        <v>286</v>
      </c>
      <c r="B132" s="1276">
        <v>11</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106518.72118989936</v>
      </c>
      <c r="C3" s="43" t="s">
        <v>163</v>
      </c>
      <c r="D3" s="43"/>
      <c r="E3" s="156"/>
      <c r="F3" s="43"/>
      <c r="G3" s="43"/>
      <c r="H3" s="43"/>
      <c r="I3" s="43"/>
      <c r="J3" s="43"/>
      <c r="K3" s="96"/>
    </row>
    <row r="4" spans="1:11">
      <c r="A4" s="352" t="s">
        <v>164</v>
      </c>
      <c r="B4" s="49">
        <f>IF(ISERROR('SEAP template'!B78+'SEAP template'!C78),0,'SEAP template'!B78+'SEAP template'!C78)</f>
        <v>160281.76372108524</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33390.901729549048</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0.20832626840601978</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46198.071841879522</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215289.9642857142</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0.21458534769679019</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1615.1079999999999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1615.1079999999999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0.20832626840601978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336.46942271270979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34648.632553100397</v>
      </c>
      <c r="C5" s="17">
        <f>IF(ISERROR('Eigen informatie GS &amp; warmtenet'!B57),0,'Eigen informatie GS &amp; warmtenet'!B57)</f>
        <v>0</v>
      </c>
      <c r="D5" s="30">
        <f>(SUM(HH_hh_gas_kWh,HH_rest_gas_kWh)/1000)*0.902</f>
        <v>76167.237615479593</v>
      </c>
      <c r="E5" s="17">
        <f>B32*B41</f>
        <v>1635.9582179977103</v>
      </c>
      <c r="F5" s="17">
        <f>B36*B45</f>
        <v>55842.445066069558</v>
      </c>
      <c r="G5" s="18"/>
      <c r="H5" s="17"/>
      <c r="I5" s="17"/>
      <c r="J5" s="17">
        <f>B35*B44+C35*C44</f>
        <v>1257.4302862526442</v>
      </c>
      <c r="K5" s="17"/>
      <c r="L5" s="17"/>
      <c r="M5" s="17"/>
      <c r="N5" s="17">
        <f>B34*B43+C34*C43</f>
        <v>9502.8191335613683</v>
      </c>
      <c r="O5" s="17">
        <f>B52*B53*B54</f>
        <v>103.17999999999999</v>
      </c>
      <c r="P5" s="17">
        <f>B60*B61*B62/1000-B60*B61*B62/1000/B63</f>
        <v>343.2</v>
      </c>
    </row>
    <row r="6" spans="1:16">
      <c r="A6" s="16" t="s">
        <v>615</v>
      </c>
      <c r="B6" s="766">
        <f>kWh_PV_kleiner_dan_10kW</f>
        <v>2116.2658010756245</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36764.898354176024</v>
      </c>
      <c r="C8" s="21">
        <f>C5</f>
        <v>0</v>
      </c>
      <c r="D8" s="21">
        <f>D5</f>
        <v>76167.237615479593</v>
      </c>
      <c r="E8" s="21">
        <f>E5</f>
        <v>1635.9582179977103</v>
      </c>
      <c r="F8" s="21">
        <f>F5</f>
        <v>55842.445066069558</v>
      </c>
      <c r="G8" s="21"/>
      <c r="H8" s="21"/>
      <c r="I8" s="21"/>
      <c r="J8" s="21">
        <f>J5</f>
        <v>1257.4302862526442</v>
      </c>
      <c r="K8" s="21"/>
      <c r="L8" s="21">
        <f>L5</f>
        <v>0</v>
      </c>
      <c r="M8" s="21">
        <f>M5</f>
        <v>0</v>
      </c>
      <c r="N8" s="21">
        <f>N5</f>
        <v>9502.8191335613683</v>
      </c>
      <c r="O8" s="21">
        <f>O5</f>
        <v>103.17999999999999</v>
      </c>
      <c r="P8" s="21">
        <f>P5</f>
        <v>343.2</v>
      </c>
    </row>
    <row r="9" spans="1:16">
      <c r="B9" s="19"/>
      <c r="C9" s="19"/>
      <c r="D9" s="256"/>
      <c r="E9" s="19"/>
      <c r="F9" s="19"/>
      <c r="G9" s="19"/>
      <c r="H9" s="19"/>
      <c r="I9" s="19"/>
      <c r="J9" s="19"/>
      <c r="K9" s="19"/>
      <c r="L9" s="19"/>
      <c r="M9" s="19"/>
      <c r="N9" s="19"/>
      <c r="O9" s="19"/>
      <c r="P9" s="19"/>
    </row>
    <row r="10" spans="1:16">
      <c r="A10" s="24" t="s">
        <v>207</v>
      </c>
      <c r="B10" s="25">
        <f ca="1">'EF ele_warmte'!B12</f>
        <v>0.20832626840601978</v>
      </c>
      <c r="C10" s="25">
        <f ca="1">'EF ele_warmte'!B22</f>
        <v>0.21458534769679019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7659.0940824521094</v>
      </c>
      <c r="C12" s="23">
        <f ca="1">C10*C8</f>
        <v>0</v>
      </c>
      <c r="D12" s="23">
        <f>D8*D10</f>
        <v>15385.781998326878</v>
      </c>
      <c r="E12" s="23">
        <f>E10*E8</f>
        <v>371.36251548548023</v>
      </c>
      <c r="F12" s="23">
        <f>F10*F8</f>
        <v>14909.932832640572</v>
      </c>
      <c r="G12" s="23"/>
      <c r="H12" s="23"/>
      <c r="I12" s="23"/>
      <c r="J12" s="23">
        <f>J10*J8</f>
        <v>445.13032133343603</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7840</v>
      </c>
      <c r="C26" s="36"/>
      <c r="D26" s="226"/>
    </row>
    <row r="27" spans="1:5" s="15" customFormat="1">
      <c r="A27" s="228" t="s">
        <v>695</v>
      </c>
      <c r="B27" s="37">
        <f>SUM(HH_hh_gas_aantal,HH_rest_gas_aantal)</f>
        <v>4666</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4432.7</v>
      </c>
      <c r="C31" s="34" t="s">
        <v>104</v>
      </c>
      <c r="D31" s="172"/>
    </row>
    <row r="32" spans="1:5">
      <c r="A32" s="169" t="s">
        <v>72</v>
      </c>
      <c r="B32" s="33">
        <f>IF((B21*($B$26-($B$27-0.05*$B$27)-$B$60))&lt;0,0,B21*($B$26-($B$27-0.05*$B$27)-$B$60))</f>
        <v>24.028675029911639</v>
      </c>
      <c r="C32" s="34" t="s">
        <v>104</v>
      </c>
      <c r="D32" s="172"/>
    </row>
    <row r="33" spans="1:6">
      <c r="A33" s="169" t="s">
        <v>73</v>
      </c>
      <c r="B33" s="33">
        <f>IF((B22*($B$26-($B$27-0.05*$B$27)-$B$60))&lt;0,0,B22*($B$26-($B$27-0.05*$B$27)-$B$60))</f>
        <v>688.65855714978068</v>
      </c>
      <c r="C33" s="34" t="s">
        <v>104</v>
      </c>
      <c r="D33" s="172"/>
    </row>
    <row r="34" spans="1:6">
      <c r="A34" s="169" t="s">
        <v>74</v>
      </c>
      <c r="B34" s="33">
        <f>IF((B24*($B$26-($B$27-0.05*$B$27)-$B$60))&lt;0,0,B24*($B$26-($B$27-0.05*$B$27)-$B$60))</f>
        <v>137.32579425905195</v>
      </c>
      <c r="C34" s="33">
        <f>B26*C24</f>
        <v>1603.1044994831939</v>
      </c>
      <c r="D34" s="231"/>
    </row>
    <row r="35" spans="1:6">
      <c r="A35" s="169" t="s">
        <v>76</v>
      </c>
      <c r="B35" s="33">
        <f>IF((B19*($B$26-($B$27-0.05*$B$27)-$B$60))&lt;0,0,B19*($B$26-($B$27-0.05*$B$27)-$B$60))</f>
        <v>71.513913779498935</v>
      </c>
      <c r="C35" s="33">
        <f>B35/2</f>
        <v>35.756956889749468</v>
      </c>
      <c r="D35" s="231"/>
    </row>
    <row r="36" spans="1:6">
      <c r="A36" s="169" t="s">
        <v>77</v>
      </c>
      <c r="B36" s="33">
        <f>IF((B18*($B$26-($B$27-0.05*$B$27)-$B$60))&lt;0,0,B18*($B$26-($B$27-0.05*$B$27)-$B$60))</f>
        <v>2467.7730597817567</v>
      </c>
      <c r="C36" s="34" t="s">
        <v>104</v>
      </c>
      <c r="D36" s="172"/>
    </row>
    <row r="37" spans="1:6">
      <c r="A37" s="169" t="s">
        <v>78</v>
      </c>
      <c r="B37" s="33">
        <f>B60</f>
        <v>18</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66</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18</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53789.747159393162</v>
      </c>
      <c r="C5" s="17">
        <f>IF(ISERROR('Eigen informatie GS &amp; warmtenet'!B58),0,'Eigen informatie GS &amp; warmtenet'!B58)</f>
        <v>0</v>
      </c>
      <c r="D5" s="30">
        <f>SUM(D6:D12)</f>
        <v>39594.964631683746</v>
      </c>
      <c r="E5" s="17">
        <f>SUM(E6:E12)</f>
        <v>779.20217639987686</v>
      </c>
      <c r="F5" s="17">
        <f>SUM(F6:F12)</f>
        <v>9459.2858534852785</v>
      </c>
      <c r="G5" s="18"/>
      <c r="H5" s="17"/>
      <c r="I5" s="17"/>
      <c r="J5" s="17">
        <f>SUM(J6:J12)</f>
        <v>0</v>
      </c>
      <c r="K5" s="17"/>
      <c r="L5" s="17"/>
      <c r="M5" s="17"/>
      <c r="N5" s="17">
        <f>SUM(N6:N12)</f>
        <v>590.04629213673934</v>
      </c>
      <c r="O5" s="17">
        <f>B38*B39*B40</f>
        <v>3.1266666666666669</v>
      </c>
      <c r="P5" s="17">
        <f>B46*B47*B48/1000-B46*B47*B48/1000/B49</f>
        <v>19.066666666666666</v>
      </c>
      <c r="R5" s="32"/>
    </row>
    <row r="6" spans="1:18">
      <c r="A6" s="32" t="s">
        <v>53</v>
      </c>
      <c r="B6" s="37">
        <f>B26</f>
        <v>3935.2396224152303</v>
      </c>
      <c r="C6" s="33"/>
      <c r="D6" s="37">
        <f>IF(ISERROR(TER_kantoor_gas_kWh/1000),0,TER_kantoor_gas_kWh/1000)*0.902</f>
        <v>5889.8534787926428</v>
      </c>
      <c r="E6" s="33">
        <f>$C$26*'E Balans VL '!I12/100/3.6*1000000</f>
        <v>137.74886702015661</v>
      </c>
      <c r="F6" s="33">
        <f>$C$26*('E Balans VL '!L12+'E Balans VL '!N12)/100/3.6*1000000</f>
        <v>596.6668155249281</v>
      </c>
      <c r="G6" s="34"/>
      <c r="H6" s="33"/>
      <c r="I6" s="33"/>
      <c r="J6" s="33">
        <f>$C$26*('E Balans VL '!D12+'E Balans VL '!E12)/100/3.6*1000000</f>
        <v>0</v>
      </c>
      <c r="K6" s="33"/>
      <c r="L6" s="33"/>
      <c r="M6" s="33"/>
      <c r="N6" s="33">
        <f>$C$26*'E Balans VL '!Y12/100/3.6*1000000</f>
        <v>30.418170585165711</v>
      </c>
      <c r="O6" s="33"/>
      <c r="P6" s="33"/>
      <c r="R6" s="32"/>
    </row>
    <row r="7" spans="1:18">
      <c r="A7" s="32" t="s">
        <v>52</v>
      </c>
      <c r="B7" s="37">
        <f t="shared" ref="B7:B12" si="0">B27</f>
        <v>2930.7521922948699</v>
      </c>
      <c r="C7" s="33"/>
      <c r="D7" s="37">
        <f>IF(ISERROR(TER_horeca_gas_kWh/1000),0,TER_horeca_gas_kWh/1000)*0.902</f>
        <v>4420.8072705677614</v>
      </c>
      <c r="E7" s="33">
        <f>$C$27*'E Balans VL '!I9/100/3.6*1000000</f>
        <v>165.33339315890359</v>
      </c>
      <c r="F7" s="33">
        <f>$C$27*('E Balans VL '!L9+'E Balans VL '!N9)/100/3.6*1000000</f>
        <v>510.55325088864066</v>
      </c>
      <c r="G7" s="34"/>
      <c r="H7" s="33"/>
      <c r="I7" s="33"/>
      <c r="J7" s="33">
        <f>$C$27*('E Balans VL '!D9+'E Balans VL '!E9)/100/3.6*1000000</f>
        <v>0</v>
      </c>
      <c r="K7" s="33"/>
      <c r="L7" s="33"/>
      <c r="M7" s="33"/>
      <c r="N7" s="33">
        <f>$C$27*'E Balans VL '!Y9/100/3.6*1000000</f>
        <v>0</v>
      </c>
      <c r="O7" s="33"/>
      <c r="P7" s="33"/>
      <c r="R7" s="32"/>
    </row>
    <row r="8" spans="1:18">
      <c r="A8" s="6" t="s">
        <v>51</v>
      </c>
      <c r="B8" s="37">
        <f t="shared" si="0"/>
        <v>29336.3302080332</v>
      </c>
      <c r="C8" s="33"/>
      <c r="D8" s="37">
        <f>IF(ISERROR(TER_handel_gas_kWh/1000),0,TER_handel_gas_kWh/1000)*0.902</f>
        <v>4044.0574821582159</v>
      </c>
      <c r="E8" s="33">
        <f>$C$28*'E Balans VL '!I13/100/3.6*1000000</f>
        <v>150.60973876012102</v>
      </c>
      <c r="F8" s="33">
        <f>$C$28*('E Balans VL '!L13+'E Balans VL '!N13)/100/3.6*1000000</f>
        <v>4523.2088252444646</v>
      </c>
      <c r="G8" s="34"/>
      <c r="H8" s="33"/>
      <c r="I8" s="33"/>
      <c r="J8" s="33">
        <f>$C$28*('E Balans VL '!D13+'E Balans VL '!E13)/100/3.6*1000000</f>
        <v>0</v>
      </c>
      <c r="K8" s="33"/>
      <c r="L8" s="33"/>
      <c r="M8" s="33"/>
      <c r="N8" s="33">
        <f>$C$28*'E Balans VL '!Y13/100/3.6*1000000</f>
        <v>13.720959736408664</v>
      </c>
      <c r="O8" s="33"/>
      <c r="P8" s="33"/>
      <c r="R8" s="32"/>
    </row>
    <row r="9" spans="1:18">
      <c r="A9" s="32" t="s">
        <v>50</v>
      </c>
      <c r="B9" s="37">
        <f t="shared" si="0"/>
        <v>1665.9906037329099</v>
      </c>
      <c r="C9" s="33"/>
      <c r="D9" s="37">
        <f>IF(ISERROR(TER_gezond_gas_kWh/1000),0,TER_gezond_gas_kWh/1000)*0.902</f>
        <v>6558.4868521265662</v>
      </c>
      <c r="E9" s="33">
        <f>$C$29*'E Balans VL '!I10/100/3.6*1000000</f>
        <v>0.69054124048744181</v>
      </c>
      <c r="F9" s="33">
        <f>$C$29*('E Balans VL '!L10+'E Balans VL '!N10)/100/3.6*1000000</f>
        <v>410.30959220694484</v>
      </c>
      <c r="G9" s="34"/>
      <c r="H9" s="33"/>
      <c r="I9" s="33"/>
      <c r="J9" s="33">
        <f>$C$29*('E Balans VL '!D10+'E Balans VL '!E10)/100/3.6*1000000</f>
        <v>0</v>
      </c>
      <c r="K9" s="33"/>
      <c r="L9" s="33"/>
      <c r="M9" s="33"/>
      <c r="N9" s="33">
        <f>$C$29*'E Balans VL '!Y10/100/3.6*1000000</f>
        <v>14.398282351441738</v>
      </c>
      <c r="O9" s="33"/>
      <c r="P9" s="33"/>
      <c r="R9" s="32"/>
    </row>
    <row r="10" spans="1:18">
      <c r="A10" s="32" t="s">
        <v>49</v>
      </c>
      <c r="B10" s="37">
        <f t="shared" si="0"/>
        <v>454.29611721769902</v>
      </c>
      <c r="C10" s="33"/>
      <c r="D10" s="37">
        <f>IF(ISERROR(TER_ander_gas_kWh/1000),0,TER_ander_gas_kWh/1000)*0.902</f>
        <v>547.7232835260296</v>
      </c>
      <c r="E10" s="33">
        <f>$C$30*'E Balans VL '!I14/100/3.6*1000000</f>
        <v>2.7694003392697466</v>
      </c>
      <c r="F10" s="33">
        <f>$C$30*('E Balans VL '!L14+'E Balans VL '!N14)/100/3.6*1000000</f>
        <v>120.4401238252952</v>
      </c>
      <c r="G10" s="34"/>
      <c r="H10" s="33"/>
      <c r="I10" s="33"/>
      <c r="J10" s="33">
        <f>$C$30*('E Balans VL '!D14+'E Balans VL '!E14)/100/3.6*1000000</f>
        <v>0</v>
      </c>
      <c r="K10" s="33"/>
      <c r="L10" s="33"/>
      <c r="M10" s="33"/>
      <c r="N10" s="33">
        <f>$C$30*'E Balans VL '!Y14/100/3.6*1000000</f>
        <v>104.70543840213091</v>
      </c>
      <c r="O10" s="33"/>
      <c r="P10" s="33"/>
      <c r="R10" s="32"/>
    </row>
    <row r="11" spans="1:18">
      <c r="A11" s="32" t="s">
        <v>54</v>
      </c>
      <c r="B11" s="37">
        <f t="shared" si="0"/>
        <v>467.69694176514901</v>
      </c>
      <c r="C11" s="33"/>
      <c r="D11" s="37">
        <f>IF(ISERROR(TER_onderwijs_gas_kWh/1000),0,TER_onderwijs_gas_kWh/1000)*0.902</f>
        <v>1817.3370726456742</v>
      </c>
      <c r="E11" s="33">
        <f>$C$31*'E Balans VL '!I11/100/3.6*1000000</f>
        <v>0.35640942286207689</v>
      </c>
      <c r="F11" s="33">
        <f>$C$31*('E Balans VL '!L11+'E Balans VL '!N11)/100/3.6*1000000</f>
        <v>338.45113792011489</v>
      </c>
      <c r="G11" s="34"/>
      <c r="H11" s="33"/>
      <c r="I11" s="33"/>
      <c r="J11" s="33">
        <f>$C$31*('E Balans VL '!D11+'E Balans VL '!E11)/100/3.6*1000000</f>
        <v>0</v>
      </c>
      <c r="K11" s="33"/>
      <c r="L11" s="33"/>
      <c r="M11" s="33"/>
      <c r="N11" s="33">
        <f>$C$31*'E Balans VL '!Y11/100/3.6*1000000</f>
        <v>1.3784146649141698</v>
      </c>
      <c r="O11" s="33"/>
      <c r="P11" s="33"/>
      <c r="R11" s="32"/>
    </row>
    <row r="12" spans="1:18">
      <c r="A12" s="32" t="s">
        <v>249</v>
      </c>
      <c r="B12" s="37">
        <f t="shared" si="0"/>
        <v>14999.441473934099</v>
      </c>
      <c r="C12" s="33"/>
      <c r="D12" s="37">
        <f>IF(ISERROR(TER_rest_gas_kWh/1000),0,TER_rest_gas_kWh/1000)*0.902</f>
        <v>16316.699191866859</v>
      </c>
      <c r="E12" s="33">
        <f>$C$32*'E Balans VL '!I8/100/3.6*1000000</f>
        <v>321.69382645807633</v>
      </c>
      <c r="F12" s="33">
        <f>$C$32*('E Balans VL '!L8+'E Balans VL '!N8)/100/3.6*1000000</f>
        <v>2959.6561078748896</v>
      </c>
      <c r="G12" s="34"/>
      <c r="H12" s="33"/>
      <c r="I12" s="33"/>
      <c r="J12" s="33">
        <f>$C$32*('E Balans VL '!D8+'E Balans VL '!E8)/100/3.6*1000000</f>
        <v>0</v>
      </c>
      <c r="K12" s="33"/>
      <c r="L12" s="33"/>
      <c r="M12" s="33"/>
      <c r="N12" s="33">
        <f>$C$32*'E Balans VL '!Y8/100/3.6*1000000</f>
        <v>425.42502639667816</v>
      </c>
      <c r="O12" s="33"/>
      <c r="P12" s="33"/>
      <c r="R12" s="32"/>
    </row>
    <row r="13" spans="1:18">
      <c r="A13" s="16" t="s">
        <v>483</v>
      </c>
      <c r="B13" s="244">
        <f ca="1">'lokale energieproductie'!N62+'lokale energieproductie'!N55</f>
        <v>16.875</v>
      </c>
      <c r="C13" s="244">
        <f ca="1">'lokale energieproductie'!O62+'lokale energieproductie'!O55</f>
        <v>0</v>
      </c>
      <c r="D13" s="304">
        <f ca="1">('lokale energieproductie'!P55+'lokale energieproductie'!P62)*(-1)</f>
        <v>0</v>
      </c>
      <c r="E13" s="245"/>
      <c r="F13" s="304">
        <f ca="1">('lokale energieproductie'!S55+'lokale energieproductie'!S62)*(-1)</f>
        <v>0</v>
      </c>
      <c r="G13" s="246"/>
      <c r="H13" s="245"/>
      <c r="I13" s="245"/>
      <c r="J13" s="245"/>
      <c r="K13" s="245"/>
      <c r="L13" s="304">
        <f ca="1">('lokale energieproductie'!U55+'lokale energieproductie'!T55+'lokale energieproductie'!U62+'lokale energieproductie'!T62)*(-1)</f>
        <v>0</v>
      </c>
      <c r="M13" s="245"/>
      <c r="N13" s="304">
        <f ca="1">('lokale energieproductie'!Q55+'lokale energieproductie'!R55+'lokale energieproductie'!V55+'lokale energieproductie'!Q62+'lokale energieproductie'!R62+'lokale energieproductie'!V62)*(-1)</f>
        <v>-42.1875</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53806.622159393162</v>
      </c>
      <c r="C16" s="21">
        <f ca="1">C5+C13+C14</f>
        <v>0</v>
      </c>
      <c r="D16" s="21">
        <f t="shared" ref="D16:N16" ca="1" si="1">MAX((D5+D13+D14),0)</f>
        <v>39594.964631683746</v>
      </c>
      <c r="E16" s="21">
        <f t="shared" si="1"/>
        <v>779.20217639987686</v>
      </c>
      <c r="F16" s="21">
        <f t="shared" ca="1" si="1"/>
        <v>9459.2858534852785</v>
      </c>
      <c r="G16" s="21">
        <f t="shared" si="1"/>
        <v>0</v>
      </c>
      <c r="H16" s="21">
        <f t="shared" si="1"/>
        <v>0</v>
      </c>
      <c r="I16" s="21">
        <f t="shared" si="1"/>
        <v>0</v>
      </c>
      <c r="J16" s="21">
        <f t="shared" si="1"/>
        <v>0</v>
      </c>
      <c r="K16" s="21">
        <f t="shared" si="1"/>
        <v>0</v>
      </c>
      <c r="L16" s="21">
        <f t="shared" ca="1" si="1"/>
        <v>0</v>
      </c>
      <c r="M16" s="21">
        <f t="shared" si="1"/>
        <v>0</v>
      </c>
      <c r="N16" s="21">
        <f t="shared" ca="1" si="1"/>
        <v>547.85879213673934</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0.20832626840601978</v>
      </c>
      <c r="C18" s="25">
        <f ca="1">'EF ele_warmte'!B22</f>
        <v>0.21458534769679019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11209.332809999032</v>
      </c>
      <c r="C20" s="23">
        <f t="shared" ref="C20:P20" ca="1" si="2">C16*C18</f>
        <v>0</v>
      </c>
      <c r="D20" s="23">
        <f t="shared" ca="1" si="2"/>
        <v>7998.1828556001174</v>
      </c>
      <c r="E20" s="23">
        <f t="shared" si="2"/>
        <v>176.87889404277206</v>
      </c>
      <c r="F20" s="23">
        <f t="shared" ca="1" si="2"/>
        <v>2525.6293228805694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3935.2396224152303</v>
      </c>
      <c r="C26" s="39">
        <f>IF(ISERROR(B26*3.6/1000000/'E Balans VL '!Z12*100),0,B26*3.6/1000000/'E Balans VL '!Z12*100)</f>
        <v>8.281059175005033E-2</v>
      </c>
      <c r="D26" s="234" t="s">
        <v>700</v>
      </c>
      <c r="F26" s="6"/>
    </row>
    <row r="27" spans="1:18">
      <c r="A27" s="229" t="s">
        <v>52</v>
      </c>
      <c r="B27" s="33">
        <f>IF(ISERROR(TER_horeca_ele_kWh/1000),0,TER_horeca_ele_kWh/1000)</f>
        <v>2930.7521922948699</v>
      </c>
      <c r="C27" s="39">
        <f>IF(ISERROR(B27*3.6/1000000/'E Balans VL '!Z9*100),0,B27*3.6/1000000/'E Balans VL '!Z9*100)</f>
        <v>0.24813855278421074</v>
      </c>
      <c r="D27" s="234" t="s">
        <v>700</v>
      </c>
      <c r="F27" s="6"/>
    </row>
    <row r="28" spans="1:18">
      <c r="A28" s="169" t="s">
        <v>51</v>
      </c>
      <c r="B28" s="33">
        <f>IF(ISERROR(TER_handel_ele_kWh/1000),0,TER_handel_ele_kWh/1000)</f>
        <v>29336.3302080332</v>
      </c>
      <c r="C28" s="39">
        <f>IF(ISERROR(B28*3.6/1000000/'E Balans VL '!Z13*100),0,B28*3.6/1000000/'E Balans VL '!Z13*100)</f>
        <v>0.81217224520965337</v>
      </c>
      <c r="D28" s="234" t="s">
        <v>700</v>
      </c>
      <c r="F28" s="6"/>
    </row>
    <row r="29" spans="1:18">
      <c r="A29" s="229" t="s">
        <v>50</v>
      </c>
      <c r="B29" s="33">
        <f>IF(ISERROR(TER_gezond_ele_kWh/1000),0,TER_gezond_ele_kWh/1000)</f>
        <v>1665.9906037329099</v>
      </c>
      <c r="C29" s="39">
        <f>IF(ISERROR(B29*3.6/1000000/'E Balans VL '!Z10*100),0,B29*3.6/1000000/'E Balans VL '!Z10*100)</f>
        <v>0.21656030882606353</v>
      </c>
      <c r="D29" s="234" t="s">
        <v>700</v>
      </c>
      <c r="F29" s="6"/>
    </row>
    <row r="30" spans="1:18">
      <c r="A30" s="229" t="s">
        <v>49</v>
      </c>
      <c r="B30" s="33">
        <f>IF(ISERROR(TER_ander_ele_kWh/1000),0,TER_ander_ele_kWh/1000)</f>
        <v>454.29611721769902</v>
      </c>
      <c r="C30" s="39">
        <f>IF(ISERROR(B30*3.6/1000000/'E Balans VL '!Z14*100),0,B30*3.6/1000000/'E Balans VL '!Z14*100)</f>
        <v>3.5212115298027861E-2</v>
      </c>
      <c r="D30" s="234" t="s">
        <v>700</v>
      </c>
      <c r="F30" s="6"/>
    </row>
    <row r="31" spans="1:18">
      <c r="A31" s="229" t="s">
        <v>54</v>
      </c>
      <c r="B31" s="33">
        <f>IF(ISERROR(TER_onderwijs_ele_kWh/1000),0,TER_onderwijs_ele_kWh/1000)</f>
        <v>467.69694176514901</v>
      </c>
      <c r="C31" s="39">
        <f>IF(ISERROR(B31*3.6/1000000/'E Balans VL '!Z11*100),0,B31*3.6/1000000/'E Balans VL '!Z11*100)</f>
        <v>8.9478394346911364E-2</v>
      </c>
      <c r="D31" s="234" t="s">
        <v>700</v>
      </c>
    </row>
    <row r="32" spans="1:18">
      <c r="A32" s="229" t="s">
        <v>249</v>
      </c>
      <c r="B32" s="33">
        <f>IF(ISERROR(TER_rest_ele_kWh/1000),0,TER_rest_ele_kWh/1000)</f>
        <v>14999.441473934099</v>
      </c>
      <c r="C32" s="39">
        <f>IF(ISERROR(B32*3.6/1000000/'E Balans VL '!Z8*100),0,B32*3.6/1000000/'E Balans VL '!Z8*100)</f>
        <v>0.12368191325713444</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2</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6190.5249437916045</v>
      </c>
      <c r="C5" s="17">
        <f>IF(ISERROR('Eigen informatie GS &amp; warmtenet'!B59),0,'Eigen informatie GS &amp; warmtenet'!B59)</f>
        <v>0</v>
      </c>
      <c r="D5" s="30">
        <f>SUM(D6:D15)</f>
        <v>7413.4672968426494</v>
      </c>
      <c r="E5" s="17">
        <f>SUM(E6:E15)</f>
        <v>59.844072622826545</v>
      </c>
      <c r="F5" s="17">
        <f>SUM(F6:F15)</f>
        <v>1565.8191206743063</v>
      </c>
      <c r="G5" s="18"/>
      <c r="H5" s="17"/>
      <c r="I5" s="17"/>
      <c r="J5" s="17">
        <f>SUM(J6:J15)</f>
        <v>50.130414177071238</v>
      </c>
      <c r="K5" s="17"/>
      <c r="L5" s="17"/>
      <c r="M5" s="17"/>
      <c r="N5" s="17">
        <f>SUM(N6:N15)</f>
        <v>137.21879006339299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1054.4060202268799</v>
      </c>
      <c r="C8" s="33"/>
      <c r="D8" s="37">
        <f>IF( ISERROR(IND_metaal_Gas_kWH/1000),0,IND_metaal_Gas_kWH/1000)*0.902</f>
        <v>438.83742038661921</v>
      </c>
      <c r="E8" s="33">
        <f>C30*'E Balans VL '!I18/100/3.6*1000000</f>
        <v>7.4090784599987209</v>
      </c>
      <c r="F8" s="33">
        <f>C30*'E Balans VL '!L18/100/3.6*1000000+C30*'E Balans VL '!N18/100/3.6*1000000</f>
        <v>115.767612138499</v>
      </c>
      <c r="G8" s="34"/>
      <c r="H8" s="33"/>
      <c r="I8" s="33"/>
      <c r="J8" s="40">
        <f>C30*'E Balans VL '!D18/100/3.6*1000000+C30*'E Balans VL '!E18/100/3.6*1000000</f>
        <v>21.754668855341311</v>
      </c>
      <c r="K8" s="33"/>
      <c r="L8" s="33"/>
      <c r="M8" s="33"/>
      <c r="N8" s="33">
        <f>C30*'E Balans VL '!Y18/100/3.6*1000000</f>
        <v>3.9519897020504708</v>
      </c>
      <c r="O8" s="33"/>
      <c r="P8" s="33"/>
      <c r="R8" s="32"/>
    </row>
    <row r="9" spans="1:18">
      <c r="A9" s="6" t="s">
        <v>32</v>
      </c>
      <c r="B9" s="37">
        <f t="shared" si="0"/>
        <v>756.11629889663902</v>
      </c>
      <c r="C9" s="33"/>
      <c r="D9" s="37">
        <f>IF( ISERROR(IND_andere_gas_kWh/1000),0,IND_andere_gas_kWh/1000)*0.902</f>
        <v>1499.9810866507246</v>
      </c>
      <c r="E9" s="33">
        <f>C31*'E Balans VL '!I19/100/3.6*1000000</f>
        <v>12.699899512009424</v>
      </c>
      <c r="F9" s="33">
        <f>C31*'E Balans VL '!L19/100/3.6*1000000+C31*'E Balans VL '!N19/100/3.6*1000000</f>
        <v>591.08865730857917</v>
      </c>
      <c r="G9" s="34"/>
      <c r="H9" s="33"/>
      <c r="I9" s="33"/>
      <c r="J9" s="40">
        <f>C31*'E Balans VL '!D19/100/3.6*1000000+C31*'E Balans VL '!E19/100/3.6*1000000</f>
        <v>6.8195015630866954E-2</v>
      </c>
      <c r="K9" s="33"/>
      <c r="L9" s="33"/>
      <c r="M9" s="33"/>
      <c r="N9" s="33">
        <f>C31*'E Balans VL '!Y19/100/3.6*1000000</f>
        <v>56.040348566292693</v>
      </c>
      <c r="O9" s="33"/>
      <c r="P9" s="33"/>
      <c r="R9" s="32"/>
    </row>
    <row r="10" spans="1:18">
      <c r="A10" s="6" t="s">
        <v>40</v>
      </c>
      <c r="B10" s="37">
        <f t="shared" si="0"/>
        <v>433.640379650184</v>
      </c>
      <c r="C10" s="33"/>
      <c r="D10" s="37">
        <f>IF( ISERROR(IND_voed_gas_kWh/1000),0,IND_voed_gas_kWh/1000)*0.902</f>
        <v>224.35728045894183</v>
      </c>
      <c r="E10" s="33">
        <f>C32*'E Balans VL '!I20/100/3.6*1000000</f>
        <v>3.9563546246771795</v>
      </c>
      <c r="F10" s="33">
        <f>C32*'E Balans VL '!L20/100/3.6*1000000+C32*'E Balans VL '!N20/100/3.6*1000000</f>
        <v>69.959756714887817</v>
      </c>
      <c r="G10" s="34"/>
      <c r="H10" s="33"/>
      <c r="I10" s="33"/>
      <c r="J10" s="40">
        <f>C32*'E Balans VL '!D20/100/3.6*1000000+C32*'E Balans VL '!E20/100/3.6*1000000</f>
        <v>1.7860153917943276</v>
      </c>
      <c r="K10" s="33"/>
      <c r="L10" s="33"/>
      <c r="M10" s="33"/>
      <c r="N10" s="33">
        <f>C32*'E Balans VL '!Y20/100/3.6*1000000</f>
        <v>6.343816819246066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7.5314759812806997</v>
      </c>
      <c r="C13" s="33"/>
      <c r="D13" s="37">
        <f>IF( ISERROR(IND_papier_gas_kWh/1000),0,IND_papier_gas_kWh/1000)*0.902</f>
        <v>0</v>
      </c>
      <c r="E13" s="33">
        <f>C35*'E Balans VL '!I23/100/3.6*1000000</f>
        <v>0.23172386054225527</v>
      </c>
      <c r="F13" s="33">
        <f>C35*'E Balans VL '!L23/100/3.6*1000000+C35*'E Balans VL '!N23/100/3.6*1000000</f>
        <v>1.5991955603603907</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3938.83076903662</v>
      </c>
      <c r="C15" s="33"/>
      <c r="D15" s="37">
        <f>IF( ISERROR(IND_rest_gas_kWh/1000),0,IND_rest_gas_kWh/1000)*0.902</f>
        <v>5250.2915093463644</v>
      </c>
      <c r="E15" s="33">
        <f>C37*'E Balans VL '!I15/100/3.6*1000000</f>
        <v>35.547016165598968</v>
      </c>
      <c r="F15" s="33">
        <f>C37*'E Balans VL '!L15/100/3.6*1000000+C37*'E Balans VL '!N15/100/3.6*1000000</f>
        <v>787.40389895197984</v>
      </c>
      <c r="G15" s="34"/>
      <c r="H15" s="33"/>
      <c r="I15" s="33"/>
      <c r="J15" s="40">
        <f>C37*'E Balans VL '!D15/100/3.6*1000000+C37*'E Balans VL '!E15/100/3.6*1000000</f>
        <v>26.521534914304731</v>
      </c>
      <c r="K15" s="33"/>
      <c r="L15" s="33"/>
      <c r="M15" s="33"/>
      <c r="N15" s="33">
        <f>C37*'E Balans VL '!Y15/100/3.6*1000000</f>
        <v>70.882634975803768</v>
      </c>
      <c r="O15" s="33"/>
      <c r="P15" s="33"/>
      <c r="R15" s="32"/>
    </row>
    <row r="16" spans="1:18">
      <c r="A16" s="16" t="s">
        <v>483</v>
      </c>
      <c r="B16" s="244">
        <f>'lokale energieproductie'!N61+'lokale energieproductie'!N54</f>
        <v>0</v>
      </c>
      <c r="C16" s="244">
        <f>'lokale energieproductie'!O61+'lokale energieproductie'!O54</f>
        <v>0</v>
      </c>
      <c r="D16" s="304">
        <f>('lokale energieproductie'!P54+'lokale energieproductie'!P61)*(-1)</f>
        <v>0</v>
      </c>
      <c r="E16" s="245"/>
      <c r="F16" s="304">
        <f>('lokale energieproductie'!S54+'lokale energieproductie'!S61)*(-1)</f>
        <v>0</v>
      </c>
      <c r="G16" s="246"/>
      <c r="H16" s="245"/>
      <c r="I16" s="245"/>
      <c r="J16" s="245"/>
      <c r="K16" s="245"/>
      <c r="L16" s="304">
        <f>('lokale energieproductie'!T54+'lokale energieproductie'!U54+'lokale energieproductie'!T61+'lokale energieproductie'!U61)*(-1)</f>
        <v>0</v>
      </c>
      <c r="M16" s="245"/>
      <c r="N16" s="304">
        <f>('lokale energieproductie'!Q54+'lokale energieproductie'!R54+'lokale energieproductie'!V54+'lokale energieproductie'!Q61+'lokale energieproductie'!R61+'lokale energieproductie'!V61)*(-1)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6190.5249437916045</v>
      </c>
      <c r="C18" s="21">
        <f>C5+C16</f>
        <v>0</v>
      </c>
      <c r="D18" s="21">
        <f>MAX((D5+D16),0)</f>
        <v>7413.4672968426494</v>
      </c>
      <c r="E18" s="21">
        <f>MAX((E5+E16),0)</f>
        <v>59.844072622826545</v>
      </c>
      <c r="F18" s="21">
        <f>MAX((F5+F16),0)</f>
        <v>1565.8191206743063</v>
      </c>
      <c r="G18" s="21"/>
      <c r="H18" s="21"/>
      <c r="I18" s="21"/>
      <c r="J18" s="21">
        <f>MAX((J5+J16),0)</f>
        <v>50.130414177071238</v>
      </c>
      <c r="K18" s="21"/>
      <c r="L18" s="21">
        <f>MAX((L5+L16),0)</f>
        <v>0</v>
      </c>
      <c r="M18" s="21"/>
      <c r="N18" s="21">
        <f>MAX((N5+N16),0)</f>
        <v>137.21879006339299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0.20832626840601978</v>
      </c>
      <c r="C20" s="25">
        <f ca="1">'EF ele_warmte'!B22</f>
        <v>0.21458534769679019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1289.6489610144904</v>
      </c>
      <c r="C22" s="23">
        <f ca="1">C18*C20</f>
        <v>0</v>
      </c>
      <c r="D22" s="23">
        <f>D18*D20</f>
        <v>1497.5203939622152</v>
      </c>
      <c r="E22" s="23">
        <f>E18*E20</f>
        <v>13.584604485381625</v>
      </c>
      <c r="F22" s="23">
        <f>F18*F20</f>
        <v>418.07370522003981</v>
      </c>
      <c r="G22" s="23"/>
      <c r="H22" s="23"/>
      <c r="I22" s="23"/>
      <c r="J22" s="23">
        <f>J18*J20</f>
        <v>17.746166618683219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1054.4060202268799</v>
      </c>
      <c r="C30" s="39">
        <f>IF(ISERROR(B30*3.6/1000000/'E Balans VL '!Z18*100),0,B30*3.6/1000000/'E Balans VL '!Z18*100)</f>
        <v>7.019245264077488E-2</v>
      </c>
      <c r="D30" s="234" t="s">
        <v>700</v>
      </c>
    </row>
    <row r="31" spans="1:18">
      <c r="A31" s="6" t="s">
        <v>32</v>
      </c>
      <c r="B31" s="37">
        <f>IF( ISERROR(IND_ander_ele_kWh/1000),0,IND_ander_ele_kWh/1000)</f>
        <v>756.11629889663902</v>
      </c>
      <c r="C31" s="39">
        <f>IF(ISERROR(B31*3.6/1000000/'E Balans VL '!Z19*100),0,B31*3.6/1000000/'E Balans VL '!Z19*100)</f>
        <v>3.3515639081381714E-2</v>
      </c>
      <c r="D31" s="234" t="s">
        <v>700</v>
      </c>
    </row>
    <row r="32" spans="1:18">
      <c r="A32" s="169" t="s">
        <v>40</v>
      </c>
      <c r="B32" s="37">
        <f>IF( ISERROR(IND_voed_ele_kWh/1000),0,IND_voed_ele_kWh/1000)</f>
        <v>433.640379650184</v>
      </c>
      <c r="C32" s="39">
        <f>IF(ISERROR(B32*3.6/1000000/'E Balans VL '!Z20*100),0,B32*3.6/1000000/'E Balans VL '!Z20*100)</f>
        <v>1.4484832633566348E-2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7.5314759812806997</v>
      </c>
      <c r="C35" s="39">
        <f>IF(ISERROR(B35*3.6/1000000/'E Balans VL '!Z22*100),0,B35*3.6/1000000/'E Balans VL '!Z22*100)</f>
        <v>1.4647893497980176E-3</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3938.83076903662</v>
      </c>
      <c r="C37" s="39">
        <f>IF(ISERROR(B37*3.6/1000000/'E Balans VL '!Z15*100),0,B37*3.6/1000000/'E Balans VL '!Z15*100)</f>
        <v>2.9298484017412557E-2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6589.6976709053506</v>
      </c>
      <c r="C5" s="17">
        <f>'Eigen informatie GS &amp; warmtenet'!B60</f>
        <v>0</v>
      </c>
      <c r="D5" s="30">
        <f>IF(ISERROR(SUM(LB_lb_gas_kWh,LB_rest_gas_kWh)/1000),0,SUM(LB_lb_gas_kWh,LB_rest_gas_kWh)/1000)*0.902</f>
        <v>401270.05306724092</v>
      </c>
      <c r="E5" s="17">
        <f>B17*'E Balans VL '!I25/3.6*1000000/100</f>
        <v>69.008740621089714</v>
      </c>
      <c r="F5" s="17">
        <f>B17*('E Balans VL '!L25/3.6*1000000+'E Balans VL '!N25/3.6*1000000)/100</f>
        <v>28208.913138298929</v>
      </c>
      <c r="G5" s="18"/>
      <c r="H5" s="17"/>
      <c r="I5" s="17"/>
      <c r="J5" s="17">
        <f>('E Balans VL '!D25+'E Balans VL '!E25)/3.6*1000000*landbouw!B17/100</f>
        <v>588.51906647969201</v>
      </c>
      <c r="K5" s="17"/>
      <c r="L5" s="17">
        <f>L6*(-1)</f>
        <v>46080</v>
      </c>
      <c r="M5" s="17"/>
      <c r="N5" s="17">
        <f>N6*(-1)</f>
        <v>0</v>
      </c>
      <c r="O5" s="17"/>
      <c r="P5" s="17"/>
      <c r="R5" s="32"/>
    </row>
    <row r="6" spans="1:18">
      <c r="A6" s="16" t="s">
        <v>483</v>
      </c>
      <c r="B6" s="17" t="s">
        <v>204</v>
      </c>
      <c r="C6" s="17">
        <f>'lokale energieproductie'!O63+'lokale energieproductie'!O56</f>
        <v>215289.9642857142</v>
      </c>
      <c r="D6" s="304">
        <f>('lokale energieproductie'!P56+'lokale energieproductie'!P63)*(-1)</f>
        <v>-378658.92857142852</v>
      </c>
      <c r="E6" s="245"/>
      <c r="F6" s="304">
        <f>('lokale energieproductie'!S56+'lokale energieproductie'!S63)*(-1)</f>
        <v>-11610</v>
      </c>
      <c r="G6" s="246"/>
      <c r="H6" s="245"/>
      <c r="I6" s="245"/>
      <c r="J6" s="245"/>
      <c r="K6" s="245"/>
      <c r="L6" s="304">
        <f>('lokale energieproductie'!T56+'lokale energieproductie'!U56+'lokale energieproductie'!T63+'lokale energieproductie'!U63)*(-1)</f>
        <v>-46080</v>
      </c>
      <c r="M6" s="245"/>
      <c r="N6" s="304">
        <f>('lokale energieproductie'!V56+'lokale energieproductie'!R56+'lokale energieproductie'!Q56+'lokale energieproductie'!Q63+'lokale energieproductie'!R63+'lokale energieproductie'!V63)*(-1)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6589.6976709053506</v>
      </c>
      <c r="C8" s="21">
        <f>C5+C6</f>
        <v>215289.9642857142</v>
      </c>
      <c r="D8" s="21">
        <f>MAX((D5+D6),0)</f>
        <v>22611.124495812401</v>
      </c>
      <c r="E8" s="21">
        <f>MAX((E5+E6),0)</f>
        <v>69.008740621089714</v>
      </c>
      <c r="F8" s="21">
        <f>MAX((F5+F6),0)</f>
        <v>16598.913138298929</v>
      </c>
      <c r="G8" s="21"/>
      <c r="H8" s="21"/>
      <c r="I8" s="21"/>
      <c r="J8" s="21">
        <f>MAX((J5+J6),0)</f>
        <v>588.51906647969201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0.20832626840601978</v>
      </c>
      <c r="C10" s="31">
        <f ca="1">'EF ele_warmte'!B22</f>
        <v>0.21458534769679019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1372.8071257035515</v>
      </c>
      <c r="C12" s="23">
        <f ca="1">C8*C10</f>
        <v>46198.071841879522</v>
      </c>
      <c r="D12" s="23">
        <f>D8*D10</f>
        <v>4567.447148154105</v>
      </c>
      <c r="E12" s="23">
        <f>E8*E10</f>
        <v>15.664984120987366</v>
      </c>
      <c r="F12" s="23">
        <f>F8*F10</f>
        <v>4431.9098079258147</v>
      </c>
      <c r="G12" s="23"/>
      <c r="H12" s="23"/>
      <c r="I12" s="23"/>
      <c r="J12" s="23">
        <f>J8*J10</f>
        <v>208.33574953381097</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1.0142816762246067</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90.454356607948313</v>
      </c>
      <c r="C26" s="244">
        <f>B26*'GWP N2O_CH4'!B5</f>
        <v>1899.5414887669147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13.781565302129911</v>
      </c>
      <c r="C27" s="244">
        <f>B27*'GWP N2O_CH4'!B5</f>
        <v>289.4128713447281</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1.2352554275830208</v>
      </c>
      <c r="C28" s="244">
        <f>B28*'GWP N2O_CH4'!B4</f>
        <v>382.92918255073641</v>
      </c>
      <c r="D28" s="50"/>
    </row>
    <row r="29" spans="1:4">
      <c r="A29" s="41" t="s">
        <v>266</v>
      </c>
      <c r="B29" s="244">
        <f>B34*'ha_N2O bodem landbouw'!B4</f>
        <v>9.6538479185128789</v>
      </c>
      <c r="C29" s="244">
        <f>B29*'GWP N2O_CH4'!B4</f>
        <v>2992.6928547389925</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1.5954251592451394E-3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2.957462145940347E-6</v>
      </c>
      <c r="C5" s="433" t="s">
        <v>204</v>
      </c>
      <c r="D5" s="418">
        <f>SUM(D6:D11)</f>
        <v>1.0305261026028441E-5</v>
      </c>
      <c r="E5" s="418">
        <f>SUM(E6:E11)</f>
        <v>1.0562742310532933E-3</v>
      </c>
      <c r="F5" s="431" t="s">
        <v>204</v>
      </c>
      <c r="G5" s="418">
        <f>SUM(G6:G11)</f>
        <v>0.18173172439963331</v>
      </c>
      <c r="H5" s="418">
        <f>SUM(H6:H11)</f>
        <v>3.3772471376155827E-2</v>
      </c>
      <c r="I5" s="433" t="s">
        <v>204</v>
      </c>
      <c r="J5" s="433" t="s">
        <v>204</v>
      </c>
      <c r="K5" s="433" t="s">
        <v>204</v>
      </c>
      <c r="L5" s="433" t="s">
        <v>204</v>
      </c>
      <c r="M5" s="418">
        <f>SUM(M6:M11)</f>
        <v>9.3832333246904147E-3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2.305720491284352E-6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7.3004205782917481E-6</v>
      </c>
      <c r="E6" s="421">
        <f>vkm_GW_PW*SUMIFS(TableVerdeelsleutelVkm[LPG],TableVerdeelsleutelVkm[Voertuigtype],"Lichte voertuigen")*SUMIFS(TableECFTransport[EnergieConsumptieFactor (PJ per km)],TableECFTransport[Index],CONCATENATE($A6,"_LPG_LPG"))</f>
        <v>7.6076730600653226E-4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0.10133439481362373</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2.430990250874189E-2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5.4842673973746498E-3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8.7199302688218408E-8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3.9307454302885791E-2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1.0642485910169454E-6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1.6933814768947538E-3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5.5842165878868585E-7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3.0048404477366924E-6</v>
      </c>
      <c r="E8" s="421">
        <f>vkm_NGW_PW*SUMIFS(TableVerdeelsleutelVkm[LPG],TableVerdeelsleutelVkm[Voertuigtype],"Lichte voertuigen")*SUMIFS(TableECFTransport[EnergieConsumptieFactor (PJ per km)],TableECFTransport[Index],CONCATENATE($A8,"_LPG_LPG"))</f>
        <v>2.9550692504676099E-4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3.7268131814755391E-2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9.4614144519251896E-3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2.0409427650220796E-3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6.1206931790903544E-9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3.8217434683684029E-3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9.0166897728174584E-8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1.6464168539893139E-4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0.82151726276120751</v>
      </c>
      <c r="C14" s="21"/>
      <c r="D14" s="21">
        <f t="shared" ref="D14:M14" si="0">((D5)*10^9/3600)+D12</f>
        <v>2.8625725072301229</v>
      </c>
      <c r="E14" s="21">
        <f t="shared" si="0"/>
        <v>293.40950862591478</v>
      </c>
      <c r="F14" s="21"/>
      <c r="G14" s="21">
        <f t="shared" si="0"/>
        <v>50481.034555453698</v>
      </c>
      <c r="H14" s="21">
        <f t="shared" si="0"/>
        <v>9381.2420489321739</v>
      </c>
      <c r="I14" s="21"/>
      <c r="J14" s="21"/>
      <c r="K14" s="21"/>
      <c r="L14" s="21"/>
      <c r="M14" s="21">
        <f t="shared" si="0"/>
        <v>2606.453701302893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0.20832626840601978</v>
      </c>
      <c r="C16" s="56">
        <f ca="1">'EF ele_warmte'!B22</f>
        <v>0.21458534769679019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0.17114362578216999</v>
      </c>
      <c r="C18" s="23"/>
      <c r="D18" s="23">
        <f t="shared" ref="D18:M18" si="1">D14*D16</f>
        <v>0.57823964646048487</v>
      </c>
      <c r="E18" s="23">
        <f t="shared" si="1"/>
        <v>66.603958458082658</v>
      </c>
      <c r="F18" s="23"/>
      <c r="G18" s="23">
        <f t="shared" si="1"/>
        <v>13478.436226306138</v>
      </c>
      <c r="H18" s="23">
        <f t="shared" si="1"/>
        <v>2335.9292701841114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4.4067310751901598E-5</v>
      </c>
      <c r="C50" s="315">
        <f t="shared" ref="C50:P50" si="2">SUM(C51:C52)</f>
        <v>0</v>
      </c>
      <c r="D50" s="315">
        <f t="shared" si="2"/>
        <v>0</v>
      </c>
      <c r="E50" s="315">
        <f t="shared" si="2"/>
        <v>0</v>
      </c>
      <c r="F50" s="315">
        <f t="shared" si="2"/>
        <v>0</v>
      </c>
      <c r="G50" s="315">
        <f t="shared" si="2"/>
        <v>9.5599606380670499E-3</v>
      </c>
      <c r="H50" s="315">
        <f t="shared" si="2"/>
        <v>0</v>
      </c>
      <c r="I50" s="315">
        <f t="shared" si="2"/>
        <v>0</v>
      </c>
      <c r="J50" s="315">
        <f t="shared" si="2"/>
        <v>0</v>
      </c>
      <c r="K50" s="315">
        <f t="shared" si="2"/>
        <v>0</v>
      </c>
      <c r="L50" s="315">
        <f t="shared" si="2"/>
        <v>0</v>
      </c>
      <c r="M50" s="315">
        <f t="shared" si="2"/>
        <v>4.0932079233252497E-4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4.4067310751901598E-5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9.5599606380670499E-3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4.0932079233252497E-4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12.240919653305999</v>
      </c>
      <c r="C54" s="21">
        <f t="shared" ref="C54:P54" si="3">(C50)*10^9/3600</f>
        <v>0</v>
      </c>
      <c r="D54" s="21">
        <f t="shared" si="3"/>
        <v>0</v>
      </c>
      <c r="E54" s="21">
        <f t="shared" si="3"/>
        <v>0</v>
      </c>
      <c r="F54" s="21">
        <f t="shared" si="3"/>
        <v>0</v>
      </c>
      <c r="G54" s="21">
        <f t="shared" si="3"/>
        <v>2655.5446216852915</v>
      </c>
      <c r="H54" s="21">
        <f t="shared" si="3"/>
        <v>0</v>
      </c>
      <c r="I54" s="21">
        <f t="shared" si="3"/>
        <v>0</v>
      </c>
      <c r="J54" s="21">
        <f t="shared" si="3"/>
        <v>0</v>
      </c>
      <c r="K54" s="21">
        <f t="shared" si="3"/>
        <v>0</v>
      </c>
      <c r="L54" s="21">
        <f t="shared" si="3"/>
        <v>0</v>
      </c>
      <c r="M54" s="21">
        <f t="shared" si="3"/>
        <v>113.70022009236804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0.20832626840601978</v>
      </c>
      <c r="C56" s="56">
        <f ca="1">'EF ele_warmte'!B22</f>
        <v>0.21458534769679019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2.5501051132311483</v>
      </c>
      <c r="C58" s="23">
        <f t="shared" ref="C58:P58" ca="1" si="4">C54*C56</f>
        <v>0</v>
      </c>
      <c r="D58" s="23">
        <f t="shared" si="4"/>
        <v>0</v>
      </c>
      <c r="E58" s="23">
        <f t="shared" si="4"/>
        <v>0</v>
      </c>
      <c r="F58" s="23">
        <f t="shared" si="4"/>
        <v>0</v>
      </c>
      <c r="G58" s="23">
        <f t="shared" si="4"/>
        <v>709.03041398997289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75"/>
  <sheetViews>
    <sheetView showGridLines="0" zoomScale="65" zoomScaleNormal="65" workbookViewId="0">
      <selection activeCell="A28" sqref="A28:XFD53"/>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4658.2637210852299</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N53</f>
        <v>155606.625</v>
      </c>
      <c r="C8" s="544">
        <f>B72</f>
        <v>158863.25084463524</v>
      </c>
      <c r="D8" s="963"/>
      <c r="E8" s="963">
        <f>E72</f>
        <v>4870.880370534549</v>
      </c>
      <c r="F8" s="964"/>
      <c r="G8" s="545"/>
      <c r="H8" s="963">
        <f>I72</f>
        <v>0</v>
      </c>
      <c r="I8" s="963">
        <f>G72+F72</f>
        <v>19332.486431889065</v>
      </c>
      <c r="J8" s="963">
        <f>H72+D72+C72</f>
        <v>0</v>
      </c>
      <c r="K8" s="963"/>
      <c r="L8" s="963"/>
      <c r="M8" s="963"/>
      <c r="N8" s="546"/>
      <c r="O8" s="547">
        <f>C8*$C$12+D8*$D$12+E8*$E$12+F8*$F$12+G8*$G$12+H8*$H$12+I8*$I$12+J8*$J$12</f>
        <v>33390.901729549048</v>
      </c>
      <c r="P8" s="1253"/>
      <c r="Q8" s="1254"/>
      <c r="S8" s="996"/>
      <c r="T8" s="1250"/>
      <c r="U8" s="1250"/>
    </row>
    <row r="9" spans="1:21" s="532" customFormat="1" ht="17.45" customHeight="1" thickBot="1">
      <c r="A9" s="548" t="s">
        <v>237</v>
      </c>
      <c r="B9" s="1000">
        <f>N60+'Eigen informatie GS &amp; warmtenet'!B12</f>
        <v>16.875</v>
      </c>
      <c r="C9" s="549">
        <f>P60+IF(ISERROR(('Eigen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S60+IF(ISERROR('Eigen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W60+IF(ISERROR('Eigen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(T60+U60)+IF(ISERROR('Eigen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V60+Q60+R60+IF(ISERROR('Eigen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42.1875</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160281.76372108524</v>
      </c>
      <c r="C10" s="556">
        <f t="shared" ref="C10:L10" si="0">SUM(C8:C9)</f>
        <v>158863.25084463524</v>
      </c>
      <c r="D10" s="556">
        <f t="shared" si="0"/>
        <v>0</v>
      </c>
      <c r="E10" s="556">
        <f t="shared" si="0"/>
        <v>4870.880370534549</v>
      </c>
      <c r="F10" s="556">
        <f t="shared" si="0"/>
        <v>0</v>
      </c>
      <c r="G10" s="556">
        <f t="shared" si="0"/>
        <v>0</v>
      </c>
      <c r="H10" s="556">
        <f t="shared" si="0"/>
        <v>0</v>
      </c>
      <c r="I10" s="556">
        <f t="shared" si="0"/>
        <v>19332.486431889065</v>
      </c>
      <c r="J10" s="556">
        <f t="shared" si="0"/>
        <v>42.1875</v>
      </c>
      <c r="K10" s="556">
        <f t="shared" si="0"/>
        <v>0</v>
      </c>
      <c r="L10" s="556">
        <f t="shared" si="0"/>
        <v>0</v>
      </c>
      <c r="M10" s="958"/>
      <c r="N10" s="958"/>
      <c r="O10" s="557">
        <f>SUM(O4:O9)</f>
        <v>33390.901729549048</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O53</f>
        <v>215289.9642857142</v>
      </c>
      <c r="C17" s="568">
        <f>B73</f>
        <v>219795.67772679328</v>
      </c>
      <c r="D17" s="569"/>
      <c r="E17" s="569">
        <f>E73</f>
        <v>6739.119629465451</v>
      </c>
      <c r="F17" s="570"/>
      <c r="G17" s="571"/>
      <c r="H17" s="568">
        <f>I73</f>
        <v>0</v>
      </c>
      <c r="I17" s="569">
        <f>G73+F73</f>
        <v>26747.513568110935</v>
      </c>
      <c r="J17" s="569">
        <f>H73+D73+C73</f>
        <v>0</v>
      </c>
      <c r="K17" s="569"/>
      <c r="L17" s="569"/>
      <c r="M17" s="569"/>
      <c r="N17" s="959"/>
      <c r="O17" s="572">
        <f>C17*$C$22+E17*$E$22+H17*$H$22+I17*$I$22+J17*$J$22+D17*$D$22+F17*$F$22+G17*$G$22+K17*$K$22+L17*$L$22</f>
        <v>46198.071841879522</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215289.9642857142</v>
      </c>
      <c r="C20" s="555">
        <f>SUM(C17:C19)</f>
        <v>219795.67772679328</v>
      </c>
      <c r="D20" s="555">
        <f t="shared" ref="D20:L20" si="1">SUM(D17:D19)</f>
        <v>0</v>
      </c>
      <c r="E20" s="555">
        <f t="shared" si="1"/>
        <v>6739.119629465451</v>
      </c>
      <c r="F20" s="555">
        <f t="shared" si="1"/>
        <v>0</v>
      </c>
      <c r="G20" s="555">
        <f t="shared" si="1"/>
        <v>0</v>
      </c>
      <c r="H20" s="555">
        <f t="shared" si="1"/>
        <v>0</v>
      </c>
      <c r="I20" s="555">
        <f t="shared" si="1"/>
        <v>26747.513568110935</v>
      </c>
      <c r="J20" s="555">
        <f t="shared" si="1"/>
        <v>0</v>
      </c>
      <c r="K20" s="555">
        <f t="shared" si="1"/>
        <v>0</v>
      </c>
      <c r="L20" s="555">
        <f t="shared" si="1"/>
        <v>0</v>
      </c>
      <c r="M20" s="555"/>
      <c r="N20" s="555"/>
      <c r="O20" s="576">
        <f>SUM(O17:O19)</f>
        <v>46198.071841879522</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12035</v>
      </c>
      <c r="C28" s="775">
        <v>2860</v>
      </c>
      <c r="D28" s="628"/>
      <c r="E28" s="627"/>
      <c r="F28" s="627"/>
      <c r="G28" s="627" t="s">
        <v>977</v>
      </c>
      <c r="H28" s="627" t="s">
        <v>978</v>
      </c>
      <c r="I28" s="627"/>
      <c r="J28" s="774"/>
      <c r="K28" s="774"/>
      <c r="L28" s="627" t="s">
        <v>979</v>
      </c>
      <c r="M28" s="627">
        <v>265</v>
      </c>
      <c r="N28" s="627">
        <v>695.625</v>
      </c>
      <c r="O28" s="627">
        <v>993.75</v>
      </c>
      <c r="P28" s="627">
        <v>1987.5000000000002</v>
      </c>
      <c r="Q28" s="627">
        <v>0</v>
      </c>
      <c r="R28" s="627">
        <v>0</v>
      </c>
      <c r="S28" s="627">
        <v>0</v>
      </c>
      <c r="T28" s="627">
        <v>0</v>
      </c>
      <c r="U28" s="627">
        <v>0</v>
      </c>
      <c r="V28" s="627">
        <v>0</v>
      </c>
      <c r="W28" s="627">
        <v>0</v>
      </c>
      <c r="X28" s="627">
        <v>10</v>
      </c>
      <c r="Y28" s="627" t="s">
        <v>105</v>
      </c>
      <c r="Z28" s="629" t="s">
        <v>105</v>
      </c>
    </row>
    <row r="29" spans="1:26" s="581" customFormat="1" ht="38.25" hidden="1">
      <c r="A29" s="580"/>
      <c r="B29" s="775">
        <v>12035</v>
      </c>
      <c r="C29" s="775">
        <v>2861</v>
      </c>
      <c r="D29" s="628"/>
      <c r="E29" s="627"/>
      <c r="F29" s="627"/>
      <c r="G29" s="627" t="s">
        <v>977</v>
      </c>
      <c r="H29" s="627" t="s">
        <v>980</v>
      </c>
      <c r="I29" s="627"/>
      <c r="J29" s="774"/>
      <c r="K29" s="774"/>
      <c r="L29" s="627" t="s">
        <v>981</v>
      </c>
      <c r="M29" s="627">
        <v>528</v>
      </c>
      <c r="N29" s="627">
        <v>2376</v>
      </c>
      <c r="O29" s="627">
        <v>2673</v>
      </c>
      <c r="P29" s="627">
        <v>0</v>
      </c>
      <c r="Q29" s="627">
        <v>0</v>
      </c>
      <c r="R29" s="627">
        <v>0</v>
      </c>
      <c r="S29" s="627">
        <v>1485</v>
      </c>
      <c r="T29" s="627">
        <v>4455</v>
      </c>
      <c r="U29" s="627">
        <v>0</v>
      </c>
      <c r="V29" s="627">
        <v>0</v>
      </c>
      <c r="W29" s="627">
        <v>0</v>
      </c>
      <c r="X29" s="627">
        <v>10</v>
      </c>
      <c r="Y29" s="627" t="s">
        <v>105</v>
      </c>
      <c r="Z29" s="629" t="s">
        <v>105</v>
      </c>
    </row>
    <row r="30" spans="1:26" s="581" customFormat="1" ht="38.25" hidden="1">
      <c r="A30" s="580"/>
      <c r="B30" s="775">
        <v>12035</v>
      </c>
      <c r="C30" s="775">
        <v>2861</v>
      </c>
      <c r="D30" s="628"/>
      <c r="E30" s="627"/>
      <c r="F30" s="627"/>
      <c r="G30" s="627" t="s">
        <v>977</v>
      </c>
      <c r="H30" s="627" t="s">
        <v>980</v>
      </c>
      <c r="I30" s="627"/>
      <c r="J30" s="774"/>
      <c r="K30" s="774"/>
      <c r="L30" s="627" t="s">
        <v>979</v>
      </c>
      <c r="M30" s="627">
        <v>640</v>
      </c>
      <c r="N30" s="627">
        <v>2880</v>
      </c>
      <c r="O30" s="627">
        <v>3240</v>
      </c>
      <c r="P30" s="627">
        <v>0</v>
      </c>
      <c r="Q30" s="627">
        <v>0</v>
      </c>
      <c r="R30" s="627">
        <v>0</v>
      </c>
      <c r="S30" s="627">
        <v>1800</v>
      </c>
      <c r="T30" s="627">
        <v>5400</v>
      </c>
      <c r="U30" s="627">
        <v>0</v>
      </c>
      <c r="V30" s="627">
        <v>0</v>
      </c>
      <c r="W30" s="627">
        <v>0</v>
      </c>
      <c r="X30" s="627">
        <v>10</v>
      </c>
      <c r="Y30" s="627" t="s">
        <v>105</v>
      </c>
      <c r="Z30" s="629" t="s">
        <v>105</v>
      </c>
    </row>
    <row r="31" spans="1:26" s="581" customFormat="1" ht="38.25" hidden="1">
      <c r="A31" s="580"/>
      <c r="B31" s="775">
        <v>12035</v>
      </c>
      <c r="C31" s="775">
        <v>2860</v>
      </c>
      <c r="D31" s="628"/>
      <c r="E31" s="627"/>
      <c r="F31" s="627"/>
      <c r="G31" s="627" t="s">
        <v>977</v>
      </c>
      <c r="H31" s="627" t="s">
        <v>980</v>
      </c>
      <c r="I31" s="627"/>
      <c r="J31" s="774"/>
      <c r="K31" s="774"/>
      <c r="L31" s="627" t="s">
        <v>981</v>
      </c>
      <c r="M31" s="627">
        <v>773</v>
      </c>
      <c r="N31" s="627">
        <v>3478.5</v>
      </c>
      <c r="O31" s="627">
        <v>3913.3125</v>
      </c>
      <c r="P31" s="627">
        <v>0</v>
      </c>
      <c r="Q31" s="627">
        <v>0</v>
      </c>
      <c r="R31" s="627">
        <v>0</v>
      </c>
      <c r="S31" s="627">
        <v>2174.0625</v>
      </c>
      <c r="T31" s="627">
        <v>6522.1875</v>
      </c>
      <c r="U31" s="627">
        <v>0</v>
      </c>
      <c r="V31" s="627">
        <v>0</v>
      </c>
      <c r="W31" s="627">
        <v>0</v>
      </c>
      <c r="X31" s="627">
        <v>10</v>
      </c>
      <c r="Y31" s="627" t="s">
        <v>105</v>
      </c>
      <c r="Z31" s="629" t="s">
        <v>105</v>
      </c>
    </row>
    <row r="32" spans="1:26" s="581" customFormat="1" ht="25.5" hidden="1">
      <c r="A32" s="580"/>
      <c r="B32" s="775">
        <v>12035</v>
      </c>
      <c r="C32" s="775">
        <v>2861</v>
      </c>
      <c r="D32" s="628"/>
      <c r="E32" s="627"/>
      <c r="F32" s="627"/>
      <c r="G32" s="627" t="s">
        <v>977</v>
      </c>
      <c r="H32" s="627" t="s">
        <v>978</v>
      </c>
      <c r="I32" s="627"/>
      <c r="J32" s="774"/>
      <c r="K32" s="774"/>
      <c r="L32" s="627" t="s">
        <v>979</v>
      </c>
      <c r="M32" s="627">
        <v>800</v>
      </c>
      <c r="N32" s="627">
        <v>3600</v>
      </c>
      <c r="O32" s="627">
        <v>5142.8571428571431</v>
      </c>
      <c r="P32" s="627">
        <v>10285.714285714286</v>
      </c>
      <c r="Q32" s="627">
        <v>0</v>
      </c>
      <c r="R32" s="627">
        <v>0</v>
      </c>
      <c r="S32" s="627">
        <v>0</v>
      </c>
      <c r="T32" s="627">
        <v>0</v>
      </c>
      <c r="U32" s="627">
        <v>0</v>
      </c>
      <c r="V32" s="627">
        <v>0</v>
      </c>
      <c r="W32" s="627">
        <v>0</v>
      </c>
      <c r="X32" s="627">
        <v>10</v>
      </c>
      <c r="Y32" s="627" t="s">
        <v>105</v>
      </c>
      <c r="Z32" s="629" t="s">
        <v>105</v>
      </c>
    </row>
    <row r="33" spans="1:26" s="581" customFormat="1" ht="38.25" hidden="1">
      <c r="A33" s="580"/>
      <c r="B33" s="775">
        <v>12035</v>
      </c>
      <c r="C33" s="775">
        <v>2861</v>
      </c>
      <c r="D33" s="628"/>
      <c r="E33" s="627"/>
      <c r="F33" s="627"/>
      <c r="G33" s="627" t="s">
        <v>977</v>
      </c>
      <c r="H33" s="627" t="s">
        <v>980</v>
      </c>
      <c r="I33" s="627"/>
      <c r="J33" s="774"/>
      <c r="K33" s="774"/>
      <c r="L33" s="627" t="s">
        <v>979</v>
      </c>
      <c r="M33" s="627">
        <v>1000</v>
      </c>
      <c r="N33" s="627">
        <v>4500</v>
      </c>
      <c r="O33" s="627">
        <v>5062.5</v>
      </c>
      <c r="P33" s="627">
        <v>0</v>
      </c>
      <c r="Q33" s="627">
        <v>0</v>
      </c>
      <c r="R33" s="627">
        <v>0</v>
      </c>
      <c r="S33" s="627">
        <v>0</v>
      </c>
      <c r="T33" s="627">
        <v>11250</v>
      </c>
      <c r="U33" s="627">
        <v>0</v>
      </c>
      <c r="V33" s="627">
        <v>0</v>
      </c>
      <c r="W33" s="627">
        <v>0</v>
      </c>
      <c r="X33" s="627">
        <v>10</v>
      </c>
      <c r="Y33" s="627" t="s">
        <v>105</v>
      </c>
      <c r="Z33" s="629" t="s">
        <v>105</v>
      </c>
    </row>
    <row r="34" spans="1:26" s="581" customFormat="1" ht="25.5" hidden="1">
      <c r="A34" s="580"/>
      <c r="B34" s="775">
        <v>12035</v>
      </c>
      <c r="C34" s="775">
        <v>2861</v>
      </c>
      <c r="D34" s="628"/>
      <c r="E34" s="627"/>
      <c r="F34" s="627"/>
      <c r="G34" s="627" t="s">
        <v>977</v>
      </c>
      <c r="H34" s="627" t="s">
        <v>978</v>
      </c>
      <c r="I34" s="627"/>
      <c r="J34" s="774"/>
      <c r="K34" s="774"/>
      <c r="L34" s="627" t="s">
        <v>979</v>
      </c>
      <c r="M34" s="627">
        <v>1006</v>
      </c>
      <c r="N34" s="627">
        <v>4527</v>
      </c>
      <c r="O34" s="627">
        <v>6467.1428571428569</v>
      </c>
      <c r="P34" s="627">
        <v>12934.285714285716</v>
      </c>
      <c r="Q34" s="627">
        <v>0</v>
      </c>
      <c r="R34" s="627">
        <v>0</v>
      </c>
      <c r="S34" s="627">
        <v>0</v>
      </c>
      <c r="T34" s="627">
        <v>0</v>
      </c>
      <c r="U34" s="627">
        <v>0</v>
      </c>
      <c r="V34" s="627">
        <v>0</v>
      </c>
      <c r="W34" s="627">
        <v>0</v>
      </c>
      <c r="X34" s="627">
        <v>10</v>
      </c>
      <c r="Y34" s="627" t="s">
        <v>105</v>
      </c>
      <c r="Z34" s="629" t="s">
        <v>105</v>
      </c>
    </row>
    <row r="35" spans="1:26" s="581" customFormat="1" ht="25.5" hidden="1">
      <c r="A35" s="580"/>
      <c r="B35" s="775">
        <v>12035</v>
      </c>
      <c r="C35" s="775">
        <v>2860</v>
      </c>
      <c r="D35" s="628"/>
      <c r="E35" s="627"/>
      <c r="F35" s="627"/>
      <c r="G35" s="627" t="s">
        <v>977</v>
      </c>
      <c r="H35" s="627" t="s">
        <v>978</v>
      </c>
      <c r="I35" s="627"/>
      <c r="J35" s="774"/>
      <c r="K35" s="774"/>
      <c r="L35" s="627" t="s">
        <v>979</v>
      </c>
      <c r="M35" s="627">
        <v>1008</v>
      </c>
      <c r="N35" s="627">
        <v>4536</v>
      </c>
      <c r="O35" s="627">
        <v>6480</v>
      </c>
      <c r="P35" s="627">
        <v>12960</v>
      </c>
      <c r="Q35" s="627">
        <v>0</v>
      </c>
      <c r="R35" s="627">
        <v>0</v>
      </c>
      <c r="S35" s="627">
        <v>0</v>
      </c>
      <c r="T35" s="627">
        <v>0</v>
      </c>
      <c r="U35" s="627">
        <v>0</v>
      </c>
      <c r="V35" s="627">
        <v>0</v>
      </c>
      <c r="W35" s="627">
        <v>0</v>
      </c>
      <c r="X35" s="627">
        <v>10</v>
      </c>
      <c r="Y35" s="627" t="s">
        <v>105</v>
      </c>
      <c r="Z35" s="629" t="s">
        <v>105</v>
      </c>
    </row>
    <row r="36" spans="1:26" s="581" customFormat="1" ht="38.25" hidden="1">
      <c r="A36" s="580"/>
      <c r="B36" s="775">
        <v>12035</v>
      </c>
      <c r="C36" s="775">
        <v>2860</v>
      </c>
      <c r="D36" s="628"/>
      <c r="E36" s="627"/>
      <c r="F36" s="627"/>
      <c r="G36" s="627" t="s">
        <v>977</v>
      </c>
      <c r="H36" s="627" t="s">
        <v>980</v>
      </c>
      <c r="I36" s="627"/>
      <c r="J36" s="774"/>
      <c r="K36" s="774"/>
      <c r="L36" s="627" t="s">
        <v>979</v>
      </c>
      <c r="M36" s="627">
        <v>1058</v>
      </c>
      <c r="N36" s="627">
        <v>4761</v>
      </c>
      <c r="O36" s="627">
        <v>5356.125</v>
      </c>
      <c r="P36" s="627">
        <v>0</v>
      </c>
      <c r="Q36" s="627">
        <v>0</v>
      </c>
      <c r="R36" s="627">
        <v>0</v>
      </c>
      <c r="S36" s="627">
        <v>2975.625</v>
      </c>
      <c r="T36" s="627">
        <v>8926.875</v>
      </c>
      <c r="U36" s="627">
        <v>0</v>
      </c>
      <c r="V36" s="627">
        <v>0</v>
      </c>
      <c r="W36" s="627">
        <v>0</v>
      </c>
      <c r="X36" s="627">
        <v>10</v>
      </c>
      <c r="Y36" s="627" t="s">
        <v>105</v>
      </c>
      <c r="Z36" s="629" t="s">
        <v>105</v>
      </c>
    </row>
    <row r="37" spans="1:26" s="581" customFormat="1" ht="38.25" hidden="1">
      <c r="A37" s="580"/>
      <c r="B37" s="775">
        <v>12035</v>
      </c>
      <c r="C37" s="775">
        <v>2860</v>
      </c>
      <c r="D37" s="628"/>
      <c r="E37" s="627"/>
      <c r="F37" s="627"/>
      <c r="G37" s="627" t="s">
        <v>977</v>
      </c>
      <c r="H37" s="627" t="s">
        <v>980</v>
      </c>
      <c r="I37" s="627"/>
      <c r="J37" s="774"/>
      <c r="K37" s="774"/>
      <c r="L37" s="627" t="s">
        <v>979</v>
      </c>
      <c r="M37" s="627">
        <v>1129</v>
      </c>
      <c r="N37" s="627">
        <v>5080.5</v>
      </c>
      <c r="O37" s="627">
        <v>5715.5625</v>
      </c>
      <c r="P37" s="627">
        <v>0</v>
      </c>
      <c r="Q37" s="627">
        <v>0</v>
      </c>
      <c r="R37" s="627">
        <v>0</v>
      </c>
      <c r="S37" s="627">
        <v>3175.3125</v>
      </c>
      <c r="T37" s="627">
        <v>9525.9375</v>
      </c>
      <c r="U37" s="627">
        <v>0</v>
      </c>
      <c r="V37" s="627">
        <v>0</v>
      </c>
      <c r="W37" s="627">
        <v>0</v>
      </c>
      <c r="X37" s="627">
        <v>10</v>
      </c>
      <c r="Y37" s="627" t="s">
        <v>105</v>
      </c>
      <c r="Z37" s="629" t="s">
        <v>105</v>
      </c>
    </row>
    <row r="38" spans="1:26" s="581" customFormat="1" ht="25.5" hidden="1">
      <c r="A38" s="580"/>
      <c r="B38" s="775">
        <v>12035</v>
      </c>
      <c r="C38" s="775">
        <v>2860</v>
      </c>
      <c r="D38" s="628"/>
      <c r="E38" s="627"/>
      <c r="F38" s="627"/>
      <c r="G38" s="627" t="s">
        <v>977</v>
      </c>
      <c r="H38" s="627" t="s">
        <v>978</v>
      </c>
      <c r="I38" s="627"/>
      <c r="J38" s="774"/>
      <c r="K38" s="774"/>
      <c r="L38" s="627" t="s">
        <v>979</v>
      </c>
      <c r="M38" s="627">
        <v>1158</v>
      </c>
      <c r="N38" s="627">
        <v>5211</v>
      </c>
      <c r="O38" s="627">
        <v>7444.2857142857147</v>
      </c>
      <c r="P38" s="627">
        <v>14888.571428571429</v>
      </c>
      <c r="Q38" s="627">
        <v>0</v>
      </c>
      <c r="R38" s="627">
        <v>0</v>
      </c>
      <c r="S38" s="627">
        <v>0</v>
      </c>
      <c r="T38" s="627">
        <v>0</v>
      </c>
      <c r="U38" s="627">
        <v>0</v>
      </c>
      <c r="V38" s="627">
        <v>0</v>
      </c>
      <c r="W38" s="627">
        <v>0</v>
      </c>
      <c r="X38" s="627">
        <v>10</v>
      </c>
      <c r="Y38" s="627" t="s">
        <v>105</v>
      </c>
      <c r="Z38" s="629" t="s">
        <v>105</v>
      </c>
    </row>
    <row r="39" spans="1:26" s="581" customFormat="1" ht="25.5" hidden="1">
      <c r="A39" s="580"/>
      <c r="B39" s="775">
        <v>12035</v>
      </c>
      <c r="C39" s="775">
        <v>2860</v>
      </c>
      <c r="D39" s="628"/>
      <c r="E39" s="627"/>
      <c r="F39" s="627"/>
      <c r="G39" s="627" t="s">
        <v>977</v>
      </c>
      <c r="H39" s="627" t="s">
        <v>978</v>
      </c>
      <c r="I39" s="627"/>
      <c r="J39" s="774"/>
      <c r="K39" s="774"/>
      <c r="L39" s="627" t="s">
        <v>979</v>
      </c>
      <c r="M39" s="627">
        <v>1160</v>
      </c>
      <c r="N39" s="627">
        <v>1739.9999999999998</v>
      </c>
      <c r="O39" s="627">
        <v>2485.7142857142853</v>
      </c>
      <c r="P39" s="627">
        <v>4971.4285714285706</v>
      </c>
      <c r="Q39" s="627">
        <v>0</v>
      </c>
      <c r="R39" s="627">
        <v>0</v>
      </c>
      <c r="S39" s="627">
        <v>0</v>
      </c>
      <c r="T39" s="627">
        <v>0</v>
      </c>
      <c r="U39" s="627">
        <v>0</v>
      </c>
      <c r="V39" s="627">
        <v>0</v>
      </c>
      <c r="W39" s="627">
        <v>0</v>
      </c>
      <c r="X39" s="627">
        <v>10</v>
      </c>
      <c r="Y39" s="627" t="s">
        <v>105</v>
      </c>
      <c r="Z39" s="629" t="s">
        <v>105</v>
      </c>
    </row>
    <row r="40" spans="1:26" s="581" customFormat="1" ht="25.5" hidden="1">
      <c r="A40" s="580"/>
      <c r="B40" s="775">
        <v>12035</v>
      </c>
      <c r="C40" s="775">
        <v>2861</v>
      </c>
      <c r="D40" s="628"/>
      <c r="E40" s="627"/>
      <c r="F40" s="627"/>
      <c r="G40" s="627" t="s">
        <v>977</v>
      </c>
      <c r="H40" s="627" t="s">
        <v>978</v>
      </c>
      <c r="I40" s="627"/>
      <c r="J40" s="774"/>
      <c r="K40" s="774"/>
      <c r="L40" s="627" t="s">
        <v>979</v>
      </c>
      <c r="M40" s="627">
        <v>1400</v>
      </c>
      <c r="N40" s="627">
        <v>6300</v>
      </c>
      <c r="O40" s="627">
        <v>9000</v>
      </c>
      <c r="P40" s="627">
        <v>18000</v>
      </c>
      <c r="Q40" s="627">
        <v>0</v>
      </c>
      <c r="R40" s="627">
        <v>0</v>
      </c>
      <c r="S40" s="627">
        <v>0</v>
      </c>
      <c r="T40" s="627">
        <v>0</v>
      </c>
      <c r="U40" s="627">
        <v>0</v>
      </c>
      <c r="V40" s="627">
        <v>0</v>
      </c>
      <c r="W40" s="627">
        <v>0</v>
      </c>
      <c r="X40" s="627">
        <v>10</v>
      </c>
      <c r="Y40" s="627" t="s">
        <v>105</v>
      </c>
      <c r="Z40" s="629" t="s">
        <v>105</v>
      </c>
    </row>
    <row r="41" spans="1:26" s="581" customFormat="1" ht="25.5" hidden="1">
      <c r="A41" s="580"/>
      <c r="B41" s="775">
        <v>12035</v>
      </c>
      <c r="C41" s="775">
        <v>2861</v>
      </c>
      <c r="D41" s="628"/>
      <c r="E41" s="627"/>
      <c r="F41" s="627"/>
      <c r="G41" s="627" t="s">
        <v>977</v>
      </c>
      <c r="H41" s="627" t="s">
        <v>978</v>
      </c>
      <c r="I41" s="627"/>
      <c r="J41" s="774"/>
      <c r="K41" s="774"/>
      <c r="L41" s="627" t="s">
        <v>979</v>
      </c>
      <c r="M41" s="627">
        <v>1562</v>
      </c>
      <c r="N41" s="627">
        <v>7029</v>
      </c>
      <c r="O41" s="627">
        <v>10041.428571428572</v>
      </c>
      <c r="P41" s="627">
        <v>20082.857142857145</v>
      </c>
      <c r="Q41" s="627">
        <v>0</v>
      </c>
      <c r="R41" s="627">
        <v>0</v>
      </c>
      <c r="S41" s="627">
        <v>0</v>
      </c>
      <c r="T41" s="627">
        <v>0</v>
      </c>
      <c r="U41" s="627">
        <v>0</v>
      </c>
      <c r="V41" s="627">
        <v>0</v>
      </c>
      <c r="W41" s="627">
        <v>0</v>
      </c>
      <c r="X41" s="627">
        <v>10</v>
      </c>
      <c r="Y41" s="627" t="s">
        <v>105</v>
      </c>
      <c r="Z41" s="629" t="s">
        <v>105</v>
      </c>
    </row>
    <row r="42" spans="1:26" s="581" customFormat="1" ht="25.5" hidden="1">
      <c r="A42" s="580"/>
      <c r="B42" s="775">
        <v>12035</v>
      </c>
      <c r="C42" s="775">
        <v>2861</v>
      </c>
      <c r="D42" s="628"/>
      <c r="E42" s="627"/>
      <c r="F42" s="627"/>
      <c r="G42" s="627" t="s">
        <v>977</v>
      </c>
      <c r="H42" s="627" t="s">
        <v>978</v>
      </c>
      <c r="I42" s="627"/>
      <c r="J42" s="774"/>
      <c r="K42" s="774"/>
      <c r="L42" s="627" t="s">
        <v>979</v>
      </c>
      <c r="M42" s="627">
        <v>1564</v>
      </c>
      <c r="N42" s="627">
        <v>7038</v>
      </c>
      <c r="O42" s="627">
        <v>10054.285714285714</v>
      </c>
      <c r="P42" s="627">
        <v>20108.571428571431</v>
      </c>
      <c r="Q42" s="627">
        <v>0</v>
      </c>
      <c r="R42" s="627">
        <v>0</v>
      </c>
      <c r="S42" s="627">
        <v>0</v>
      </c>
      <c r="T42" s="627">
        <v>0</v>
      </c>
      <c r="U42" s="627">
        <v>0</v>
      </c>
      <c r="V42" s="627">
        <v>0</v>
      </c>
      <c r="W42" s="627">
        <v>0</v>
      </c>
      <c r="X42" s="627">
        <v>10</v>
      </c>
      <c r="Y42" s="627" t="s">
        <v>105</v>
      </c>
      <c r="Z42" s="629" t="s">
        <v>105</v>
      </c>
    </row>
    <row r="43" spans="1:26" s="581" customFormat="1" ht="25.5" hidden="1">
      <c r="A43" s="580"/>
      <c r="B43" s="775">
        <v>12035</v>
      </c>
      <c r="C43" s="775">
        <v>2861</v>
      </c>
      <c r="D43" s="628"/>
      <c r="E43" s="627"/>
      <c r="F43" s="627"/>
      <c r="G43" s="627" t="s">
        <v>977</v>
      </c>
      <c r="H43" s="627" t="s">
        <v>978</v>
      </c>
      <c r="I43" s="627"/>
      <c r="J43" s="774"/>
      <c r="K43" s="774"/>
      <c r="L43" s="627" t="s">
        <v>979</v>
      </c>
      <c r="M43" s="627">
        <v>1752</v>
      </c>
      <c r="N43" s="627">
        <v>7884</v>
      </c>
      <c r="O43" s="627">
        <v>11262.857142857143</v>
      </c>
      <c r="P43" s="627">
        <v>22525.714285714286</v>
      </c>
      <c r="Q43" s="627">
        <v>0</v>
      </c>
      <c r="R43" s="627">
        <v>0</v>
      </c>
      <c r="S43" s="627">
        <v>0</v>
      </c>
      <c r="T43" s="627">
        <v>0</v>
      </c>
      <c r="U43" s="627">
        <v>0</v>
      </c>
      <c r="V43" s="627">
        <v>0</v>
      </c>
      <c r="W43" s="627">
        <v>0</v>
      </c>
      <c r="X43" s="627">
        <v>10</v>
      </c>
      <c r="Y43" s="627" t="s">
        <v>105</v>
      </c>
      <c r="Z43" s="629" t="s">
        <v>105</v>
      </c>
    </row>
    <row r="44" spans="1:26" s="581" customFormat="1" ht="25.5" hidden="1">
      <c r="A44" s="580"/>
      <c r="B44" s="775">
        <v>12035</v>
      </c>
      <c r="C44" s="775">
        <v>2861</v>
      </c>
      <c r="D44" s="628"/>
      <c r="E44" s="627"/>
      <c r="F44" s="627"/>
      <c r="G44" s="627" t="s">
        <v>977</v>
      </c>
      <c r="H44" s="627" t="s">
        <v>978</v>
      </c>
      <c r="I44" s="627"/>
      <c r="J44" s="774"/>
      <c r="K44" s="774"/>
      <c r="L44" s="627" t="s">
        <v>979</v>
      </c>
      <c r="M44" s="627">
        <v>1984</v>
      </c>
      <c r="N44" s="627">
        <v>8928</v>
      </c>
      <c r="O44" s="627">
        <v>12754.285714285714</v>
      </c>
      <c r="P44" s="627">
        <v>25508.571428571431</v>
      </c>
      <c r="Q44" s="627">
        <v>0</v>
      </c>
      <c r="R44" s="627">
        <v>0</v>
      </c>
      <c r="S44" s="627">
        <v>0</v>
      </c>
      <c r="T44" s="627">
        <v>0</v>
      </c>
      <c r="U44" s="627">
        <v>0</v>
      </c>
      <c r="V44" s="627">
        <v>0</v>
      </c>
      <c r="W44" s="627">
        <v>0</v>
      </c>
      <c r="X44" s="627">
        <v>10</v>
      </c>
      <c r="Y44" s="627" t="s">
        <v>105</v>
      </c>
      <c r="Z44" s="629" t="s">
        <v>105</v>
      </c>
    </row>
    <row r="45" spans="1:26" s="581" customFormat="1" ht="25.5" hidden="1">
      <c r="A45" s="580"/>
      <c r="B45" s="775">
        <v>12035</v>
      </c>
      <c r="C45" s="775">
        <v>2861</v>
      </c>
      <c r="D45" s="628"/>
      <c r="E45" s="627"/>
      <c r="F45" s="627"/>
      <c r="G45" s="627" t="s">
        <v>977</v>
      </c>
      <c r="H45" s="627" t="s">
        <v>978</v>
      </c>
      <c r="I45" s="627"/>
      <c r="J45" s="774"/>
      <c r="K45" s="774"/>
      <c r="L45" s="627" t="s">
        <v>979</v>
      </c>
      <c r="M45" s="627">
        <v>2000</v>
      </c>
      <c r="N45" s="627">
        <v>9000</v>
      </c>
      <c r="O45" s="627">
        <v>12857.142857142857</v>
      </c>
      <c r="P45" s="627">
        <v>25714.285714285717</v>
      </c>
      <c r="Q45" s="627">
        <v>0</v>
      </c>
      <c r="R45" s="627">
        <v>0</v>
      </c>
      <c r="S45" s="627">
        <v>0</v>
      </c>
      <c r="T45" s="627">
        <v>0</v>
      </c>
      <c r="U45" s="627">
        <v>0</v>
      </c>
      <c r="V45" s="627">
        <v>0</v>
      </c>
      <c r="W45" s="627">
        <v>0</v>
      </c>
      <c r="X45" s="627">
        <v>10</v>
      </c>
      <c r="Y45" s="627" t="s">
        <v>105</v>
      </c>
      <c r="Z45" s="629" t="s">
        <v>105</v>
      </c>
    </row>
    <row r="46" spans="1:26" s="581" customFormat="1" ht="25.5" hidden="1">
      <c r="A46" s="580"/>
      <c r="B46" s="775">
        <v>12035</v>
      </c>
      <c r="C46" s="775">
        <v>2860</v>
      </c>
      <c r="D46" s="628"/>
      <c r="E46" s="627"/>
      <c r="F46" s="627"/>
      <c r="G46" s="627" t="s">
        <v>977</v>
      </c>
      <c r="H46" s="627" t="s">
        <v>978</v>
      </c>
      <c r="I46" s="627"/>
      <c r="J46" s="774"/>
      <c r="K46" s="774"/>
      <c r="L46" s="627" t="s">
        <v>979</v>
      </c>
      <c r="M46" s="627">
        <v>2014</v>
      </c>
      <c r="N46" s="627">
        <v>9062.9999999999982</v>
      </c>
      <c r="O46" s="627">
        <v>12947.142857142855</v>
      </c>
      <c r="P46" s="627">
        <v>25894.28571428571</v>
      </c>
      <c r="Q46" s="627">
        <v>0</v>
      </c>
      <c r="R46" s="627">
        <v>0</v>
      </c>
      <c r="S46" s="627">
        <v>0</v>
      </c>
      <c r="T46" s="627">
        <v>0</v>
      </c>
      <c r="U46" s="627">
        <v>0</v>
      </c>
      <c r="V46" s="627">
        <v>0</v>
      </c>
      <c r="W46" s="627">
        <v>0</v>
      </c>
      <c r="X46" s="627">
        <v>10</v>
      </c>
      <c r="Y46" s="627" t="s">
        <v>105</v>
      </c>
      <c r="Z46" s="629" t="s">
        <v>105</v>
      </c>
    </row>
    <row r="47" spans="1:26" s="581" customFormat="1" ht="25.5" hidden="1">
      <c r="A47" s="580"/>
      <c r="B47" s="775">
        <v>12035</v>
      </c>
      <c r="C47" s="775">
        <v>2860</v>
      </c>
      <c r="D47" s="628"/>
      <c r="E47" s="627"/>
      <c r="F47" s="627"/>
      <c r="G47" s="627" t="s">
        <v>977</v>
      </c>
      <c r="H47" s="627" t="s">
        <v>978</v>
      </c>
      <c r="I47" s="627"/>
      <c r="J47" s="774"/>
      <c r="K47" s="774"/>
      <c r="L47" s="627" t="s">
        <v>979</v>
      </c>
      <c r="M47" s="627">
        <v>2014</v>
      </c>
      <c r="N47" s="627">
        <v>9062.9999999999982</v>
      </c>
      <c r="O47" s="627">
        <v>12947.142857142855</v>
      </c>
      <c r="P47" s="627">
        <v>25894.28571428571</v>
      </c>
      <c r="Q47" s="627">
        <v>0</v>
      </c>
      <c r="R47" s="627">
        <v>0</v>
      </c>
      <c r="S47" s="627">
        <v>0</v>
      </c>
      <c r="T47" s="627">
        <v>0</v>
      </c>
      <c r="U47" s="627">
        <v>0</v>
      </c>
      <c r="V47" s="627">
        <v>0</v>
      </c>
      <c r="W47" s="627">
        <v>0</v>
      </c>
      <c r="X47" s="627">
        <v>10</v>
      </c>
      <c r="Y47" s="627" t="s">
        <v>105</v>
      </c>
      <c r="Z47" s="629" t="s">
        <v>105</v>
      </c>
    </row>
    <row r="48" spans="1:26" s="581" customFormat="1" ht="25.5" hidden="1">
      <c r="A48" s="580"/>
      <c r="B48" s="775">
        <v>12035</v>
      </c>
      <c r="C48" s="775">
        <v>2861</v>
      </c>
      <c r="D48" s="628"/>
      <c r="E48" s="627"/>
      <c r="F48" s="627"/>
      <c r="G48" s="627" t="s">
        <v>977</v>
      </c>
      <c r="H48" s="627" t="s">
        <v>978</v>
      </c>
      <c r="I48" s="627"/>
      <c r="J48" s="774"/>
      <c r="K48" s="774"/>
      <c r="L48" s="627" t="s">
        <v>979</v>
      </c>
      <c r="M48" s="627">
        <v>2014</v>
      </c>
      <c r="N48" s="627">
        <v>9062.9999999999982</v>
      </c>
      <c r="O48" s="627">
        <v>12947.142857142855</v>
      </c>
      <c r="P48" s="627">
        <v>25894.28571428571</v>
      </c>
      <c r="Q48" s="627">
        <v>0</v>
      </c>
      <c r="R48" s="627">
        <v>0</v>
      </c>
      <c r="S48" s="627">
        <v>0</v>
      </c>
      <c r="T48" s="627">
        <v>0</v>
      </c>
      <c r="U48" s="627">
        <v>0</v>
      </c>
      <c r="V48" s="627">
        <v>0</v>
      </c>
      <c r="W48" s="627">
        <v>0</v>
      </c>
      <c r="X48" s="627">
        <v>10</v>
      </c>
      <c r="Y48" s="627" t="s">
        <v>105</v>
      </c>
      <c r="Z48" s="629" t="s">
        <v>105</v>
      </c>
    </row>
    <row r="49" spans="1:26" s="581" customFormat="1" ht="25.5" hidden="1">
      <c r="A49" s="580"/>
      <c r="B49" s="775">
        <v>12035</v>
      </c>
      <c r="C49" s="775">
        <v>2861</v>
      </c>
      <c r="D49" s="628"/>
      <c r="E49" s="627"/>
      <c r="F49" s="627"/>
      <c r="G49" s="627" t="s">
        <v>977</v>
      </c>
      <c r="H49" s="627" t="s">
        <v>978</v>
      </c>
      <c r="I49" s="627"/>
      <c r="J49" s="774"/>
      <c r="K49" s="774"/>
      <c r="L49" s="627" t="s">
        <v>979</v>
      </c>
      <c r="M49" s="627">
        <v>2014</v>
      </c>
      <c r="N49" s="627">
        <v>9062.9999999999982</v>
      </c>
      <c r="O49" s="627">
        <v>12947.142857142855</v>
      </c>
      <c r="P49" s="627">
        <v>25894.28571428571</v>
      </c>
      <c r="Q49" s="627">
        <v>0</v>
      </c>
      <c r="R49" s="627">
        <v>0</v>
      </c>
      <c r="S49" s="627">
        <v>0</v>
      </c>
      <c r="T49" s="627">
        <v>0</v>
      </c>
      <c r="U49" s="627">
        <v>0</v>
      </c>
      <c r="V49" s="627">
        <v>0</v>
      </c>
      <c r="W49" s="627">
        <v>0</v>
      </c>
      <c r="X49" s="627">
        <v>10</v>
      </c>
      <c r="Y49" s="627" t="s">
        <v>105</v>
      </c>
      <c r="Z49" s="629" t="s">
        <v>105</v>
      </c>
    </row>
    <row r="50" spans="1:26" s="581" customFormat="1" ht="25.5" hidden="1">
      <c r="A50" s="580"/>
      <c r="B50" s="775">
        <v>12035</v>
      </c>
      <c r="C50" s="775">
        <v>8260</v>
      </c>
      <c r="D50" s="628"/>
      <c r="E50" s="627"/>
      <c r="F50" s="627"/>
      <c r="G50" s="627" t="s">
        <v>977</v>
      </c>
      <c r="H50" s="627" t="s">
        <v>978</v>
      </c>
      <c r="I50" s="627"/>
      <c r="J50" s="774"/>
      <c r="K50" s="774"/>
      <c r="L50" s="627" t="s">
        <v>979</v>
      </c>
      <c r="M50" s="627">
        <v>2014</v>
      </c>
      <c r="N50" s="627">
        <v>9062.9999999999982</v>
      </c>
      <c r="O50" s="627">
        <v>12947.142857142855</v>
      </c>
      <c r="P50" s="627">
        <v>25894.28571428571</v>
      </c>
      <c r="Q50" s="627">
        <v>0</v>
      </c>
      <c r="R50" s="627">
        <v>0</v>
      </c>
      <c r="S50" s="627">
        <v>0</v>
      </c>
      <c r="T50" s="627">
        <v>0</v>
      </c>
      <c r="U50" s="627">
        <v>0</v>
      </c>
      <c r="V50" s="627">
        <v>0</v>
      </c>
      <c r="W50" s="627">
        <v>0</v>
      </c>
      <c r="X50" s="627">
        <v>10</v>
      </c>
      <c r="Y50" s="627" t="s">
        <v>105</v>
      </c>
      <c r="Z50" s="629" t="s">
        <v>105</v>
      </c>
    </row>
    <row r="51" spans="1:26" s="581" customFormat="1" ht="25.5" hidden="1">
      <c r="A51" s="580"/>
      <c r="B51" s="775">
        <v>12035</v>
      </c>
      <c r="C51" s="775">
        <v>2861</v>
      </c>
      <c r="D51" s="628"/>
      <c r="E51" s="627"/>
      <c r="F51" s="627"/>
      <c r="G51" s="627" t="s">
        <v>977</v>
      </c>
      <c r="H51" s="627" t="s">
        <v>978</v>
      </c>
      <c r="I51" s="627"/>
      <c r="J51" s="774"/>
      <c r="K51" s="774"/>
      <c r="L51" s="627" t="s">
        <v>979</v>
      </c>
      <c r="M51" s="627">
        <v>2040</v>
      </c>
      <c r="N51" s="627">
        <v>9180</v>
      </c>
      <c r="O51" s="627">
        <v>13114.285714285714</v>
      </c>
      <c r="P51" s="627">
        <v>26228.571428571431</v>
      </c>
      <c r="Q51" s="627">
        <v>0</v>
      </c>
      <c r="R51" s="627">
        <v>0</v>
      </c>
      <c r="S51" s="627">
        <v>0</v>
      </c>
      <c r="T51" s="627">
        <v>0</v>
      </c>
      <c r="U51" s="627">
        <v>0</v>
      </c>
      <c r="V51" s="627">
        <v>0</v>
      </c>
      <c r="W51" s="627">
        <v>0</v>
      </c>
      <c r="X51" s="627">
        <v>10</v>
      </c>
      <c r="Y51" s="627" t="s">
        <v>105</v>
      </c>
      <c r="Z51" s="629" t="s">
        <v>105</v>
      </c>
    </row>
    <row r="52" spans="1:26" s="581" customFormat="1" ht="25.5" hidden="1">
      <c r="A52" s="580"/>
      <c r="B52" s="775">
        <v>12035</v>
      </c>
      <c r="C52" s="775">
        <v>2861</v>
      </c>
      <c r="D52" s="628"/>
      <c r="E52" s="627"/>
      <c r="F52" s="627"/>
      <c r="G52" s="627" t="s">
        <v>977</v>
      </c>
      <c r="H52" s="627" t="s">
        <v>978</v>
      </c>
      <c r="I52" s="627"/>
      <c r="J52" s="774"/>
      <c r="K52" s="774"/>
      <c r="L52" s="627" t="s">
        <v>979</v>
      </c>
      <c r="M52" s="627">
        <v>2566</v>
      </c>
      <c r="N52" s="627">
        <v>11547</v>
      </c>
      <c r="O52" s="627">
        <v>16495.714285714286</v>
      </c>
      <c r="P52" s="627">
        <v>32991.428571428572</v>
      </c>
      <c r="Q52" s="627">
        <v>0</v>
      </c>
      <c r="R52" s="627">
        <v>0</v>
      </c>
      <c r="S52" s="627">
        <v>0</v>
      </c>
      <c r="T52" s="627">
        <v>0</v>
      </c>
      <c r="U52" s="627">
        <v>0</v>
      </c>
      <c r="V52" s="627">
        <v>0</v>
      </c>
      <c r="W52" s="627">
        <v>0</v>
      </c>
      <c r="X52" s="627">
        <v>10</v>
      </c>
      <c r="Y52" s="627" t="s">
        <v>105</v>
      </c>
      <c r="Z52" s="629" t="s">
        <v>105</v>
      </c>
    </row>
    <row r="53" spans="1:26" s="563" customFormat="1" hidden="1">
      <c r="A53" s="583" t="s">
        <v>269</v>
      </c>
      <c r="B53" s="584"/>
      <c r="C53" s="584"/>
      <c r="D53" s="584"/>
      <c r="E53" s="584"/>
      <c r="F53" s="584"/>
      <c r="G53" s="584"/>
      <c r="H53" s="584"/>
      <c r="I53" s="584"/>
      <c r="J53" s="584"/>
      <c r="K53" s="584"/>
      <c r="L53" s="585"/>
      <c r="M53" s="585">
        <f>SUM(M28:M52)</f>
        <v>35463</v>
      </c>
      <c r="N53" s="585">
        <f>SUM(N28:N52)</f>
        <v>155606.625</v>
      </c>
      <c r="O53" s="585">
        <f>SUM(O28:O52)</f>
        <v>215289.9642857142</v>
      </c>
      <c r="P53" s="585">
        <f>SUM(P28:P52)</f>
        <v>378658.92857142852</v>
      </c>
      <c r="Q53" s="585">
        <f>SUM(Q28:Q52)</f>
        <v>0</v>
      </c>
      <c r="R53" s="585">
        <f>SUM(R28:R52)</f>
        <v>0</v>
      </c>
      <c r="S53" s="585">
        <f>SUM(S28:S52)</f>
        <v>11610</v>
      </c>
      <c r="T53" s="585">
        <f>SUM(T28:T52)</f>
        <v>46080</v>
      </c>
      <c r="U53" s="585">
        <f>SUM(U28:U52)</f>
        <v>0</v>
      </c>
      <c r="V53" s="585">
        <f>SUM(V28:V52)</f>
        <v>0</v>
      </c>
      <c r="W53" s="585">
        <f>SUM(W28:W52)</f>
        <v>0</v>
      </c>
      <c r="X53" s="586"/>
      <c r="Y53" s="586"/>
      <c r="Z53" s="587"/>
    </row>
    <row r="54" spans="1:26" s="563" customFormat="1">
      <c r="A54" s="583" t="s">
        <v>276</v>
      </c>
      <c r="B54" s="584"/>
      <c r="C54" s="584"/>
      <c r="D54" s="584"/>
      <c r="E54" s="584"/>
      <c r="F54" s="584"/>
      <c r="G54" s="584"/>
      <c r="H54" s="584"/>
      <c r="I54" s="584"/>
      <c r="J54" s="584"/>
      <c r="K54" s="584"/>
      <c r="L54" s="585"/>
      <c r="M54" s="585">
        <f>SUMIF($Z$28:$Z$52,"industrie",M28:M52)</f>
        <v>0</v>
      </c>
      <c r="N54" s="585">
        <f>SUMIF($Z$28:$Z$52,"industrie",N28:N52)</f>
        <v>0</v>
      </c>
      <c r="O54" s="585">
        <f>SUMIF($Z$28:$Z$52,"industrie",O28:O52)</f>
        <v>0</v>
      </c>
      <c r="P54" s="585">
        <f>SUMIF($Z$28:$Z$52,"industrie",P28:P52)</f>
        <v>0</v>
      </c>
      <c r="Q54" s="585">
        <f>SUMIF($Z$28:$Z$52,"industrie",Q28:Q52)</f>
        <v>0</v>
      </c>
      <c r="R54" s="585">
        <f>SUMIF($Z$28:$Z$52,"industrie",R28:R52)</f>
        <v>0</v>
      </c>
      <c r="S54" s="585">
        <f>SUMIF($Z$28:$Z$52,"industrie",S28:S52)</f>
        <v>0</v>
      </c>
      <c r="T54" s="585">
        <f>SUMIF($Z$28:$Z$52,"industrie",T28:T52)</f>
        <v>0</v>
      </c>
      <c r="U54" s="585">
        <f>SUMIF($Z$28:$Z$52,"industrie",U28:U52)</f>
        <v>0</v>
      </c>
      <c r="V54" s="585">
        <f>SUMIF($Z$28:$Z$52,"industrie",V28:V52)</f>
        <v>0</v>
      </c>
      <c r="W54" s="585">
        <f>SUMIF($Z$28:$Z$52,"industrie",W28:W52)</f>
        <v>0</v>
      </c>
      <c r="X54" s="586"/>
      <c r="Y54" s="586"/>
      <c r="Z54" s="587"/>
    </row>
    <row r="55" spans="1:26" s="563" customFormat="1">
      <c r="A55" s="583" t="s">
        <v>277</v>
      </c>
      <c r="B55" s="584"/>
      <c r="C55" s="584"/>
      <c r="D55" s="584"/>
      <c r="E55" s="584"/>
      <c r="F55" s="584"/>
      <c r="G55" s="584"/>
      <c r="H55" s="584"/>
      <c r="I55" s="584"/>
      <c r="J55" s="584"/>
      <c r="K55" s="584"/>
      <c r="L55" s="585"/>
      <c r="M55" s="585">
        <f ca="1">SUMIF($Z$28:AC52,"tertiair",M28:M52)</f>
        <v>0</v>
      </c>
      <c r="N55" s="585">
        <f ca="1">SUMIF($Z$28:AD52,"tertiair",N28:N52)</f>
        <v>0</v>
      </c>
      <c r="O55" s="585">
        <f ca="1">SUMIF($Z$28:AE52,"tertiair",O28:O52)</f>
        <v>0</v>
      </c>
      <c r="P55" s="585">
        <f ca="1">SUMIF($Z$28:AF52,"tertiair",P28:P52)</f>
        <v>0</v>
      </c>
      <c r="Q55" s="585">
        <f ca="1">SUMIF($Z$28:AG52,"tertiair",Q28:Q52)</f>
        <v>0</v>
      </c>
      <c r="R55" s="585">
        <f ca="1">SUMIF($Z$28:AH52,"tertiair",R28:R52)</f>
        <v>0</v>
      </c>
      <c r="S55" s="585">
        <f ca="1">SUMIF($Z$28:AI52,"tertiair",S28:S52)</f>
        <v>0</v>
      </c>
      <c r="T55" s="585">
        <f ca="1">SUMIF($Z$28:AJ52,"tertiair",T28:T52)</f>
        <v>0</v>
      </c>
      <c r="U55" s="585">
        <f ca="1">SUMIF($Z$28:AK52,"tertiair",U28:U52)</f>
        <v>0</v>
      </c>
      <c r="V55" s="585">
        <f ca="1">SUMIF($Z$28:AL52,"tertiair",V28:V52)</f>
        <v>0</v>
      </c>
      <c r="W55" s="585">
        <f ca="1">SUMIF($Z$28:AM52,"tertiair",W28:W52)</f>
        <v>0</v>
      </c>
      <c r="X55" s="586"/>
      <c r="Y55" s="586"/>
      <c r="Z55" s="587"/>
    </row>
    <row r="56" spans="1:26" s="563" customFormat="1" ht="15.75" thickBot="1">
      <c r="A56" s="588" t="s">
        <v>278</v>
      </c>
      <c r="B56" s="589"/>
      <c r="C56" s="589"/>
      <c r="D56" s="589"/>
      <c r="E56" s="589"/>
      <c r="F56" s="589"/>
      <c r="G56" s="589"/>
      <c r="H56" s="589"/>
      <c r="I56" s="589"/>
      <c r="J56" s="589"/>
      <c r="K56" s="589"/>
      <c r="L56" s="590"/>
      <c r="M56" s="590">
        <f>SUMIF($Z$28:$Z$52,"landbouw",M28:M52)</f>
        <v>35463</v>
      </c>
      <c r="N56" s="590">
        <f>SUMIF($Z$28:$Z$52,"landbouw",N28:N52)</f>
        <v>155606.625</v>
      </c>
      <c r="O56" s="590">
        <f>SUMIF($Z$28:$Z$52,"landbouw",O28:O52)</f>
        <v>215289.9642857142</v>
      </c>
      <c r="P56" s="590">
        <f>SUMIF($Z$28:$Z$52,"landbouw",P28:P52)</f>
        <v>378658.92857142852</v>
      </c>
      <c r="Q56" s="590">
        <f>SUMIF($Z$28:$Z$52,"landbouw",Q28:Q52)</f>
        <v>0</v>
      </c>
      <c r="R56" s="590">
        <f>SUMIF($Z$28:$Z$52,"landbouw",R28:R52)</f>
        <v>0</v>
      </c>
      <c r="S56" s="590">
        <f>SUMIF($Z$28:$Z$52,"landbouw",S28:S52)</f>
        <v>11610</v>
      </c>
      <c r="T56" s="590">
        <f>SUMIF($Z$28:$Z$52,"landbouw",T28:T52)</f>
        <v>46080</v>
      </c>
      <c r="U56" s="590">
        <f>SUMIF($Z$28:$Z$52,"landbouw",U28:U52)</f>
        <v>0</v>
      </c>
      <c r="V56" s="590">
        <f>SUMIF($Z$28:$Z$52,"landbouw",V28:V52)</f>
        <v>0</v>
      </c>
      <c r="W56" s="590">
        <f>SUMIF($Z$28:$Z$52,"landbouw",W28:W52)</f>
        <v>0</v>
      </c>
      <c r="X56" s="591"/>
      <c r="Y56" s="591"/>
      <c r="Z56" s="592"/>
    </row>
    <row r="57" spans="1:26" s="532" customFormat="1" ht="15.75" thickBot="1">
      <c r="A57" s="593"/>
      <c r="B57" s="594"/>
      <c r="C57" s="594"/>
      <c r="D57" s="594"/>
      <c r="E57" s="594"/>
      <c r="F57" s="594"/>
      <c r="G57" s="594"/>
      <c r="H57" s="594"/>
      <c r="I57" s="594"/>
      <c r="J57" s="594"/>
      <c r="K57" s="594"/>
      <c r="L57" s="577"/>
      <c r="M57" s="577"/>
      <c r="N57" s="577"/>
      <c r="O57" s="578"/>
      <c r="P57" s="578"/>
    </row>
    <row r="58" spans="1:26" s="532" customFormat="1" ht="45">
      <c r="A58" s="595" t="s">
        <v>270</v>
      </c>
      <c r="B58" s="624" t="s">
        <v>89</v>
      </c>
      <c r="C58" s="624" t="s">
        <v>90</v>
      </c>
      <c r="D58" s="624"/>
      <c r="E58" s="624"/>
      <c r="F58" s="624"/>
      <c r="G58" s="624" t="s">
        <v>91</v>
      </c>
      <c r="H58" s="624" t="s">
        <v>92</v>
      </c>
      <c r="I58" s="624"/>
      <c r="J58" s="624"/>
      <c r="K58" s="624"/>
      <c r="L58" s="624" t="s">
        <v>93</v>
      </c>
      <c r="M58" s="625" t="s">
        <v>287</v>
      </c>
      <c r="N58" s="625" t="s">
        <v>94</v>
      </c>
      <c r="O58" s="625" t="s">
        <v>95</v>
      </c>
      <c r="P58" s="625" t="s">
        <v>529</v>
      </c>
      <c r="Q58" s="625" t="s">
        <v>96</v>
      </c>
      <c r="R58" s="625" t="s">
        <v>97</v>
      </c>
      <c r="S58" s="625" t="s">
        <v>98</v>
      </c>
      <c r="T58" s="625" t="s">
        <v>99</v>
      </c>
      <c r="U58" s="625" t="s">
        <v>100</v>
      </c>
      <c r="V58" s="625" t="s">
        <v>101</v>
      </c>
      <c r="W58" s="624" t="s">
        <v>102</v>
      </c>
      <c r="X58" s="624" t="s">
        <v>288</v>
      </c>
      <c r="Y58" s="624" t="s">
        <v>103</v>
      </c>
      <c r="Z58" s="626" t="s">
        <v>289</v>
      </c>
    </row>
    <row r="59" spans="1:26" s="596" customFormat="1" ht="63.75" hidden="1">
      <c r="A59" s="582"/>
      <c r="B59" s="775">
        <v>12035</v>
      </c>
      <c r="C59" s="775">
        <v>2861</v>
      </c>
      <c r="D59" s="630"/>
      <c r="E59" s="630"/>
      <c r="F59" s="630"/>
      <c r="G59" s="630" t="s">
        <v>982</v>
      </c>
      <c r="H59" s="630" t="s">
        <v>983</v>
      </c>
      <c r="I59" s="630"/>
      <c r="J59" s="774"/>
      <c r="K59" s="774"/>
      <c r="L59" s="630" t="s">
        <v>984</v>
      </c>
      <c r="M59" s="630">
        <v>9</v>
      </c>
      <c r="N59" s="630">
        <v>16.875</v>
      </c>
      <c r="O59" s="630">
        <v>0</v>
      </c>
      <c r="P59" s="630">
        <v>0</v>
      </c>
      <c r="Q59" s="630">
        <v>0</v>
      </c>
      <c r="R59" s="630">
        <v>0</v>
      </c>
      <c r="S59" s="630">
        <v>0</v>
      </c>
      <c r="T59" s="630">
        <v>0</v>
      </c>
      <c r="U59" s="630">
        <v>0</v>
      </c>
      <c r="V59" s="630">
        <v>42.1875</v>
      </c>
      <c r="W59" s="630">
        <v>0</v>
      </c>
      <c r="X59" s="630">
        <v>1600</v>
      </c>
      <c r="Y59" s="630" t="s">
        <v>49</v>
      </c>
      <c r="Z59" s="631" t="s">
        <v>149</v>
      </c>
    </row>
    <row r="60" spans="1:26" s="563" customFormat="1" hidden="1">
      <c r="A60" s="583" t="s">
        <v>269</v>
      </c>
      <c r="B60" s="584"/>
      <c r="C60" s="584"/>
      <c r="D60" s="584"/>
      <c r="E60" s="584"/>
      <c r="F60" s="584"/>
      <c r="G60" s="584"/>
      <c r="H60" s="584"/>
      <c r="I60" s="584"/>
      <c r="J60" s="584"/>
      <c r="K60" s="584"/>
      <c r="L60" s="585"/>
      <c r="M60" s="585">
        <f>SUM(M59:M59)</f>
        <v>9</v>
      </c>
      <c r="N60" s="585">
        <f>SUM(N59:N59)</f>
        <v>16.875</v>
      </c>
      <c r="O60" s="585">
        <f>SUM(O59:O59)</f>
        <v>0</v>
      </c>
      <c r="P60" s="585">
        <f>SUM(P59:P59)</f>
        <v>0</v>
      </c>
      <c r="Q60" s="585">
        <f>SUM(Q59:Q59)</f>
        <v>0</v>
      </c>
      <c r="R60" s="585">
        <f>SUM(R59:R59)</f>
        <v>0</v>
      </c>
      <c r="S60" s="585">
        <f>SUM(S59:S59)</f>
        <v>0</v>
      </c>
      <c r="T60" s="585">
        <f>SUM(T59:T59)</f>
        <v>0</v>
      </c>
      <c r="U60" s="585">
        <f>SUM(U59:U59)</f>
        <v>0</v>
      </c>
      <c r="V60" s="585">
        <f>SUM(V59:V59)</f>
        <v>42.1875</v>
      </c>
      <c r="W60" s="585">
        <f>SUM(W59:W59)</f>
        <v>0</v>
      </c>
      <c r="X60" s="586"/>
      <c r="Y60" s="586"/>
      <c r="Z60" s="587"/>
    </row>
    <row r="61" spans="1:26" s="563" customFormat="1">
      <c r="A61" s="583" t="s">
        <v>276</v>
      </c>
      <c r="B61" s="584"/>
      <c r="C61" s="584"/>
      <c r="D61" s="584"/>
      <c r="E61" s="584"/>
      <c r="F61" s="584"/>
      <c r="G61" s="584"/>
      <c r="H61" s="584"/>
      <c r="I61" s="584"/>
      <c r="J61" s="584"/>
      <c r="K61" s="584"/>
      <c r="L61" s="585"/>
      <c r="M61" s="585">
        <f>SUMIF($Z$59:$Z$59,"industrie",M59:M59)</f>
        <v>0</v>
      </c>
      <c r="N61" s="585">
        <f>SUMIF($Z$59:$Z$59,"industrie",N59:N59)</f>
        <v>0</v>
      </c>
      <c r="O61" s="585">
        <f>SUMIF($Z$59:$Z$59,"industrie",O59:O59)</f>
        <v>0</v>
      </c>
      <c r="P61" s="585">
        <f>SUMIF($Z$59:$Z$59,"industrie",P59:P59)</f>
        <v>0</v>
      </c>
      <c r="Q61" s="585">
        <f>SUMIF($Z$59:$Z$59,"industrie",Q59:Q59)</f>
        <v>0</v>
      </c>
      <c r="R61" s="585">
        <f>SUMIF($Z$59:$Z$59,"industrie",R59:R59)</f>
        <v>0</v>
      </c>
      <c r="S61" s="585">
        <f>SUMIF($Z$59:$Z$59,"industrie",S59:S59)</f>
        <v>0</v>
      </c>
      <c r="T61" s="585">
        <f>SUMIF($Z$59:$Z$59,"industrie",T59:T59)</f>
        <v>0</v>
      </c>
      <c r="U61" s="585">
        <f>SUMIF($Z$59:$Z$59,"industrie",U59:U59)</f>
        <v>0</v>
      </c>
      <c r="V61" s="585">
        <f>SUMIF($Z$59:$Z$59,"industrie",V59:V59)</f>
        <v>0</v>
      </c>
      <c r="W61" s="585">
        <f>SUMIF($Z$59:$Z$59,"industrie",W59:W59)</f>
        <v>0</v>
      </c>
      <c r="X61" s="586"/>
      <c r="Y61" s="586"/>
      <c r="Z61" s="587"/>
    </row>
    <row r="62" spans="1:26" s="563" customFormat="1">
      <c r="A62" s="583" t="s">
        <v>277</v>
      </c>
      <c r="B62" s="584"/>
      <c r="C62" s="584"/>
      <c r="D62" s="584"/>
      <c r="E62" s="584"/>
      <c r="F62" s="584"/>
      <c r="G62" s="584"/>
      <c r="H62" s="584"/>
      <c r="I62" s="584"/>
      <c r="J62" s="584"/>
      <c r="K62" s="584"/>
      <c r="L62" s="585"/>
      <c r="M62" s="585">
        <f>SUMIF($Z$59:$Z$60,"tertiair",M59:M60)</f>
        <v>9</v>
      </c>
      <c r="N62" s="585">
        <f>SUMIF($Z$59:$Z$60,"tertiair",N59:N60)</f>
        <v>16.875</v>
      </c>
      <c r="O62" s="585">
        <f>SUMIF($Z$59:$Z$60,"tertiair",O59:O60)</f>
        <v>0</v>
      </c>
      <c r="P62" s="585">
        <f>SUMIF($Z$59:$Z$60,"tertiair",P59:P60)</f>
        <v>0</v>
      </c>
      <c r="Q62" s="585">
        <f>SUMIF($Z$59:$Z$60,"tertiair",Q59:Q60)</f>
        <v>0</v>
      </c>
      <c r="R62" s="585">
        <f>SUMIF($Z$59:$Z$60,"tertiair",R59:R60)</f>
        <v>0</v>
      </c>
      <c r="S62" s="585">
        <f>SUMIF($Z$59:$Z$60,"tertiair",S59:S60)</f>
        <v>0</v>
      </c>
      <c r="T62" s="585">
        <f>SUMIF($Z$59:$Z$60,"tertiair",T59:T60)</f>
        <v>0</v>
      </c>
      <c r="U62" s="585">
        <f>SUMIF($Z$59:$Z$60,"tertiair",U59:U60)</f>
        <v>0</v>
      </c>
      <c r="V62" s="585">
        <f>SUMIF($Z$59:$Z$60,"tertiair",V59:V60)</f>
        <v>42.1875</v>
      </c>
      <c r="W62" s="585">
        <f>SUMIF($Z$59:$Z$60,"tertiair",W59:W60)</f>
        <v>0</v>
      </c>
      <c r="X62" s="586"/>
      <c r="Y62" s="586"/>
      <c r="Z62" s="587"/>
    </row>
    <row r="63" spans="1:26" s="563" customFormat="1" ht="15.75" thickBot="1">
      <c r="A63" s="588" t="s">
        <v>278</v>
      </c>
      <c r="B63" s="589"/>
      <c r="C63" s="589"/>
      <c r="D63" s="589"/>
      <c r="E63" s="589"/>
      <c r="F63" s="589"/>
      <c r="G63" s="589"/>
      <c r="H63" s="589"/>
      <c r="I63" s="589"/>
      <c r="J63" s="589"/>
      <c r="K63" s="589"/>
      <c r="L63" s="590"/>
      <c r="M63" s="590">
        <f>SUMIF($Z$59:$Z$61,"landbouw",M59:M61)</f>
        <v>0</v>
      </c>
      <c r="N63" s="590">
        <f>SUMIF($Z$59:$Z$61,"landbouw",N59:N61)</f>
        <v>0</v>
      </c>
      <c r="O63" s="590">
        <f>SUMIF($Z$59:$Z$61,"landbouw",O59:O61)</f>
        <v>0</v>
      </c>
      <c r="P63" s="590">
        <f>SUMIF($Z$59:$Z$61,"landbouw",P59:P61)</f>
        <v>0</v>
      </c>
      <c r="Q63" s="590">
        <f>SUMIF($Z$59:$Z$61,"landbouw",Q59:Q61)</f>
        <v>0</v>
      </c>
      <c r="R63" s="590">
        <f>SUMIF($Z$59:$Z$61,"landbouw",R59:R61)</f>
        <v>0</v>
      </c>
      <c r="S63" s="590">
        <f>SUMIF($Z$59:$Z$61,"landbouw",S59:S61)</f>
        <v>0</v>
      </c>
      <c r="T63" s="590">
        <f>SUMIF($Z$59:$Z$61,"landbouw",T59:T61)</f>
        <v>0</v>
      </c>
      <c r="U63" s="590">
        <f>SUMIF($Z$59:$Z$61,"landbouw",U59:U61)</f>
        <v>0</v>
      </c>
      <c r="V63" s="590">
        <f>SUMIF($Z$59:$Z$61,"landbouw",V59:V61)</f>
        <v>0</v>
      </c>
      <c r="W63" s="590">
        <f>SUMIF($Z$59:$Z$61,"landbouw",W59:W61)</f>
        <v>0</v>
      </c>
      <c r="X63" s="591"/>
      <c r="Y63" s="591"/>
      <c r="Z63" s="592"/>
    </row>
    <row r="64" spans="1:26" s="597" customFormat="1">
      <c r="A64" s="593"/>
      <c r="B64" s="577"/>
      <c r="C64" s="577"/>
      <c r="D64" s="577"/>
      <c r="E64" s="577"/>
      <c r="F64" s="577"/>
      <c r="G64" s="577"/>
      <c r="H64" s="577"/>
      <c r="I64" s="577"/>
      <c r="J64" s="577"/>
      <c r="K64" s="577"/>
      <c r="L64" s="577"/>
      <c r="M64" s="577"/>
      <c r="N64" s="577"/>
      <c r="O64" s="577"/>
      <c r="P64" s="577"/>
      <c r="Q64" s="577"/>
      <c r="R64" s="577"/>
      <c r="S64" s="577"/>
      <c r="T64" s="577"/>
      <c r="U64" s="577"/>
      <c r="V64" s="577"/>
      <c r="W64" s="577"/>
      <c r="X64" s="577"/>
      <c r="Y64" s="577"/>
    </row>
    <row r="65" spans="1:27" s="597" customFormat="1" ht="15.75" thickBot="1">
      <c r="A65" s="593"/>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row>
    <row r="66" spans="1:27">
      <c r="A66" s="598" t="s">
        <v>271</v>
      </c>
      <c r="B66" s="599"/>
      <c r="C66" s="599"/>
      <c r="D66" s="599"/>
      <c r="E66" s="599"/>
      <c r="F66" s="599"/>
      <c r="G66" s="599"/>
      <c r="H66" s="599"/>
      <c r="I66" s="600"/>
      <c r="J66" s="601"/>
      <c r="K66" s="601"/>
      <c r="L66" s="602"/>
      <c r="M66" s="602"/>
      <c r="N66" s="602"/>
      <c r="O66" s="602"/>
      <c r="P66" s="602"/>
    </row>
    <row r="67" spans="1:27">
      <c r="A67" s="604"/>
      <c r="B67" s="594"/>
      <c r="C67" s="594"/>
      <c r="D67" s="594"/>
      <c r="E67" s="594"/>
      <c r="F67" s="594"/>
      <c r="G67" s="594"/>
      <c r="H67" s="594"/>
      <c r="I67" s="605"/>
      <c r="J67" s="594"/>
      <c r="K67" s="594"/>
      <c r="L67" s="602"/>
      <c r="M67" s="602"/>
      <c r="N67" s="602"/>
      <c r="O67" s="602"/>
      <c r="P67" s="602"/>
    </row>
    <row r="68" spans="1:27">
      <c r="A68" s="606"/>
      <c r="B68" s="607" t="s">
        <v>272</v>
      </c>
      <c r="C68" s="607" t="s">
        <v>273</v>
      </c>
      <c r="D68" s="607"/>
      <c r="E68" s="607"/>
      <c r="F68" s="607"/>
      <c r="G68" s="607"/>
      <c r="H68" s="607"/>
      <c r="I68" s="608"/>
      <c r="J68" s="607"/>
      <c r="K68" s="607"/>
      <c r="L68" s="607"/>
      <c r="M68" s="607"/>
      <c r="N68" s="607"/>
      <c r="O68" s="607"/>
      <c r="P68" s="602"/>
    </row>
    <row r="69" spans="1:27">
      <c r="A69" s="604" t="s">
        <v>269</v>
      </c>
      <c r="B69" s="609">
        <f>IF(ISERROR(O53/(O53+N53)),0,O53/(O53+N53))</f>
        <v>0.58045819375240748</v>
      </c>
      <c r="C69" s="610">
        <f>IF(ISERROR(N53/(O53+N53)),0,N53/(N53+O53))</f>
        <v>0.41954180624759252</v>
      </c>
      <c r="D69" s="577"/>
      <c r="E69" s="577"/>
      <c r="F69" s="577"/>
      <c r="G69" s="577"/>
      <c r="H69" s="577"/>
      <c r="I69" s="611"/>
      <c r="J69" s="577"/>
      <c r="K69" s="577"/>
      <c r="L69" s="612"/>
      <c r="M69" s="612"/>
      <c r="N69" s="612"/>
      <c r="O69" s="612"/>
      <c r="P69" s="602"/>
    </row>
    <row r="70" spans="1:27">
      <c r="A70" s="604"/>
      <c r="B70" s="613"/>
      <c r="C70" s="613"/>
      <c r="D70" s="613"/>
      <c r="E70" s="613"/>
      <c r="F70" s="613"/>
      <c r="G70" s="613"/>
      <c r="H70" s="613"/>
      <c r="I70" s="614"/>
      <c r="J70" s="613"/>
      <c r="K70" s="613"/>
      <c r="L70" s="615"/>
      <c r="M70" s="615"/>
      <c r="N70" s="615"/>
      <c r="O70" s="615"/>
      <c r="P70" s="602"/>
    </row>
    <row r="71" spans="1:27" ht="30">
      <c r="A71" s="616"/>
      <c r="B71" s="617" t="s">
        <v>529</v>
      </c>
      <c r="C71" s="617" t="s">
        <v>96</v>
      </c>
      <c r="D71" s="617" t="s">
        <v>97</v>
      </c>
      <c r="E71" s="617" t="s">
        <v>98</v>
      </c>
      <c r="F71" s="617" t="s">
        <v>99</v>
      </c>
      <c r="G71" s="617" t="s">
        <v>100</v>
      </c>
      <c r="H71" s="617" t="s">
        <v>101</v>
      </c>
      <c r="I71" s="618" t="s">
        <v>102</v>
      </c>
      <c r="J71" s="607"/>
      <c r="K71" s="607"/>
      <c r="L71" s="615"/>
      <c r="M71" s="615"/>
      <c r="N71" s="615"/>
      <c r="O71" s="602"/>
      <c r="P71" s="602"/>
    </row>
    <row r="72" spans="1:27">
      <c r="A72" s="606" t="s">
        <v>274</v>
      </c>
      <c r="B72" s="619">
        <f t="shared" ref="B72:I72" si="2">$C$69*P53</f>
        <v>158863.25084463524</v>
      </c>
      <c r="C72" s="619">
        <f t="shared" si="2"/>
        <v>0</v>
      </c>
      <c r="D72" s="619">
        <f t="shared" si="2"/>
        <v>0</v>
      </c>
      <c r="E72" s="619">
        <f t="shared" si="2"/>
        <v>4870.880370534549</v>
      </c>
      <c r="F72" s="619">
        <f t="shared" si="2"/>
        <v>19332.486431889065</v>
      </c>
      <c r="G72" s="619">
        <f t="shared" si="2"/>
        <v>0</v>
      </c>
      <c r="H72" s="619">
        <f t="shared" si="2"/>
        <v>0</v>
      </c>
      <c r="I72" s="620">
        <f t="shared" si="2"/>
        <v>0</v>
      </c>
      <c r="J72" s="577"/>
      <c r="K72" s="577"/>
      <c r="L72" s="615"/>
      <c r="M72" s="615"/>
      <c r="N72" s="615"/>
      <c r="O72" s="602"/>
      <c r="P72" s="602"/>
    </row>
    <row r="73" spans="1:27" ht="15.75" thickBot="1">
      <c r="A73" s="621" t="s">
        <v>275</v>
      </c>
      <c r="B73" s="622">
        <f t="shared" ref="B73:I73" si="3">$B$69*P53</f>
        <v>219795.67772679328</v>
      </c>
      <c r="C73" s="622">
        <f t="shared" si="3"/>
        <v>0</v>
      </c>
      <c r="D73" s="622">
        <f t="shared" si="3"/>
        <v>0</v>
      </c>
      <c r="E73" s="622">
        <f t="shared" si="3"/>
        <v>6739.119629465451</v>
      </c>
      <c r="F73" s="622">
        <f t="shared" si="3"/>
        <v>26747.513568110935</v>
      </c>
      <c r="G73" s="622">
        <f t="shared" si="3"/>
        <v>0</v>
      </c>
      <c r="H73" s="622">
        <f t="shared" si="3"/>
        <v>0</v>
      </c>
      <c r="I73" s="623">
        <f t="shared" si="3"/>
        <v>0</v>
      </c>
      <c r="J73" s="577"/>
      <c r="K73" s="577"/>
      <c r="L73" s="615"/>
      <c r="M73" s="615"/>
      <c r="N73" s="615"/>
      <c r="O73" s="602"/>
      <c r="P73" s="602"/>
    </row>
    <row r="74" spans="1:27">
      <c r="J74" s="561"/>
      <c r="K74" s="561"/>
      <c r="L74" s="561"/>
      <c r="M74" s="561"/>
      <c r="N74" s="561"/>
    </row>
    <row r="75" spans="1:27">
      <c r="J75" s="561"/>
      <c r="K75" s="561"/>
      <c r="L75" s="561"/>
      <c r="M75" s="561"/>
      <c r="N75"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2021-11-11T13:41:08Z</dcterms:modified>
</cp:coreProperties>
</file>