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03CBC1C-FD0E-41CE-AD06-C3E57044C6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2" i="13"/>
  <c r="B34" i="13"/>
  <c r="B33" i="13"/>
  <c r="B35" i="13"/>
  <c r="C35" i="13" s="1"/>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<sst xmlns="http://schemas.openxmlformats.org/spreadsheetml/2006/main" count="2569" uniqueCount="977">
  <si>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</si>
  <si>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</si>
  <si>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</si>
  <si>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</si>
  <si>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</si>
  <si>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</si>
  <si>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</si>
  <si>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</si>
  <si>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</si>
  <si>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</si>
  <si>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</si>
  <si>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</si>
  <si>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</si>
  <si>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</si>
  <si>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</si>
  <si>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</si>
  <si>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</si>
  <si>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</si>
  <si>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</si>
  <si>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</si>
  <si>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</si>
  <si>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</si>
  <si>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</si>
  <si>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</si>
  <si>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</si>
  <si>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</si>
  <si>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</si>
  <si>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</si>
  <si>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</si>
  <si>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</si>
  <si>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</si>
  <si>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</si>
  <si>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</si>
  <si>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</si>
  <si>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</si>
  <si>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</si>
  <si>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</si>
  <si>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</si>
  <si>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</si>
  <si>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</si>
  <si>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</si>
  <si>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</si>
  <si>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</si>
  <si>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</si>
  <si>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</si>
  <si>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</si>
  <si>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</si>
  <si>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</si>
  <si>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</si>
  <si>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</si>
  <si>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</si>
  <si>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</si>
  <si>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</si>
  <si>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</si>
  <si>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</si>
  <si>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</si>
  <si>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</si>
  <si>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</si>
  <si>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</si>
  <si>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</si>
  <si>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</si>
  <si>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</si>
  <si>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</si>
  <si>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</si>
  <si>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</si>
  <si>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</si>
  <si>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</si>
  <si>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</si>
  <si>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</si>
  <si>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</si>
  <si>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</si>
  <si>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</si>
  <si>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</si>
  <si>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</si>
  <si>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</si>
  <si>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</si>
  <si>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</si>
  <si>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</si>
  <si>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</si>
  <si>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</si>
  <si>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</si>
  <si>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</si>
  <si>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</si>
  <si>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</si>
  <si>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</si>
  <si>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</si>
  <si>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</si>
  <si>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</si>
  <si>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</si>
  <si>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</si>
  <si>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</si>
  <si>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</si>
  <si>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</si>
  <si>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</si>
  <si>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</si>
  <si>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</si>
  <si>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</si>
  <si>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</si>
  <si>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</si>
  <si>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</si>
  <si>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</si>
  <si>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</si>
  <si>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</si>
  <si>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</si>
  <si>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</si>
  <si>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</si>
  <si>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</si>
  <si>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</si>
  <si>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</si>
  <si>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</si>
  <si>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</si>
  <si>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</si>
  <si>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</si>
  <si>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</si>
  <si>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</si>
  <si>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</si>
  <si>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</si>
  <si>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</si>
  <si>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</si>
  <si>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</si>
  <si>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</si>
  <si>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</si>
  <si>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</si>
  <si>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</si>
  <si>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</si>
  <si>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</si>
  <si>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</si>
  <si>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</si>
  <si>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</si>
  <si>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</si>
  <si>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</si>
  <si>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</si>
  <si>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</si>
  <si>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</si>
  <si>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</si>
  <si>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</si>
  <si>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</si>
  <si>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</si>
  <si>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</si>
  <si>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</si>
  <si>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</si>
  <si>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</si>
  <si>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</si>
  <si>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</si>
  <si>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</si>
  <si>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</si>
  <si>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</si>
  <si>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</si>
  <si>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</si>
  <si>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</si>
  <si>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</si>
  <si>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</si>
  <si>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</si>
  <si>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</si>
  <si>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</si>
  <si>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</si>
  <si>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</si>
  <si>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</si>
  <si>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</si>
  <si>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</si>
  <si>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</si>
  <si>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</si>
  <si>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</si>
  <si>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</si>
  <si>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</si>
  <si>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</si>
  <si>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</si>
  <si>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</si>
  <si>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</si>
  <si>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</si>
  <si>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</si>
  <si>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</si>
  <si>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</si>
  <si>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</si>
  <si>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</si>
  <si>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</si>
  <si>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</si>
  <si>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</si>
  <si>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</si>
  <si>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</si>
  <si>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</si>
  <si>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</si>
  <si>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</si>
  <si>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</si>
  <si>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</si>
  <si>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</si>
  <si>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</si>
  <si>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</si>
  <si>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</si>
  <si>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</si>
  <si>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</si>
  <si>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</si>
  <si>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</si>
  <si>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</si>
  <si>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</si>
  <si>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</si>
  <si>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</si>
  <si>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</si>
  <si>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</si>
  <si>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</si>
  <si>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</si>
  <si>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</si>
  <si>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</si>
  <si>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</si>
  <si>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</si>
  <si>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</si>
  <si>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</si>
  <si>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</si>
  <si>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</si>
  <si>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</si>
  <si>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</si>
  <si>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</si>
  <si>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</si>
  <si>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</si>
  <si>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</si>
  <si>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</si>
  <si>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</si>
  <si>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</si>
  <si>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</si>
  <si>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</si>
  <si>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</si>
  <si>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</si>
  <si>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</si>
  <si>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</si>
  <si>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</si>
  <si>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</si>
  <si>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</si>
  <si>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</si>
  <si>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</si>
  <si>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</si>
  <si>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</si>
  <si>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</si>
  <si>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</si>
  <si>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</si>
  <si>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</si>
  <si>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</si>
  <si>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</si>
  <si>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</si>
  <si>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</si>
  <si>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</si>
  <si>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</si>
  <si>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</si>
  <si>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</si>
  <si>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</si>
  <si>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</si>
  <si>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</si>
  <si>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</si>
  <si>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</si>
  <si>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</si>
  <si>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</si>
  <si>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</si>
  <si>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</si>
  <si>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</si>
  <si>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</si>
  <si>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</si>
  <si>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</si>
  <si>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</si>
  <si>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</si>
  <si>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</si>
  <si>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</si>
  <si>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</si>
  <si>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</si>
  <si>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</si>
  <si>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</si>
  <si>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</si>
  <si>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</si>
  <si>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</si>
  <si>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</si>
  <si>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</si>
  <si>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</si>
  <si>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</si>
  <si>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</si>
  <si>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</si>
  <si>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</si>
  <si>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</si>
  <si>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</si>
  <si>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</si>
  <si>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</si>
  <si>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</si>
  <si>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</si>
  <si>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</si>
  <si>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</si>
  <si>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</si>
  <si>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</si>
  <si>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</si>
  <si>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</si>
  <si>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</si>
  <si>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</si>
  <si>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</si>
  <si>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</si>
  <si>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</si>
  <si>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</si>
  <si>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</si>
  <si>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</si>
  <si>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</si>
  <si>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</si>
  <si>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</si>
  <si>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</si>
  <si>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</si>
  <si>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</si>
  <si>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</si>
  <si>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</si>
  <si>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</si>
  <si>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</si>
  <si>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</si>
  <si>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</si>
  <si>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</si>
  <si>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</si>
  <si>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</si>
  <si>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</si>
  <si>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</si>
  <si>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</si>
  <si>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</si>
  <si>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</si>
  <si>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</si>
  <si>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</si>
  <si>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</si>
  <si>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</si>
  <si>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</si>
  <si>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</si>
  <si>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</si>
  <si>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</si>
  <si>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</si>
  <si>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</si>
  <si>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</si>
  <si>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</si>
  <si>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</si>
  <si>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</si>
  <si>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</si>
  <si>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</si>
  <si>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</si>
  <si>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</si>
  <si>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</si>
  <si>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</si>
  <si>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</si>
  <si>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</si>
  <si>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</si>
  <si>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</si>
  <si>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</si>
  <si>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</si>
  <si>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</si>
  <si>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</si>
  <si>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</si>
  <si>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</si>
  <si>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</si>
  <si>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</si>
  <si>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</si>
  <si>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</si>
  <si>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</si>
  <si>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</si>
  <si>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</si>
  <si>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</si>
  <si>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</si>
  <si>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</si>
  <si>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</si>
  <si>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</si>
  <si>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</si>
  <si>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</si>
  <si>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</si>
  <si>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</si>
  <si>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</si>
  <si>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</si>
  <si>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</si>
  <si>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</si>
  <si>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</si>
  <si>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</si>
  <si>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</si>
  <si>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</si>
  <si>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</si>
  <si>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</si>
  <si>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</si>
  <si>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</si>
  <si>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</si>
  <si>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</si>
  <si>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</si>
  <si>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</si>
  <si>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</si>
  <si>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</si>
  <si>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</si>
  <si>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</si>
  <si>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</si>
  <si>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</si>
  <si>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</si>
  <si>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</si>
  <si>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</si>
  <si>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</si>
  <si>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</si>
  <si>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</si>
  <si>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</si>
  <si>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</si>
  <si>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</si>
  <si>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</si>
  <si>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</si>
  <si>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</si>
  <si>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</si>
  <si>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</si>
  <si>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</si>
  <si>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</si>
  <si>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</si>
  <si>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</si>
  <si>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</si>
  <si>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</si>
  <si>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</si>
  <si>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</si>
  <si>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</si>
  <si>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</si>
  <si>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</si>
  <si>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</si>
  <si>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</si>
  <si>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</si>
  <si>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</si>
  <si>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</si>
  <si>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</si>
  <si>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</si>
  <si>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</si>
  <si>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</si>
  <si>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</si>
  <si>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</si>
  <si>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</si>
  <si>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</si>
  <si>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</si>
  <si>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</si>
  <si>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</si>
  <si>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</si>
  <si>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</si>
  <si>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</si>
  <si>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</si>
  <si>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</si>
  <si>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</si>
  <si>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</si>
  <si>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</si>
  <si>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</si>
  <si>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</si>
  <si>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</si>
  <si>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</si>
  <si>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</si>
  <si>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</si>
  <si>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</si>
  <si>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</si>
  <si>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</si>
  <si>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</si>
  <si>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</si>
  <si>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</si>
  <si>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</si>
  <si>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</si>
  <si>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</si>
  <si>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</si>
  <si>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</si>
  <si>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</si>
  <si>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</si>
  <si>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</si>
  <si>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</si>
  <si>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</si>
  <si>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</si>
  <si>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</si>
  <si>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</si>
  <si>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</si>
  <si>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</si>
  <si>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</si>
  <si>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</si>
  <si>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</si>
  <si>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</si>
  <si>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</si>
  <si>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</si>
  <si>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</si>
  <si>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</si>
  <si>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</si>
  <si>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</si>
  <si>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</si>
  <si>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</si>
  <si>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</si>
  <si>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</si>
  <si>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</si>
  <si>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</si>
  <si>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</si>
  <si>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</si>
  <si>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</si>
  <si>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</si>
  <si>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</si>
  <si>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</si>
  <si>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</si>
  <si>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</si>
  <si>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</si>
  <si>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</si>
  <si>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</si>
  <si>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</si>
  <si>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</si>
  <si>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</si>
  <si>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</si>
  <si>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</si>
  <si>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</si>
  <si>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</si>
  <si>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</si>
  <si>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</si>
  <si>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</si>
  <si>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</si>
  <si>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</si>
  <si>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</si>
  <si>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</si>
  <si>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</si>
  <si>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</si>
  <si>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</si>
  <si>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</si>
  <si>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</si>
  <si>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</si>
  <si>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</si>
  <si>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</si>
  <si>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</si>
  <si>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</si>
  <si>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</si>
  <si>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</si>
  <si>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</si>
  <si>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</si>
  <si>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</si>
  <si>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</si>
  <si>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</si>
  <si>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</si>
  <si>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</si>
  <si>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</si>
  <si>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</si>
  <si>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</si>
  <si>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</si>
  <si>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</si>
  <si>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</si>
  <si>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</si>
  <si>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</si>
  <si>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</si>
  <si>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</si>
  <si>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</si>
  <si>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</si>
  <si>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</si>
  <si>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</si>
  <si>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</si>
  <si>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</si>
  <si>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</si>
  <si>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</si>
  <si>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</si>
  <si>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</si>
  <si>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</si>
  <si>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</si>
  <si>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</si>
  <si>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</si>
  <si>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</si>
  <si>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</si>
  <si>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</si>
  <si>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</si>
  <si>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</si>
  <si>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</si>
  <si>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</si>
  <si>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</si>
  <si>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</si>
  <si>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</si>
  <si>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</si>
  <si>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</si>
  <si>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</si>
  <si>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</si>
  <si>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</si>
  <si>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</si>
  <si>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</si>
  <si>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</si>
  <si>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</si>
  <si>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</si>
  <si>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</si>
  <si>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</si>
  <si>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</si>
  <si>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</si>
  <si>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</si>
  <si>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</si>
  <si>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</si>
  <si>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</si>
  <si>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</si>
  <si>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</si>
  <si>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</si>
  <si>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</si>
  <si>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</si>
  <si>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</si>
  <si>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</si>
  <si>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</si>
  <si>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</si>
  <si>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</si>
  <si>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</si>
  <si>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</si>
  <si>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</si>
  <si>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</si>
  <si>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</si>
  <si>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</si>
  <si>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</si>
  <si>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</si>
  <si>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</si>
  <si>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</si>
  <si>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</si>
  <si>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</si>
  <si>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</si>
  <si>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</si>
  <si>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</si>
  <si>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</si>
  <si>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</si>
  <si>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</si>
  <si>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</si>
  <si>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</si>
  <si>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</si>
  <si>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</si>
  <si>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</si>
  <si>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</si>
  <si>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</si>
  <si>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</si>
  <si>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</si>
  <si>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</si>
  <si>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</si>
  <si>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</si>
  <si>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</si>
  <si>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</si>
  <si>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</si>
  <si>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</si>
  <si>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</si>
  <si>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</si>
  <si>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</si>
  <si>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</si>
  <si>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</si>
  <si>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</si>
  <si>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</si>
  <si>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</si>
  <si>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</si>
  <si>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</si>
  <si>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</si>
  <si>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</si>
  <si>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</si>
  <si>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</si>
  <si>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</si>
  <si>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</si>
  <si>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</si>
  <si>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</si>
  <si>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</si>
  <si>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</si>
  <si>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</si>
  <si>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</si>
  <si>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</si>
  <si>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</si>
  <si>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</si>
  <si>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</si>
  <si>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</si>
  <si>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</si>
  <si>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</si>
  <si>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</si>
  <si>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</si>
  <si>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</si>
  <si>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</si>
  <si>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</si>
  <si>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</si>
  <si>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</si>
  <si>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</si>
  <si>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</si>
  <si>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</si>
  <si>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</si>
  <si>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</si>
  <si>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</si>
  <si>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</si>
  <si>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</si>
  <si>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</si>
  <si>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</si>
  <si>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</si>
  <si>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</si>
  <si>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</si>
  <si>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</si>
  <si>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</si>
  <si>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</si>
  <si>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</si>
  <si>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</si>
  <si>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</si>
  <si>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</si>
  <si>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</si>
  <si>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</si>
  <si>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</si>
  <si>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</si>
  <si>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</si>
  <si>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</si>
  <si>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</si>
  <si>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</si>
  <si>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</si>
  <si>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</si>
  <si>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</si>
  <si>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</si>
  <si>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</si>
  <si>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</si>
  <si>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</si>
  <si>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</si>
  <si>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</si>
  <si>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</si>
  <si>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</si>
  <si>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</si>
  <si>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</si>
  <si>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</si>
  <si>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</si>
  <si>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</si>
  <si>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</si>
  <si>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</si>
  <si>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</si>
  <si>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</si>
  <si>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</si>
  <si>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</si>
  <si>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</si>
  <si>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</si>
  <si>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</si>
  <si>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</si>
  <si>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</si>
  <si>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</si>
  <si>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</si>
  <si>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</si>
  <si>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</si>
  <si>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</si>
  <si>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</si>
  <si>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</si>
  <si>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</si>
  <si>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</si>
  <si>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</si>
  <si>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</si>
  <si>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</si>
  <si>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</si>
  <si>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</si>
  <si>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</si>
  <si>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</si>
  <si>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</si>
  <si>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</si>
  <si>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</si>
  <si>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</si>
  <si>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</si>
  <si>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</si>
  <si>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</si>
  <si>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</si>
  <si>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</si>
  <si>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</si>
  <si>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</si>
  <si>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</si>
  <si>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</si>
  <si>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</si>
  <si>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</si>
  <si>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</si>
  <si>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</si>
  <si>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</si>
  <si>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</si>
  <si>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</si>
  <si>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</si>
  <si>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</si>
  <si>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</si>
  <si>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</si>
  <si>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</si>
  <si>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</si>
  <si>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</si>
  <si>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</si>
  <si>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</si>
  <si>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</si>
  <si>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</si>
  <si>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</si>
  <si>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</si>
  <si>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</si>
  <si>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</si>
  <si>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</si>
  <si>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</si>
  <si>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</si>
  <si>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</si>
  <si>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</si>
  <si>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</si>
  <si>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</si>
  <si>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</si>
  <si>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</si>
  <si>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</si>
  <si>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</si>
  <si>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</si>
  <si>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</si>
  <si>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</si>
  <si>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</si>
  <si>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</si>
  <si>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</si>
  <si>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</si>
  <si>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</si>
  <si>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</si>
  <si>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</si>
  <si>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</si>
  <si>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</si>
  <si>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</si>
  <si>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</si>
  <si>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</si>
  <si>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</si>
  <si>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</si>
  <si>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</si>
  <si>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</si>
  <si>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</si>
  <si>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</si>
  <si>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</si>
  <si>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</si>
  <si>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</si>
  <si>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</si>
  <si>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</si>
  <si>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</si>
  <si>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</si>
  <si>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</si>
  <si>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</si>
  <si>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</si>
  <si>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</si>
  <si>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</si>
  <si>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</si>
  <si>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</si>
  <si>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</si>
  <si>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</si>
  <si>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</si>
  <si>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</si>
  <si>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</si>
  <si>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</si>
  <si>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</si>
  <si>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</si>
  <si>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</si>
  <si>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</si>
  <si>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</si>
  <si>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</si>
  <si>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</si>
  <si>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</si>
  <si>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</si>
  <si>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</si>
  <si>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</si>
  <si>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</si>
  <si>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</si>
  <si>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</si>
  <si>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</si>
  <si>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</si>
  <si>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</si>
  <si>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</si>
  <si>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</si>
  <si>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</si>
  <si>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</si>
  <si>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</si>
  <si>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</si>
  <si>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</si>
  <si>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</si>
  <si>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</si>
  <si>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</si>
  <si>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</si>
  <si>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</si>
  <si>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</si>
  <si>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</si>
  <si>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</si>
  <si>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</si>
  <si>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</si>
  <si>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</si>
  <si>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</si>
  <si>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</si>
  <si>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</si>
  <si>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</si>
  <si>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</si>
  <si>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</si>
  <si>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</si>
  <si>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</si>
  <si>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</si>
  <si>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</si>
  <si>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</si>
  <si>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</si>
  <si>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</si>
  <si>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</si>
  <si>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</si>
  <si>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</si>
  <si>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</si>
  <si>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</si>
  <si>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</si>
  <si>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</si>
  <si>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</si>
  <si>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</si>
  <si>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</si>
  <si>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</si>
  <si>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</si>
  <si>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</si>
  <si>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</si>
  <si>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</si>
  <si>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</si>
  <si>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</si>
  <si>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</si>
  <si>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</si>
  <si>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</si>
  <si>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</si>
  <si>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</si>
  <si>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</si>
  <si>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</si>
  <si>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</si>
  <si>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</si>
  <si>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</si>
  <si>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</si>
  <si>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</si>
  <si>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</si>
  <si>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</si>
  <si>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</si>
  <si>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</si>
  <si>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</si>
  <si>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</si>
  <si>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</si>
  <si>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</si>
  <si>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</si>
  <si>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</si>
  <si>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</si>
  <si>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</si>
  <si>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</si>
  <si>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</si>
  <si>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</si>
  <si>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</si>
  <si>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</si>
  <si>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</si>
  <si>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</si>
  <si>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</si>
  <si>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</si>
  <si>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</si>
  <si>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</si>
  <si>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</si>
  <si>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</si>
  <si>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</si>
  <si>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</si>
  <si>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</si>
  <si>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</si>
  <si>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</si>
  <si>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</si>
  <si>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</si>
  <si>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</si>
  <si>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</si>
  <si>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</si>
  <si>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</si>
  <si>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</si>
  <si>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</si>
  <si>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</si>
  <si>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</si>
  <si>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</si>
  <si>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</si>
  <si>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</si>
  <si>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</si>
  <si>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</si>
  <si>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</si>
  <si>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</si>
  <si>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</si>
  <si>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</si>
  <si>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</si>
  <si>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</si>
  <si>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</si>
  <si>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</si>
  <si>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</si>
  <si>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</si>
  <si>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</si>
  <si>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</si>
  <si>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</si>
  <si>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</si>
  <si>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</si>
  <si>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</si>
  <si>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</si>
  <si>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</si>
  <si>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</si>
  <si>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</si>
  <si>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</si>
  <si>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</si>
  <si>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</si>
  <si>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</si>
  <si>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</si>
  <si>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</si>
  <si>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</si>
  <si>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</si>
  <si>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</si>
  <si>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</si>
  <si>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</si>
  <si>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</si>
  <si>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</si>
  <si>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</si>
  <si>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</si>
  <si>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</si>
  <si>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</si>
  <si>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</si>
  <si>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</si>
  <si>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</si>
  <si>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12025</t>
  </si>
  <si>
    <t>MECHELEN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</si>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</sst>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69B2BAC2-3410-444F-A839-B163DD6A2DD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12025</v>
      </c>
      <c r="B6" s="384"/>
      <c r="C6" s="385"/>
    </row>
    <row r="7" spans="1:7" s="382" customFormat="1" ht="15.75" customHeight="1">
      <c r="A7" s="386" t="str">
        <f>txtMunicipality</f>
        <v>MECHELEN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211553.26989927512</v>
      </c>
      <c r="D10" s="674">
        <f ca="1">tertiair!C16</f>
        <v>0</v>
      </c>
      <c r="E10" s="674">
        <f ca="1">tertiair!D16</f>
        <v>214785.15349140915</v>
      </c>
      <c r="F10" s="674">
        <f>tertiair!E16</f>
        <v>4935.7346834869086</v>
      </c>
      <c r="G10" s="674">
        <f ca="1">tertiair!F16</f>
        <v>38913.08568722471</v>
      </c>
      <c r="H10" s="674">
        <f>tertiair!G16</f>
        <v>0</v>
      </c>
      <c r="I10" s="674">
        <f>tertiair!H16</f>
        <v>0</v>
      </c>
      <c r="J10" s="674">
        <f>tertiair!I16</f>
        <v>0</v>
      </c>
      <c r="K10" s="674">
        <f>tertiair!J16</f>
        <v>0</v>
      </c>
      <c r="L10" s="674">
        <f>tertiair!K16</f>
        <v>0</v>
      </c>
      <c r="M10" s="674">
        <f ca="1">tertiair!L16</f>
        <v>0</v>
      </c>
      <c r="N10" s="674">
        <f>tertiair!M16</f>
        <v>0</v>
      </c>
      <c r="O10" s="674">
        <f ca="1">tertiair!N16</f>
        <v>4691.4385840333916</v>
      </c>
      <c r="P10" s="674">
        <f>tertiair!O16</f>
        <v>1.5633333333333335</v>
      </c>
      <c r="Q10" s="675">
        <f>tertiair!P16</f>
        <v>114.4</v>
      </c>
      <c r="R10" s="677">
        <f ca="1">SUM(C10:Q10)</f>
        <v>474994.6456787627</v>
      </c>
      <c r="S10" s="67"/>
    </row>
    <row r="11" spans="1:19" s="443" customFormat="1">
      <c r="A11" s="789" t="s">
        <v>214</v>
      </c>
      <c r="B11" s="794"/>
      <c r="C11" s="674">
        <f>huishoudens!B8</f>
        <v>120051.5692161016</v>
      </c>
      <c r="D11" s="674">
        <f>huishoudens!C8</f>
        <v>0</v>
      </c>
      <c r="E11" s="674">
        <f>huishoudens!D8</f>
        <v>374796.57522976148</v>
      </c>
      <c r="F11" s="674">
        <f>huishoudens!E8</f>
        <v>4045.2473476777827</v>
      </c>
      <c r="G11" s="674">
        <f>huishoudens!F8</f>
        <v>138082.07343329376</v>
      </c>
      <c r="H11" s="674">
        <f>huishoudens!G8</f>
        <v>0</v>
      </c>
      <c r="I11" s="674">
        <f>huishoudens!H8</f>
        <v>0</v>
      </c>
      <c r="J11" s="674">
        <f>huishoudens!I8</f>
        <v>0</v>
      </c>
      <c r="K11" s="674">
        <f>huishoudens!J8</f>
        <v>3109.2582160068</v>
      </c>
      <c r="L11" s="674">
        <f>huishoudens!K8</f>
        <v>0</v>
      </c>
      <c r="M11" s="674">
        <f>huishoudens!L8</f>
        <v>0</v>
      </c>
      <c r="N11" s="674">
        <f>huishoudens!M8</f>
        <v>0</v>
      </c>
      <c r="O11" s="674">
        <f>huishoudens!N8</f>
        <v>39903.37345366404</v>
      </c>
      <c r="P11" s="674">
        <f>huishoudens!O8</f>
        <v>215.74</v>
      </c>
      <c r="Q11" s="675">
        <f>huishoudens!P8</f>
        <v>228.8</v>
      </c>
      <c r="R11" s="677">
        <f>SUM(C11:Q11)</f>
        <v>680432.63689650549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200679.94400780706</v>
      </c>
      <c r="D13" s="674">
        <f>industrie!C18</f>
        <v>0</v>
      </c>
      <c r="E13" s="674">
        <f>industrie!D18</f>
        <v>268340.61013131042</v>
      </c>
      <c r="F13" s="674">
        <f>industrie!E18</f>
        <v>1227.3537641721573</v>
      </c>
      <c r="G13" s="674">
        <f>industrie!F18</f>
        <v>18608.827301569883</v>
      </c>
      <c r="H13" s="674">
        <f>industrie!G18</f>
        <v>0</v>
      </c>
      <c r="I13" s="674">
        <f>industrie!H18</f>
        <v>0</v>
      </c>
      <c r="J13" s="674">
        <f>industrie!I18</f>
        <v>0</v>
      </c>
      <c r="K13" s="674">
        <f>industrie!J18</f>
        <v>825.48263214897383</v>
      </c>
      <c r="L13" s="674">
        <f>industrie!K18</f>
        <v>0</v>
      </c>
      <c r="M13" s="674">
        <f>industrie!L18</f>
        <v>0</v>
      </c>
      <c r="N13" s="674">
        <f>industrie!M18</f>
        <v>0</v>
      </c>
      <c r="O13" s="674">
        <f>industrie!N18</f>
        <v>1975.2424650758219</v>
      </c>
      <c r="P13" s="674">
        <f>industrie!O18</f>
        <v>0</v>
      </c>
      <c r="Q13" s="675">
        <f>industrie!P18</f>
        <v>0</v>
      </c>
      <c r="R13" s="677">
        <f>SUM(C13:Q13)</f>
        <v>491657.46030208428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532284.78312318376</v>
      </c>
      <c r="D16" s="707">
        <f t="shared" ref="D16:R16" ca="1" si="0">SUM(D9:D15)</f>
        <v>0</v>
      </c>
      <c r="E16" s="707">
        <f t="shared" ca="1" si="0"/>
        <v>857922.3388524811</v>
      </c>
      <c r="F16" s="707">
        <f t="shared" si="0"/>
        <v>10208.335795336849</v>
      </c>
      <c r="G16" s="707">
        <f t="shared" ca="1" si="0"/>
        <v>195603.98642208838</v>
      </c>
      <c r="H16" s="707">
        <f t="shared" si="0"/>
        <v>0</v>
      </c>
      <c r="I16" s="707">
        <f t="shared" si="0"/>
        <v>0</v>
      </c>
      <c r="J16" s="707">
        <f t="shared" si="0"/>
        <v>0</v>
      </c>
      <c r="K16" s="707">
        <f t="shared" si="0"/>
        <v>3934.7408481557741</v>
      </c>
      <c r="L16" s="707">
        <f t="shared" si="0"/>
        <v>0</v>
      </c>
      <c r="M16" s="707">
        <f t="shared" ca="1" si="0"/>
        <v>0</v>
      </c>
      <c r="N16" s="707">
        <f t="shared" si="0"/>
        <v>0</v>
      </c>
      <c r="O16" s="707">
        <f t="shared" ca="1" si="0"/>
        <v>46570.054502773251</v>
      </c>
      <c r="P16" s="707">
        <f t="shared" si="0"/>
        <v>217.30333333333334</v>
      </c>
      <c r="Q16" s="707">
        <f t="shared" si="0"/>
        <v>343.20000000000005</v>
      </c>
      <c r="R16" s="707">
        <f t="shared" ca="1" si="0"/>
        <v>1647084.7428773525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54.681191993330636</v>
      </c>
      <c r="D19" s="674">
        <f>transport!C54</f>
        <v>0</v>
      </c>
      <c r="E19" s="674">
        <f>transport!D54</f>
        <v>0</v>
      </c>
      <c r="F19" s="674">
        <f>transport!E54</f>
        <v>0</v>
      </c>
      <c r="G19" s="674">
        <f>transport!F54</f>
        <v>0</v>
      </c>
      <c r="H19" s="674">
        <f>transport!G54</f>
        <v>11862.535611530826</v>
      </c>
      <c r="I19" s="674">
        <f>transport!H54</f>
        <v>0</v>
      </c>
      <c r="J19" s="674">
        <f>transport!I54</f>
        <v>0</v>
      </c>
      <c r="K19" s="674">
        <f>transport!J54</f>
        <v>0</v>
      </c>
      <c r="L19" s="674">
        <f>transport!K54</f>
        <v>0</v>
      </c>
      <c r="M19" s="674">
        <f>transport!L54</f>
        <v>0</v>
      </c>
      <c r="N19" s="674">
        <f>transport!M54</f>
        <v>507.90820793236566</v>
      </c>
      <c r="O19" s="674">
        <f>transport!N54</f>
        <v>0</v>
      </c>
      <c r="P19" s="674">
        <f>transport!O54</f>
        <v>0</v>
      </c>
      <c r="Q19" s="675">
        <f>transport!P54</f>
        <v>0</v>
      </c>
      <c r="R19" s="677">
        <f>SUM(C19:Q19)</f>
        <v>12425.125011456521</v>
      </c>
      <c r="S19" s="67"/>
    </row>
    <row r="20" spans="1:19" s="443" customFormat="1">
      <c r="A20" s="789" t="s">
        <v>296</v>
      </c>
      <c r="B20" s="794"/>
      <c r="C20" s="674">
        <f>transport!B14</f>
        <v>6.8427300179655344</v>
      </c>
      <c r="D20" s="674">
        <f>transport!C14</f>
        <v>0</v>
      </c>
      <c r="E20" s="674">
        <f>transport!D14</f>
        <v>21.589582572338394</v>
      </c>
      <c r="F20" s="674">
        <f>transport!E14</f>
        <v>2508.937014196033</v>
      </c>
      <c r="G20" s="674">
        <f>transport!F14</f>
        <v>0</v>
      </c>
      <c r="H20" s="674">
        <f>transport!G14</f>
        <v>471078.48328865832</v>
      </c>
      <c r="I20" s="674">
        <f>transport!H14</f>
        <v>73853.593044859896</v>
      </c>
      <c r="J20" s="674">
        <f>transport!I14</f>
        <v>0</v>
      </c>
      <c r="K20" s="674">
        <f>transport!J14</f>
        <v>0</v>
      </c>
      <c r="L20" s="674">
        <f>transport!K14</f>
        <v>0</v>
      </c>
      <c r="M20" s="674">
        <f>transport!L14</f>
        <v>0</v>
      </c>
      <c r="N20" s="674">
        <f>transport!M14</f>
        <v>23692.789273002352</v>
      </c>
      <c r="O20" s="674">
        <f>transport!N14</f>
        <v>0</v>
      </c>
      <c r="P20" s="674">
        <f>transport!O14</f>
        <v>0</v>
      </c>
      <c r="Q20" s="675">
        <f>transport!P14</f>
        <v>0</v>
      </c>
      <c r="R20" s="677">
        <f>SUM(C20:Q20)</f>
        <v>571162.23493330681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61.523922011296172</v>
      </c>
      <c r="D22" s="792">
        <f t="shared" ref="D22:R22" si="1">SUM(D18:D21)</f>
        <v>0</v>
      </c>
      <c r="E22" s="792">
        <f t="shared" si="1"/>
        <v>21.589582572338394</v>
      </c>
      <c r="F22" s="792">
        <f t="shared" si="1"/>
        <v>2508.937014196033</v>
      </c>
      <c r="G22" s="792">
        <f t="shared" si="1"/>
        <v>0</v>
      </c>
      <c r="H22" s="792">
        <f t="shared" si="1"/>
        <v>482941.01890018914</v>
      </c>
      <c r="I22" s="792">
        <f t="shared" si="1"/>
        <v>73853.593044859896</v>
      </c>
      <c r="J22" s="792">
        <f t="shared" si="1"/>
        <v>0</v>
      </c>
      <c r="K22" s="792">
        <f t="shared" si="1"/>
        <v>0</v>
      </c>
      <c r="L22" s="792">
        <f t="shared" si="1"/>
        <v>0</v>
      </c>
      <c r="M22" s="792">
        <f t="shared" si="1"/>
        <v>0</v>
      </c>
      <c r="N22" s="792">
        <f t="shared" si="1"/>
        <v>24200.697480934719</v>
      </c>
      <c r="O22" s="792">
        <f t="shared" si="1"/>
        <v>0</v>
      </c>
      <c r="P22" s="792">
        <f t="shared" si="1"/>
        <v>0</v>
      </c>
      <c r="Q22" s="792">
        <f t="shared" si="1"/>
        <v>0</v>
      </c>
      <c r="R22" s="792">
        <f t="shared" si="1"/>
        <v>583587.35994476336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1180.424854068707</v>
      </c>
      <c r="D24" s="674">
        <f>+landbouw!C8</f>
        <v>0</v>
      </c>
      <c r="E24" s="674">
        <f>+landbouw!D8</f>
        <v>4322.2199646277495</v>
      </c>
      <c r="F24" s="674">
        <f>+landbouw!E8</f>
        <v>12.361664623367073</v>
      </c>
      <c r="G24" s="674">
        <f>+landbouw!F8</f>
        <v>5053.1153078132784</v>
      </c>
      <c r="H24" s="674">
        <f>+landbouw!G8</f>
        <v>0</v>
      </c>
      <c r="I24" s="674">
        <f>+landbouw!H8</f>
        <v>0</v>
      </c>
      <c r="J24" s="674">
        <f>+landbouw!I8</f>
        <v>0</v>
      </c>
      <c r="K24" s="674">
        <f>+landbouw!J8</f>
        <v>105.42251979679935</v>
      </c>
      <c r="L24" s="674">
        <f>+landbouw!K8</f>
        <v>0</v>
      </c>
      <c r="M24" s="674">
        <f>+landbouw!L8</f>
        <v>0</v>
      </c>
      <c r="N24" s="674">
        <f>+landbouw!M8</f>
        <v>0</v>
      </c>
      <c r="O24" s="674">
        <f>+landbouw!N8</f>
        <v>0</v>
      </c>
      <c r="P24" s="674">
        <f>+landbouw!O8</f>
        <v>0</v>
      </c>
      <c r="Q24" s="675">
        <f>+landbouw!P8</f>
        <v>0</v>
      </c>
      <c r="R24" s="677">
        <f>SUM(C24:Q24)</f>
        <v>10673.544310929899</v>
      </c>
      <c r="S24" s="67"/>
    </row>
    <row r="25" spans="1:19" s="443" customFormat="1" ht="15" thickBot="1">
      <c r="A25" s="811" t="s">
        <v>889</v>
      </c>
      <c r="B25" s="966"/>
      <c r="C25" s="967">
        <f>IF(Onbekend_ele_kWh="---",0,Onbekend_ele_kWh)/1000+IF(REST_rest_ele_kWh="---",0,REST_rest_ele_kWh)/1000</f>
        <v>7509.0889134424406</v>
      </c>
      <c r="D25" s="967"/>
      <c r="E25" s="967">
        <f>IF(onbekend_gas_kWh="---",0,onbekend_gas_kWh)/1000+IF(REST_rest_gas_kWh="---",0,REST_rest_gas_kWh)/1000</f>
        <v>20184.4527821847</v>
      </c>
      <c r="F25" s="967"/>
      <c r="G25" s="967"/>
      <c r="H25" s="967"/>
      <c r="I25" s="967"/>
      <c r="J25" s="967"/>
      <c r="K25" s="967"/>
      <c r="L25" s="967"/>
      <c r="M25" s="967"/>
      <c r="N25" s="967"/>
      <c r="O25" s="967"/>
      <c r="P25" s="967"/>
      <c r="Q25" s="968"/>
      <c r="R25" s="677">
        <f>SUM(C25:Q25)</f>
        <v>27693.54169562714</v>
      </c>
      <c r="S25" s="67"/>
    </row>
    <row r="26" spans="1:19" s="443" customFormat="1" ht="15.75" thickBot="1">
      <c r="A26" s="680" t="s">
        <v>890</v>
      </c>
      <c r="B26" s="797"/>
      <c r="C26" s="792">
        <f>SUM(C24:C25)</f>
        <v>8689.5137675111473</v>
      </c>
      <c r="D26" s="792">
        <f t="shared" ref="D26:R26" si="2">SUM(D24:D25)</f>
        <v>0</v>
      </c>
      <c r="E26" s="792">
        <f t="shared" si="2"/>
        <v>24506.672746812452</v>
      </c>
      <c r="F26" s="792">
        <f t="shared" si="2"/>
        <v>12.361664623367073</v>
      </c>
      <c r="G26" s="792">
        <f t="shared" si="2"/>
        <v>5053.1153078132784</v>
      </c>
      <c r="H26" s="792">
        <f t="shared" si="2"/>
        <v>0</v>
      </c>
      <c r="I26" s="792">
        <f t="shared" si="2"/>
        <v>0</v>
      </c>
      <c r="J26" s="792">
        <f t="shared" si="2"/>
        <v>0</v>
      </c>
      <c r="K26" s="792">
        <f t="shared" si="2"/>
        <v>105.42251979679935</v>
      </c>
      <c r="L26" s="792">
        <f t="shared" si="2"/>
        <v>0</v>
      </c>
      <c r="M26" s="792">
        <f t="shared" si="2"/>
        <v>0</v>
      </c>
      <c r="N26" s="792">
        <f t="shared" si="2"/>
        <v>0</v>
      </c>
      <c r="O26" s="792">
        <f t="shared" si="2"/>
        <v>0</v>
      </c>
      <c r="P26" s="792">
        <f t="shared" si="2"/>
        <v>0</v>
      </c>
      <c r="Q26" s="792">
        <f t="shared" si="2"/>
        <v>0</v>
      </c>
      <c r="R26" s="792">
        <f t="shared" si="2"/>
        <v>38367.086006557038</v>
      </c>
      <c r="S26" s="67"/>
    </row>
    <row r="27" spans="1:19" s="443" customFormat="1" ht="17.25" thickTop="1" thickBot="1">
      <c r="A27" s="681" t="s">
        <v>109</v>
      </c>
      <c r="B27" s="784"/>
      <c r="C27" s="682">
        <f ca="1">C22+C16+C26</f>
        <v>541035.82081270614</v>
      </c>
      <c r="D27" s="682">
        <f t="shared" ref="D27:R27" ca="1" si="3">D22+D16+D26</f>
        <v>0</v>
      </c>
      <c r="E27" s="682">
        <f t="shared" ca="1" si="3"/>
        <v>882450.6011818659</v>
      </c>
      <c r="F27" s="682">
        <f t="shared" si="3"/>
        <v>12729.63447415625</v>
      </c>
      <c r="G27" s="682">
        <f t="shared" ca="1" si="3"/>
        <v>200657.10172990165</v>
      </c>
      <c r="H27" s="682">
        <f t="shared" si="3"/>
        <v>482941.01890018914</v>
      </c>
      <c r="I27" s="682">
        <f t="shared" si="3"/>
        <v>73853.593044859896</v>
      </c>
      <c r="J27" s="682">
        <f t="shared" si="3"/>
        <v>0</v>
      </c>
      <c r="K27" s="682">
        <f t="shared" si="3"/>
        <v>4040.1633679525735</v>
      </c>
      <c r="L27" s="682">
        <f t="shared" si="3"/>
        <v>0</v>
      </c>
      <c r="M27" s="682">
        <f t="shared" ca="1" si="3"/>
        <v>0</v>
      </c>
      <c r="N27" s="682">
        <f t="shared" si="3"/>
        <v>24200.697480934719</v>
      </c>
      <c r="O27" s="682">
        <f t="shared" ca="1" si="3"/>
        <v>46570.054502773251</v>
      </c>
      <c r="P27" s="682">
        <f t="shared" si="3"/>
        <v>217.30333333333334</v>
      </c>
      <c r="Q27" s="682">
        <f t="shared" si="3"/>
        <v>343.20000000000005</v>
      </c>
      <c r="R27" s="682">
        <f t="shared" ca="1" si="3"/>
        <v>2269039.1888286727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46209.276405959521</v>
      </c>
      <c r="D40" s="674">
        <f ca="1">tertiair!C20</f>
        <v>0</v>
      </c>
      <c r="E40" s="674">
        <f ca="1">tertiair!D20</f>
        <v>43386.601005264652</v>
      </c>
      <c r="F40" s="674">
        <f>tertiair!E20</f>
        <v>1120.4117731515282</v>
      </c>
      <c r="G40" s="674">
        <f ca="1">tertiair!F20</f>
        <v>10389.793878488998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101106.08306286471</v>
      </c>
    </row>
    <row r="41" spans="1:18">
      <c r="A41" s="802" t="s">
        <v>214</v>
      </c>
      <c r="B41" s="809"/>
      <c r="C41" s="674">
        <f ca="1">huishoudens!B12</f>
        <v>26222.691559044666</v>
      </c>
      <c r="D41" s="674">
        <f ca="1">huishoudens!C12</f>
        <v>0</v>
      </c>
      <c r="E41" s="674">
        <f>huishoudens!D12</f>
        <v>75708.908196411823</v>
      </c>
      <c r="F41" s="674">
        <f>huishoudens!E12</f>
        <v>918.2711479228567</v>
      </c>
      <c r="G41" s="674">
        <f>huishoudens!F12</f>
        <v>36867.913606689435</v>
      </c>
      <c r="H41" s="674">
        <f>huishoudens!G12</f>
        <v>0</v>
      </c>
      <c r="I41" s="674">
        <f>huishoudens!H12</f>
        <v>0</v>
      </c>
      <c r="J41" s="674">
        <f>huishoudens!I12</f>
        <v>0</v>
      </c>
      <c r="K41" s="674">
        <f>huishoudens!J12</f>
        <v>1100.6774084664071</v>
      </c>
      <c r="L41" s="674">
        <f>huishoudens!K12</f>
        <v>0</v>
      </c>
      <c r="M41" s="674">
        <f>huishoudens!L12</f>
        <v>0</v>
      </c>
      <c r="N41" s="674">
        <f>huishoudens!M12</f>
        <v>0</v>
      </c>
      <c r="O41" s="674">
        <f>huishoudens!N12</f>
        <v>0</v>
      </c>
      <c r="P41" s="674">
        <f>huishoudens!O12</f>
        <v>0</v>
      </c>
      <c r="Q41" s="749">
        <f>huishoudens!P12</f>
        <v>0</v>
      </c>
      <c r="R41" s="830">
        <f t="shared" ca="1" si="4"/>
        <v>140818.46191853521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43834.231473729684</v>
      </c>
      <c r="D43" s="674">
        <f ca="1">industrie!C22</f>
        <v>0</v>
      </c>
      <c r="E43" s="674">
        <f>industrie!D22</f>
        <v>54204.803246524709</v>
      </c>
      <c r="F43" s="674">
        <f>industrie!E22</f>
        <v>278.60930446707971</v>
      </c>
      <c r="G43" s="674">
        <f>industrie!F22</f>
        <v>4968.5568895191591</v>
      </c>
      <c r="H43" s="674">
        <f>industrie!G22</f>
        <v>0</v>
      </c>
      <c r="I43" s="674">
        <f>industrie!H22</f>
        <v>0</v>
      </c>
      <c r="J43" s="674">
        <f>industrie!I22</f>
        <v>0</v>
      </c>
      <c r="K43" s="674">
        <f>industrie!J22</f>
        <v>292.22085178073672</v>
      </c>
      <c r="L43" s="674">
        <f>industrie!K22</f>
        <v>0</v>
      </c>
      <c r="M43" s="674">
        <f>industrie!L22</f>
        <v>0</v>
      </c>
      <c r="N43" s="674">
        <f>industrie!M22</f>
        <v>0</v>
      </c>
      <c r="O43" s="674">
        <f>industrie!N22</f>
        <v>0</v>
      </c>
      <c r="P43" s="674">
        <f>industrie!O22</f>
        <v>0</v>
      </c>
      <c r="Q43" s="749">
        <f>industrie!P22</f>
        <v>0</v>
      </c>
      <c r="R43" s="829">
        <f t="shared" ca="1" si="4"/>
        <v>103578.42176602136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116266.19943873386</v>
      </c>
      <c r="D46" s="707">
        <f t="shared" ref="D46:Q46" ca="1" si="5">SUM(D39:D45)</f>
        <v>0</v>
      </c>
      <c r="E46" s="707">
        <f t="shared" ca="1" si="5"/>
        <v>173300.31244820118</v>
      </c>
      <c r="F46" s="707">
        <f t="shared" si="5"/>
        <v>2317.2922255414646</v>
      </c>
      <c r="G46" s="707">
        <f t="shared" ca="1" si="5"/>
        <v>52226.264374697595</v>
      </c>
      <c r="H46" s="707">
        <f t="shared" si="5"/>
        <v>0</v>
      </c>
      <c r="I46" s="707">
        <f t="shared" si="5"/>
        <v>0</v>
      </c>
      <c r="J46" s="707">
        <f t="shared" si="5"/>
        <v>0</v>
      </c>
      <c r="K46" s="707">
        <f t="shared" si="5"/>
        <v>1392.8982602471438</v>
      </c>
      <c r="L46" s="707">
        <f t="shared" si="5"/>
        <v>0</v>
      </c>
      <c r="M46" s="707">
        <f t="shared" ca="1" si="5"/>
        <v>0</v>
      </c>
      <c r="N46" s="707">
        <f t="shared" si="5"/>
        <v>0</v>
      </c>
      <c r="O46" s="707">
        <f t="shared" ca="1" si="5"/>
        <v>0</v>
      </c>
      <c r="P46" s="707">
        <f t="shared" si="5"/>
        <v>0</v>
      </c>
      <c r="Q46" s="707">
        <f t="shared" si="5"/>
        <v>0</v>
      </c>
      <c r="R46" s="707">
        <f ca="1">SUM(R39:R45)</f>
        <v>345502.96674742125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11.943934103359439</v>
      </c>
      <c r="D49" s="674">
        <f ca="1">transport!C58</f>
        <v>0</v>
      </c>
      <c r="E49" s="674">
        <f>transport!D58</f>
        <v>0</v>
      </c>
      <c r="F49" s="674">
        <f>transport!E58</f>
        <v>0</v>
      </c>
      <c r="G49" s="674">
        <f>transport!F58</f>
        <v>0</v>
      </c>
      <c r="H49" s="674">
        <f>transport!G58</f>
        <v>3167.2970082787306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3179.24094238209</v>
      </c>
    </row>
    <row r="50" spans="1:18">
      <c r="A50" s="805" t="s">
        <v>296</v>
      </c>
      <c r="B50" s="815"/>
      <c r="C50" s="973">
        <f ca="1">transport!B18</f>
        <v>1.4946476739502723</v>
      </c>
      <c r="D50" s="973">
        <f>transport!C18</f>
        <v>0</v>
      </c>
      <c r="E50" s="973">
        <f>transport!D18</f>
        <v>4.3610956796123554</v>
      </c>
      <c r="F50" s="973">
        <f>transport!E18</f>
        <v>569.52870222249953</v>
      </c>
      <c r="G50" s="973">
        <f>transport!F18</f>
        <v>0</v>
      </c>
      <c r="H50" s="973">
        <f>transport!G18</f>
        <v>125777.95503807178</v>
      </c>
      <c r="I50" s="973">
        <f>transport!H18</f>
        <v>18389.544668170114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144742.88415181794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13.438581777309711</v>
      </c>
      <c r="D52" s="707">
        <f t="shared" ref="D52:Q52" ca="1" si="6">SUM(D48:D51)</f>
        <v>0</v>
      </c>
      <c r="E52" s="707">
        <f t="shared" si="6"/>
        <v>4.3610956796123554</v>
      </c>
      <c r="F52" s="707">
        <f t="shared" si="6"/>
        <v>569.52870222249953</v>
      </c>
      <c r="G52" s="707">
        <f t="shared" si="6"/>
        <v>0</v>
      </c>
      <c r="H52" s="707">
        <f t="shared" si="6"/>
        <v>128945.25204635052</v>
      </c>
      <c r="I52" s="707">
        <f t="shared" si="6"/>
        <v>18389.544668170114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147922.12509420002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257.83850272839584</v>
      </c>
      <c r="D54" s="973">
        <f ca="1">+landbouw!C12</f>
        <v>0</v>
      </c>
      <c r="E54" s="973">
        <f>+landbouw!D12</f>
        <v>873.08843285480543</v>
      </c>
      <c r="F54" s="973">
        <f>+landbouw!E12</f>
        <v>2.8060978695043257</v>
      </c>
      <c r="G54" s="973">
        <f>+landbouw!F12</f>
        <v>1349.1817871861454</v>
      </c>
      <c r="H54" s="973">
        <f>+landbouw!G12</f>
        <v>0</v>
      </c>
      <c r="I54" s="973">
        <f>+landbouw!H12</f>
        <v>0</v>
      </c>
      <c r="J54" s="973">
        <f>+landbouw!I12</f>
        <v>0</v>
      </c>
      <c r="K54" s="973">
        <f>+landbouw!J12</f>
        <v>37.31957200806697</v>
      </c>
      <c r="L54" s="973">
        <f>+landbouw!K12</f>
        <v>0</v>
      </c>
      <c r="M54" s="973">
        <f>+landbouw!L12</f>
        <v>0</v>
      </c>
      <c r="N54" s="973">
        <f>+landbouw!M12</f>
        <v>0</v>
      </c>
      <c r="O54" s="973">
        <f>+landbouw!N12</f>
        <v>0</v>
      </c>
      <c r="P54" s="973">
        <f>+landbouw!O12</f>
        <v>0</v>
      </c>
      <c r="Q54" s="974">
        <f>+landbouw!P12</f>
        <v>0</v>
      </c>
      <c r="R54" s="706">
        <f ca="1">SUM(C54:Q54)</f>
        <v>2520.234392646918</v>
      </c>
    </row>
    <row r="55" spans="1:18" ht="15" thickBot="1">
      <c r="A55" s="805" t="s">
        <v>889</v>
      </c>
      <c r="B55" s="815"/>
      <c r="C55" s="973">
        <f ca="1">C25*'EF ele_warmte'!B12</f>
        <v>1640.1994888729296</v>
      </c>
      <c r="D55" s="973"/>
      <c r="E55" s="973">
        <f>E25*EF_CO2_aardgas</f>
        <v>4077.2594620013097</v>
      </c>
      <c r="F55" s="973"/>
      <c r="G55" s="973"/>
      <c r="H55" s="973"/>
      <c r="I55" s="973"/>
      <c r="J55" s="973"/>
      <c r="K55" s="973"/>
      <c r="L55" s="973"/>
      <c r="M55" s="973"/>
      <c r="N55" s="973"/>
      <c r="O55" s="973"/>
      <c r="P55" s="973"/>
      <c r="Q55" s="974"/>
      <c r="R55" s="706">
        <f ca="1">SUM(C55:Q55)</f>
        <v>5717.4589508742392</v>
      </c>
    </row>
    <row r="56" spans="1:18" ht="15.75" thickBot="1">
      <c r="A56" s="803" t="s">
        <v>890</v>
      </c>
      <c r="B56" s="816"/>
      <c r="C56" s="707">
        <f ca="1">SUM(C54:C55)</f>
        <v>1898.0379916013253</v>
      </c>
      <c r="D56" s="707">
        <f t="shared" ref="D56:Q56" ca="1" si="7">SUM(D54:D55)</f>
        <v>0</v>
      </c>
      <c r="E56" s="707">
        <f t="shared" si="7"/>
        <v>4950.3478948561151</v>
      </c>
      <c r="F56" s="707">
        <f t="shared" si="7"/>
        <v>2.8060978695043257</v>
      </c>
      <c r="G56" s="707">
        <f t="shared" si="7"/>
        <v>1349.1817871861454</v>
      </c>
      <c r="H56" s="707">
        <f t="shared" si="7"/>
        <v>0</v>
      </c>
      <c r="I56" s="707">
        <f t="shared" si="7"/>
        <v>0</v>
      </c>
      <c r="J56" s="707">
        <f t="shared" si="7"/>
        <v>0</v>
      </c>
      <c r="K56" s="707">
        <f t="shared" si="7"/>
        <v>37.31957200806697</v>
      </c>
      <c r="L56" s="707">
        <f t="shared" si="7"/>
        <v>0</v>
      </c>
      <c r="M56" s="707">
        <f t="shared" si="7"/>
        <v>0</v>
      </c>
      <c r="N56" s="707">
        <f t="shared" si="7"/>
        <v>0</v>
      </c>
      <c r="O56" s="707">
        <f t="shared" si="7"/>
        <v>0</v>
      </c>
      <c r="P56" s="707">
        <f t="shared" si="7"/>
        <v>0</v>
      </c>
      <c r="Q56" s="708">
        <f t="shared" si="7"/>
        <v>0</v>
      </c>
      <c r="R56" s="709">
        <f ca="1">SUM(R54:R55)</f>
        <v>8237.6933435211577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118177.6760121125</v>
      </c>
      <c r="D61" s="715">
        <f t="shared" ref="D61:Q61" ca="1" si="8">D46+D52+D56</f>
        <v>0</v>
      </c>
      <c r="E61" s="715">
        <f t="shared" ca="1" si="8"/>
        <v>178255.02143873691</v>
      </c>
      <c r="F61" s="715">
        <f t="shared" si="8"/>
        <v>2889.6270256334687</v>
      </c>
      <c r="G61" s="715">
        <f t="shared" ca="1" si="8"/>
        <v>53575.446161883738</v>
      </c>
      <c r="H61" s="715">
        <f t="shared" si="8"/>
        <v>128945.25204635052</v>
      </c>
      <c r="I61" s="715">
        <f t="shared" si="8"/>
        <v>18389.544668170114</v>
      </c>
      <c r="J61" s="715">
        <f t="shared" si="8"/>
        <v>0</v>
      </c>
      <c r="K61" s="715">
        <f t="shared" si="8"/>
        <v>1430.2178322552106</v>
      </c>
      <c r="L61" s="715">
        <f t="shared" si="8"/>
        <v>0</v>
      </c>
      <c r="M61" s="715">
        <f t="shared" ca="1" si="8"/>
        <v>0</v>
      </c>
      <c r="N61" s="715">
        <f t="shared" si="8"/>
        <v>0</v>
      </c>
      <c r="O61" s="715">
        <f t="shared" ca="1" si="8"/>
        <v>0</v>
      </c>
      <c r="P61" s="715">
        <f t="shared" si="8"/>
        <v>0</v>
      </c>
      <c r="Q61" s="715">
        <f t="shared" si="8"/>
        <v>0</v>
      </c>
      <c r="R61" s="715">
        <f ca="1">R46+R52+R56</f>
        <v>501662.78518514242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0.21842856141132072</v>
      </c>
      <c r="D63" s="759">
        <f t="shared" ca="1" si="9"/>
        <v>0</v>
      </c>
      <c r="E63" s="975">
        <f t="shared" ca="1" si="9"/>
        <v>0.20199999999999999</v>
      </c>
      <c r="F63" s="759">
        <f t="shared" si="9"/>
        <v>0.22700000000000001</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441</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5854.2053732831391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6295.2053732831391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120051.5692161016</v>
      </c>
      <c r="C4" s="447">
        <f>huishoudens!C8</f>
        <v>0</v>
      </c>
      <c r="D4" s="447">
        <f>huishoudens!D8</f>
        <v>374796.57522976148</v>
      </c>
      <c r="E4" s="447">
        <f>huishoudens!E8</f>
        <v>4045.2473476777827</v>
      </c>
      <c r="F4" s="447">
        <f>huishoudens!F8</f>
        <v>138082.07343329376</v>
      </c>
      <c r="G4" s="447">
        <f>huishoudens!G8</f>
        <v>0</v>
      </c>
      <c r="H4" s="447">
        <f>huishoudens!H8</f>
        <v>0</v>
      </c>
      <c r="I4" s="447">
        <f>huishoudens!I8</f>
        <v>0</v>
      </c>
      <c r="J4" s="447">
        <f>huishoudens!J8</f>
        <v>3109.2582160068</v>
      </c>
      <c r="K4" s="447">
        <f>huishoudens!K8</f>
        <v>0</v>
      </c>
      <c r="L4" s="447">
        <f>huishoudens!L8</f>
        <v>0</v>
      </c>
      <c r="M4" s="447">
        <f>huishoudens!M8</f>
        <v>0</v>
      </c>
      <c r="N4" s="447">
        <f>huishoudens!N8</f>
        <v>39903.37345366404</v>
      </c>
      <c r="O4" s="447">
        <f>huishoudens!O8</f>
        <v>215.74</v>
      </c>
      <c r="P4" s="448">
        <f>huishoudens!P8</f>
        <v>228.8</v>
      </c>
      <c r="Q4" s="449">
        <f>SUM(B4:P4)</f>
        <v>680432.63689650549</v>
      </c>
    </row>
    <row r="5" spans="1:17">
      <c r="A5" s="446" t="s">
        <v>149</v>
      </c>
      <c r="B5" s="447">
        <f ca="1">tertiair!B16</f>
        <v>207122.09789927513</v>
      </c>
      <c r="C5" s="447">
        <f ca="1">tertiair!C16</f>
        <v>0</v>
      </c>
      <c r="D5" s="447">
        <f ca="1">tertiair!D16</f>
        <v>214785.15349140915</v>
      </c>
      <c r="E5" s="447">
        <f>tertiair!E16</f>
        <v>4935.7346834869086</v>
      </c>
      <c r="F5" s="447">
        <f ca="1">tertiair!F16</f>
        <v>38913.08568722471</v>
      </c>
      <c r="G5" s="447">
        <f>tertiair!G16</f>
        <v>0</v>
      </c>
      <c r="H5" s="447">
        <f>tertiair!H16</f>
        <v>0</v>
      </c>
      <c r="I5" s="447">
        <f>tertiair!I16</f>
        <v>0</v>
      </c>
      <c r="J5" s="447">
        <f>tertiair!J16</f>
        <v>0</v>
      </c>
      <c r="K5" s="447">
        <f>tertiair!K16</f>
        <v>0</v>
      </c>
      <c r="L5" s="447">
        <f ca="1">tertiair!L16</f>
        <v>0</v>
      </c>
      <c r="M5" s="447">
        <f>tertiair!M16</f>
        <v>0</v>
      </c>
      <c r="N5" s="447">
        <f ca="1">tertiair!N16</f>
        <v>4691.4385840333916</v>
      </c>
      <c r="O5" s="447">
        <f>tertiair!O16</f>
        <v>1.5633333333333335</v>
      </c>
      <c r="P5" s="448">
        <f>tertiair!P16</f>
        <v>114.4</v>
      </c>
      <c r="Q5" s="446">
        <f t="shared" ref="Q5:Q14" ca="1" si="0">SUM(B5:P5)</f>
        <v>470563.47367876268</v>
      </c>
    </row>
    <row r="6" spans="1:17">
      <c r="A6" s="446" t="s">
        <v>187</v>
      </c>
      <c r="B6" s="447">
        <f>'openbare verlichting'!B8</f>
        <v>4431.1719999999996</v>
      </c>
      <c r="C6" s="447"/>
      <c r="D6" s="447"/>
      <c r="E6" s="447"/>
      <c r="F6" s="447"/>
      <c r="G6" s="447"/>
      <c r="H6" s="447"/>
      <c r="I6" s="447"/>
      <c r="J6" s="447"/>
      <c r="K6" s="447"/>
      <c r="L6" s="447"/>
      <c r="M6" s="447"/>
      <c r="N6" s="447"/>
      <c r="O6" s="447"/>
      <c r="P6" s="448"/>
      <c r="Q6" s="446">
        <f t="shared" si="0"/>
        <v>4431.1719999999996</v>
      </c>
    </row>
    <row r="7" spans="1:17">
      <c r="A7" s="446" t="s">
        <v>105</v>
      </c>
      <c r="B7" s="447">
        <f>landbouw!B8</f>
        <v>1180.424854068707</v>
      </c>
      <c r="C7" s="447">
        <f>landbouw!C8</f>
        <v>0</v>
      </c>
      <c r="D7" s="447">
        <f>landbouw!D8</f>
        <v>4322.2199646277495</v>
      </c>
      <c r="E7" s="447">
        <f>landbouw!E8</f>
        <v>12.361664623367073</v>
      </c>
      <c r="F7" s="447">
        <f>landbouw!F8</f>
        <v>5053.1153078132784</v>
      </c>
      <c r="G7" s="447">
        <f>landbouw!G8</f>
        <v>0</v>
      </c>
      <c r="H7" s="447">
        <f>landbouw!H8</f>
        <v>0</v>
      </c>
      <c r="I7" s="447">
        <f>landbouw!I8</f>
        <v>0</v>
      </c>
      <c r="J7" s="447">
        <f>landbouw!J8</f>
        <v>105.42251979679935</v>
      </c>
      <c r="K7" s="447">
        <f>landbouw!K8</f>
        <v>0</v>
      </c>
      <c r="L7" s="447">
        <f>landbouw!L8</f>
        <v>0</v>
      </c>
      <c r="M7" s="447">
        <f>landbouw!M8</f>
        <v>0</v>
      </c>
      <c r="N7" s="447">
        <f>landbouw!N8</f>
        <v>0</v>
      </c>
      <c r="O7" s="447">
        <f>landbouw!O8</f>
        <v>0</v>
      </c>
      <c r="P7" s="448">
        <f>landbouw!P8</f>
        <v>0</v>
      </c>
      <c r="Q7" s="446">
        <f t="shared" si="0"/>
        <v>10673.544310929899</v>
      </c>
    </row>
    <row r="8" spans="1:17">
      <c r="A8" s="446" t="s">
        <v>637</v>
      </c>
      <c r="B8" s="447">
        <f>industrie!B18</f>
        <v>200679.94400780706</v>
      </c>
      <c r="C8" s="447">
        <f>industrie!C18</f>
        <v>0</v>
      </c>
      <c r="D8" s="447">
        <f>industrie!D18</f>
        <v>268340.61013131042</v>
      </c>
      <c r="E8" s="447">
        <f>industrie!E18</f>
        <v>1227.3537641721573</v>
      </c>
      <c r="F8" s="447">
        <f>industrie!F18</f>
        <v>18608.827301569883</v>
      </c>
      <c r="G8" s="447">
        <f>industrie!G18</f>
        <v>0</v>
      </c>
      <c r="H8" s="447">
        <f>industrie!H18</f>
        <v>0</v>
      </c>
      <c r="I8" s="447">
        <f>industrie!I18</f>
        <v>0</v>
      </c>
      <c r="J8" s="447">
        <f>industrie!J18</f>
        <v>825.48263214897383</v>
      </c>
      <c r="K8" s="447">
        <f>industrie!K18</f>
        <v>0</v>
      </c>
      <c r="L8" s="447">
        <f>industrie!L18</f>
        <v>0</v>
      </c>
      <c r="M8" s="447">
        <f>industrie!M18</f>
        <v>0</v>
      </c>
      <c r="N8" s="447">
        <f>industrie!N18</f>
        <v>1975.2424650758219</v>
      </c>
      <c r="O8" s="447">
        <f>industrie!O18</f>
        <v>0</v>
      </c>
      <c r="P8" s="448">
        <f>industrie!P18</f>
        <v>0</v>
      </c>
      <c r="Q8" s="446">
        <f t="shared" si="0"/>
        <v>491657.46030208428</v>
      </c>
    </row>
    <row r="9" spans="1:17" s="452" customFormat="1">
      <c r="A9" s="450" t="s">
        <v>556</v>
      </c>
      <c r="B9" s="451">
        <f>transport!B14</f>
        <v>6.8427300179655344</v>
      </c>
      <c r="C9" s="451">
        <f>transport!C14</f>
        <v>0</v>
      </c>
      <c r="D9" s="451">
        <f>transport!D14</f>
        <v>21.589582572338394</v>
      </c>
      <c r="E9" s="451">
        <f>transport!E14</f>
        <v>2508.937014196033</v>
      </c>
      <c r="F9" s="451">
        <f>transport!F14</f>
        <v>0</v>
      </c>
      <c r="G9" s="451">
        <f>transport!G14</f>
        <v>471078.48328865832</v>
      </c>
      <c r="H9" s="451">
        <f>transport!H14</f>
        <v>73853.593044859896</v>
      </c>
      <c r="I9" s="451">
        <f>transport!I14</f>
        <v>0</v>
      </c>
      <c r="J9" s="451">
        <f>transport!J14</f>
        <v>0</v>
      </c>
      <c r="K9" s="451">
        <f>transport!K14</f>
        <v>0</v>
      </c>
      <c r="L9" s="451">
        <f>transport!L14</f>
        <v>0</v>
      </c>
      <c r="M9" s="451">
        <f>transport!M14</f>
        <v>23692.789273002352</v>
      </c>
      <c r="N9" s="451">
        <f>transport!N14</f>
        <v>0</v>
      </c>
      <c r="O9" s="451">
        <f>transport!O14</f>
        <v>0</v>
      </c>
      <c r="P9" s="451">
        <f>transport!P14</f>
        <v>0</v>
      </c>
      <c r="Q9" s="450">
        <f>SUM(B9:P9)</f>
        <v>571162.23493330681</v>
      </c>
    </row>
    <row r="10" spans="1:17">
      <c r="A10" s="446" t="s">
        <v>546</v>
      </c>
      <c r="B10" s="447">
        <f>transport!B54</f>
        <v>54.681191993330636</v>
      </c>
      <c r="C10" s="447">
        <f>transport!C54</f>
        <v>0</v>
      </c>
      <c r="D10" s="447">
        <f>transport!D54</f>
        <v>0</v>
      </c>
      <c r="E10" s="447">
        <f>transport!E54</f>
        <v>0</v>
      </c>
      <c r="F10" s="447">
        <f>transport!F54</f>
        <v>0</v>
      </c>
      <c r="G10" s="447">
        <f>transport!G54</f>
        <v>11862.535611530826</v>
      </c>
      <c r="H10" s="447">
        <f>transport!H54</f>
        <v>0</v>
      </c>
      <c r="I10" s="447">
        <f>transport!I54</f>
        <v>0</v>
      </c>
      <c r="J10" s="447">
        <f>transport!J54</f>
        <v>0</v>
      </c>
      <c r="K10" s="447">
        <f>transport!K54</f>
        <v>0</v>
      </c>
      <c r="L10" s="447">
        <f>transport!L54</f>
        <v>0</v>
      </c>
      <c r="M10" s="447">
        <f>transport!M54</f>
        <v>507.90820793236566</v>
      </c>
      <c r="N10" s="447">
        <f>transport!N54</f>
        <v>0</v>
      </c>
      <c r="O10" s="447">
        <f>transport!O54</f>
        <v>0</v>
      </c>
      <c r="P10" s="448">
        <f>transport!P54</f>
        <v>0</v>
      </c>
      <c r="Q10" s="446">
        <f t="shared" si="0"/>
        <v>12425.125011456521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7509.0889134424406</v>
      </c>
      <c r="C14" s="454"/>
      <c r="D14" s="454">
        <f>'SEAP template'!E25</f>
        <v>20184.4527821847</v>
      </c>
      <c r="E14" s="454"/>
      <c r="F14" s="454"/>
      <c r="G14" s="454"/>
      <c r="H14" s="454"/>
      <c r="I14" s="454"/>
      <c r="J14" s="454"/>
      <c r="K14" s="454"/>
      <c r="L14" s="454"/>
      <c r="M14" s="454"/>
      <c r="N14" s="454"/>
      <c r="O14" s="454"/>
      <c r="P14" s="455"/>
      <c r="Q14" s="446">
        <f t="shared" si="0"/>
        <v>27693.54169562714</v>
      </c>
    </row>
    <row r="15" spans="1:17" s="459" customFormat="1">
      <c r="A15" s="456" t="s">
        <v>550</v>
      </c>
      <c r="B15" s="457">
        <f ca="1">SUM(B4:B14)</f>
        <v>541035.82081270625</v>
      </c>
      <c r="C15" s="457">
        <f t="shared" ref="C15:Q15" ca="1" si="1">SUM(C4:C14)</f>
        <v>0</v>
      </c>
      <c r="D15" s="457">
        <f t="shared" ca="1" si="1"/>
        <v>882450.6011818659</v>
      </c>
      <c r="E15" s="457">
        <f t="shared" si="1"/>
        <v>12729.63447415625</v>
      </c>
      <c r="F15" s="457">
        <f t="shared" ca="1" si="1"/>
        <v>200657.10172990165</v>
      </c>
      <c r="G15" s="457">
        <f t="shared" si="1"/>
        <v>482941.01890018914</v>
      </c>
      <c r="H15" s="457">
        <f t="shared" si="1"/>
        <v>73853.593044859896</v>
      </c>
      <c r="I15" s="457">
        <f t="shared" si="1"/>
        <v>0</v>
      </c>
      <c r="J15" s="457">
        <f t="shared" si="1"/>
        <v>4040.163367952573</v>
      </c>
      <c r="K15" s="457">
        <f t="shared" si="1"/>
        <v>0</v>
      </c>
      <c r="L15" s="457">
        <f t="shared" ca="1" si="1"/>
        <v>0</v>
      </c>
      <c r="M15" s="457">
        <f t="shared" si="1"/>
        <v>24200.697480934719</v>
      </c>
      <c r="N15" s="457">
        <f t="shared" ca="1" si="1"/>
        <v>46570.054502773251</v>
      </c>
      <c r="O15" s="457">
        <f t="shared" si="1"/>
        <v>217.30333333333334</v>
      </c>
      <c r="P15" s="457">
        <f t="shared" si="1"/>
        <v>343.20000000000005</v>
      </c>
      <c r="Q15" s="457">
        <f t="shared" ca="1" si="1"/>
        <v>2269039.1888286727</v>
      </c>
    </row>
    <row r="17" spans="1:17">
      <c r="A17" s="460" t="s">
        <v>551</v>
      </c>
      <c r="B17" s="764">
        <f ca="1">huishoudens!B10</f>
        <v>0.21842856141132069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26222.691559044666</v>
      </c>
      <c r="C22" s="447">
        <f t="shared" ref="C22:C32" ca="1" si="3">C4*$C$17</f>
        <v>0</v>
      </c>
      <c r="D22" s="447">
        <f t="shared" ref="D22:D32" si="4">D4*$D$17</f>
        <v>75708.908196411823</v>
      </c>
      <c r="E22" s="447">
        <f t="shared" ref="E22:E32" si="5">E4*$E$17</f>
        <v>918.2711479228567</v>
      </c>
      <c r="F22" s="447">
        <f t="shared" ref="F22:F32" si="6">F4*$F$17</f>
        <v>36867.913606689435</v>
      </c>
      <c r="G22" s="447">
        <f t="shared" ref="G22:G32" si="7">G4*$G$17</f>
        <v>0</v>
      </c>
      <c r="H22" s="447">
        <f t="shared" ref="H22:H32" si="8">H4*$H$17</f>
        <v>0</v>
      </c>
      <c r="I22" s="447">
        <f t="shared" ref="I22:I32" si="9">I4*$I$17</f>
        <v>0</v>
      </c>
      <c r="J22" s="447">
        <f t="shared" ref="J22:J32" si="10">J4*$J$17</f>
        <v>1100.6774084664071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140818.46191853521</v>
      </c>
    </row>
    <row r="23" spans="1:17">
      <c r="A23" s="446" t="s">
        <v>149</v>
      </c>
      <c r="B23" s="447">
        <f t="shared" ca="1" si="2"/>
        <v>45241.381880633395</v>
      </c>
      <c r="C23" s="447">
        <f t="shared" ca="1" si="3"/>
        <v>0</v>
      </c>
      <c r="D23" s="447">
        <f t="shared" ca="1" si="4"/>
        <v>43386.601005264652</v>
      </c>
      <c r="E23" s="447">
        <f t="shared" si="5"/>
        <v>1120.4117731515282</v>
      </c>
      <c r="F23" s="447">
        <f t="shared" ca="1" si="6"/>
        <v>10389.793878488998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100138.18853753858</v>
      </c>
    </row>
    <row r="24" spans="1:17">
      <c r="A24" s="446" t="s">
        <v>187</v>
      </c>
      <c r="B24" s="447">
        <f t="shared" ca="1" si="2"/>
        <v>967.89452532612461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967.89452532612461</v>
      </c>
    </row>
    <row r="25" spans="1:17">
      <c r="A25" s="446" t="s">
        <v>105</v>
      </c>
      <c r="B25" s="447">
        <f t="shared" ca="1" si="2"/>
        <v>257.83850272839584</v>
      </c>
      <c r="C25" s="447">
        <f t="shared" ca="1" si="3"/>
        <v>0</v>
      </c>
      <c r="D25" s="447">
        <f t="shared" si="4"/>
        <v>873.08843285480543</v>
      </c>
      <c r="E25" s="447">
        <f t="shared" si="5"/>
        <v>2.8060978695043257</v>
      </c>
      <c r="F25" s="447">
        <f t="shared" si="6"/>
        <v>1349.1817871861454</v>
      </c>
      <c r="G25" s="447">
        <f t="shared" si="7"/>
        <v>0</v>
      </c>
      <c r="H25" s="447">
        <f t="shared" si="8"/>
        <v>0</v>
      </c>
      <c r="I25" s="447">
        <f t="shared" si="9"/>
        <v>0</v>
      </c>
      <c r="J25" s="447">
        <f t="shared" si="10"/>
        <v>37.31957200806697</v>
      </c>
      <c r="K25" s="447">
        <f t="shared" si="11"/>
        <v>0</v>
      </c>
      <c r="L25" s="447">
        <f t="shared" si="12"/>
        <v>0</v>
      </c>
      <c r="M25" s="447">
        <f t="shared" si="13"/>
        <v>0</v>
      </c>
      <c r="N25" s="447">
        <f t="shared" si="14"/>
        <v>0</v>
      </c>
      <c r="O25" s="447">
        <f t="shared" si="15"/>
        <v>0</v>
      </c>
      <c r="P25" s="448">
        <f t="shared" si="16"/>
        <v>0</v>
      </c>
      <c r="Q25" s="446">
        <f t="shared" ca="1" si="17"/>
        <v>2520.234392646918</v>
      </c>
    </row>
    <row r="26" spans="1:17">
      <c r="A26" s="446" t="s">
        <v>637</v>
      </c>
      <c r="B26" s="447">
        <f t="shared" ca="1" si="2"/>
        <v>43834.231473729684</v>
      </c>
      <c r="C26" s="447">
        <f t="shared" ca="1" si="3"/>
        <v>0</v>
      </c>
      <c r="D26" s="447">
        <f t="shared" si="4"/>
        <v>54204.803246524709</v>
      </c>
      <c r="E26" s="447">
        <f t="shared" si="5"/>
        <v>278.60930446707971</v>
      </c>
      <c r="F26" s="447">
        <f t="shared" si="6"/>
        <v>4968.5568895191591</v>
      </c>
      <c r="G26" s="447">
        <f t="shared" si="7"/>
        <v>0</v>
      </c>
      <c r="H26" s="447">
        <f t="shared" si="8"/>
        <v>0</v>
      </c>
      <c r="I26" s="447">
        <f t="shared" si="9"/>
        <v>0</v>
      </c>
      <c r="J26" s="447">
        <f t="shared" si="10"/>
        <v>292.22085178073672</v>
      </c>
      <c r="K26" s="447">
        <f t="shared" si="11"/>
        <v>0</v>
      </c>
      <c r="L26" s="447">
        <f t="shared" si="12"/>
        <v>0</v>
      </c>
      <c r="M26" s="447">
        <f t="shared" si="13"/>
        <v>0</v>
      </c>
      <c r="N26" s="447">
        <f t="shared" si="14"/>
        <v>0</v>
      </c>
      <c r="O26" s="447">
        <f t="shared" si="15"/>
        <v>0</v>
      </c>
      <c r="P26" s="448">
        <f t="shared" si="16"/>
        <v>0</v>
      </c>
      <c r="Q26" s="446">
        <f t="shared" ca="1" si="17"/>
        <v>103578.42176602136</v>
      </c>
    </row>
    <row r="27" spans="1:17" s="452" customFormat="1">
      <c r="A27" s="450" t="s">
        <v>556</v>
      </c>
      <c r="B27" s="758">
        <f t="shared" ca="1" si="2"/>
        <v>1.4946476739502723</v>
      </c>
      <c r="C27" s="451">
        <f t="shared" ca="1" si="3"/>
        <v>0</v>
      </c>
      <c r="D27" s="451">
        <f t="shared" si="4"/>
        <v>4.3610956796123554</v>
      </c>
      <c r="E27" s="451">
        <f t="shared" si="5"/>
        <v>569.52870222249953</v>
      </c>
      <c r="F27" s="451">
        <f t="shared" si="6"/>
        <v>0</v>
      </c>
      <c r="G27" s="451">
        <f t="shared" si="7"/>
        <v>125777.95503807178</v>
      </c>
      <c r="H27" s="451">
        <f t="shared" si="8"/>
        <v>18389.544668170114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144742.88415181794</v>
      </c>
    </row>
    <row r="28" spans="1:17">
      <c r="A28" s="446" t="s">
        <v>546</v>
      </c>
      <c r="B28" s="447">
        <f t="shared" ca="1" si="2"/>
        <v>11.943934103359439</v>
      </c>
      <c r="C28" s="447">
        <f t="shared" ca="1" si="3"/>
        <v>0</v>
      </c>
      <c r="D28" s="447">
        <f t="shared" si="4"/>
        <v>0</v>
      </c>
      <c r="E28" s="447">
        <f t="shared" si="5"/>
        <v>0</v>
      </c>
      <c r="F28" s="447">
        <f t="shared" si="6"/>
        <v>0</v>
      </c>
      <c r="G28" s="447">
        <f t="shared" si="7"/>
        <v>3167.2970082787306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3179.24094238209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1640.1994888729296</v>
      </c>
      <c r="C32" s="447">
        <f t="shared" ca="1" si="3"/>
        <v>0</v>
      </c>
      <c r="D32" s="447">
        <f t="shared" si="4"/>
        <v>4077.2594620013097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5717.4589508742392</v>
      </c>
    </row>
    <row r="33" spans="1:17" s="459" customFormat="1">
      <c r="A33" s="456" t="s">
        <v>550</v>
      </c>
      <c r="B33" s="457">
        <f ca="1">SUM(B22:B32)</f>
        <v>118177.6760121125</v>
      </c>
      <c r="C33" s="457">
        <f t="shared" ref="C33:Q33" ca="1" si="19">SUM(C22:C32)</f>
        <v>0</v>
      </c>
      <c r="D33" s="457">
        <f t="shared" ca="1" si="19"/>
        <v>178255.02143873688</v>
      </c>
      <c r="E33" s="457">
        <f t="shared" si="19"/>
        <v>2889.6270256334683</v>
      </c>
      <c r="F33" s="457">
        <f t="shared" ca="1" si="19"/>
        <v>53575.446161883738</v>
      </c>
      <c r="G33" s="457">
        <f t="shared" si="19"/>
        <v>128945.25204635052</v>
      </c>
      <c r="H33" s="457">
        <f t="shared" si="19"/>
        <v>18389.544668170114</v>
      </c>
      <c r="I33" s="457">
        <f t="shared" si="19"/>
        <v>0</v>
      </c>
      <c r="J33" s="457">
        <f t="shared" si="19"/>
        <v>1430.2178322552106</v>
      </c>
      <c r="K33" s="457">
        <f t="shared" si="19"/>
        <v>0</v>
      </c>
      <c r="L33" s="457">
        <f t="shared" ca="1" si="19"/>
        <v>0</v>
      </c>
      <c r="M33" s="457">
        <f t="shared" si="19"/>
        <v>0</v>
      </c>
      <c r="N33" s="457">
        <f t="shared" ca="1" si="19"/>
        <v>0</v>
      </c>
      <c r="O33" s="457">
        <f t="shared" si="19"/>
        <v>0</v>
      </c>
      <c r="P33" s="457">
        <f t="shared" si="19"/>
        <v>0</v>
      </c>
      <c r="Q33" s="457">
        <f t="shared" ca="1" si="19"/>
        <v>501662.78518514242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441</v>
      </c>
      <c r="C5" s="1006"/>
      <c r="D5" s="1006"/>
      <c r="E5" s="1006"/>
      <c r="F5" s="1006"/>
      <c r="G5" s="1006"/>
      <c r="H5" s="1006"/>
      <c r="I5" s="1006"/>
      <c r="J5" s="1006"/>
      <c r="K5" s="1006"/>
      <c r="L5" s="1006"/>
      <c r="M5" s="1006"/>
      <c r="N5" s="1006"/>
      <c r="O5" s="1006"/>
      <c r="P5" s="1007">
        <f>'SEAP template'!Q73</f>
        <v>0</v>
      </c>
    </row>
    <row r="6" spans="1:16">
      <c r="A6" s="1008" t="s">
        <v>240</v>
      </c>
      <c r="B6" s="1006">
        <f>'SEAP template'!B74</f>
        <v>5854.2053732831391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6295.2053732831391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0.21842856141132069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0.21842856141132069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0.21842856141132069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0.21842856141132069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34874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1886</v>
      </c>
      <c r="C14" s="326"/>
      <c r="D14" s="326"/>
      <c r="E14" s="326"/>
      <c r="F14" s="326"/>
    </row>
    <row r="15" spans="1:6">
      <c r="A15" s="1280" t="s">
        <v>177</v>
      </c>
      <c r="B15" s="1281">
        <v>6</v>
      </c>
      <c r="C15" s="326"/>
      <c r="D15" s="326"/>
      <c r="E15" s="326"/>
      <c r="F15" s="326"/>
    </row>
    <row r="16" spans="1:6">
      <c r="A16" s="1280" t="s">
        <v>6</v>
      </c>
      <c r="B16" s="1281">
        <v>245</v>
      </c>
      <c r="C16" s="326"/>
      <c r="D16" s="326"/>
      <c r="E16" s="326"/>
      <c r="F16" s="326"/>
    </row>
    <row r="17" spans="1:6">
      <c r="A17" s="1280" t="s">
        <v>7</v>
      </c>
      <c r="B17" s="1281">
        <v>330</v>
      </c>
      <c r="C17" s="326"/>
      <c r="D17" s="326"/>
      <c r="E17" s="326"/>
      <c r="F17" s="326"/>
    </row>
    <row r="18" spans="1:6">
      <c r="A18" s="1280" t="s">
        <v>8</v>
      </c>
      <c r="B18" s="1281">
        <v>415</v>
      </c>
      <c r="C18" s="326"/>
      <c r="D18" s="326"/>
      <c r="E18" s="326"/>
      <c r="F18" s="326"/>
    </row>
    <row r="19" spans="1:6">
      <c r="A19" s="1280" t="s">
        <v>9</v>
      </c>
      <c r="B19" s="1281">
        <v>386</v>
      </c>
      <c r="C19" s="326"/>
      <c r="D19" s="326"/>
      <c r="E19" s="326"/>
      <c r="F19" s="326"/>
    </row>
    <row r="20" spans="1:6">
      <c r="A20" s="1280" t="s">
        <v>10</v>
      </c>
      <c r="B20" s="1281">
        <v>513</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222</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304</v>
      </c>
      <c r="C29" s="326"/>
      <c r="D29" s="326"/>
      <c r="E29" s="326"/>
      <c r="F29" s="326"/>
    </row>
    <row r="30" spans="1:6">
      <c r="A30" s="1275" t="s">
        <v>973</v>
      </c>
      <c r="B30" s="1283">
        <v>111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12896.373719757999</v>
      </c>
    </row>
    <row r="36" spans="1:6">
      <c r="A36" s="1280" t="s">
        <v>24</v>
      </c>
      <c r="B36" s="1280" t="s">
        <v>26</v>
      </c>
      <c r="C36" s="1281">
        <v>12</v>
      </c>
      <c r="D36" s="1281">
        <v>3349396.94707258</v>
      </c>
      <c r="E36" s="1281">
        <v>11</v>
      </c>
      <c r="F36" s="1281">
        <v>1407103.5489314101</v>
      </c>
    </row>
    <row r="37" spans="1:6">
      <c r="A37" s="1280" t="s">
        <v>24</v>
      </c>
      <c r="B37" s="1280" t="s">
        <v>27</v>
      </c>
      <c r="C37" s="1281">
        <v>0</v>
      </c>
      <c r="D37" s="1281">
        <v>0</v>
      </c>
      <c r="E37" s="1281">
        <v>0</v>
      </c>
      <c r="F37" s="1281">
        <v>0</v>
      </c>
    </row>
    <row r="38" spans="1:6">
      <c r="A38" s="1280" t="s">
        <v>24</v>
      </c>
      <c r="B38" s="1280" t="s">
        <v>28</v>
      </c>
      <c r="C38" s="1281">
        <v>0</v>
      </c>
      <c r="D38" s="1281">
        <v>0</v>
      </c>
      <c r="E38" s="1281">
        <v>6</v>
      </c>
      <c r="F38" s="1281">
        <v>98946.670058745498</v>
      </c>
    </row>
    <row r="39" spans="1:6">
      <c r="A39" s="1280" t="s">
        <v>29</v>
      </c>
      <c r="B39" s="1280" t="s">
        <v>30</v>
      </c>
      <c r="C39" s="1281">
        <v>27875</v>
      </c>
      <c r="D39" s="1281">
        <v>415517267.43875998</v>
      </c>
      <c r="E39" s="1281">
        <v>35273</v>
      </c>
      <c r="F39" s="1281">
        <v>116874543.205061</v>
      </c>
    </row>
    <row r="40" spans="1:6">
      <c r="A40" s="1280" t="s">
        <v>29</v>
      </c>
      <c r="B40" s="1280" t="s">
        <v>28</v>
      </c>
      <c r="C40" s="1281">
        <v>0</v>
      </c>
      <c r="D40" s="1281">
        <v>0</v>
      </c>
      <c r="E40" s="1281">
        <v>0</v>
      </c>
      <c r="F40" s="1281">
        <v>0</v>
      </c>
    </row>
    <row r="41" spans="1:6">
      <c r="A41" s="1280" t="s">
        <v>31</v>
      </c>
      <c r="B41" s="1280" t="s">
        <v>32</v>
      </c>
      <c r="C41" s="1281">
        <v>178</v>
      </c>
      <c r="D41" s="1281">
        <v>10796863.083974401</v>
      </c>
      <c r="E41" s="1281">
        <v>368</v>
      </c>
      <c r="F41" s="1281">
        <v>12662426.589093501</v>
      </c>
    </row>
    <row r="42" spans="1:6">
      <c r="A42" s="1280" t="s">
        <v>31</v>
      </c>
      <c r="B42" s="1280" t="s">
        <v>33</v>
      </c>
      <c r="C42" s="1281">
        <v>4</v>
      </c>
      <c r="D42" s="1281">
        <v>37884032.204980403</v>
      </c>
      <c r="E42" s="1281">
        <v>7</v>
      </c>
      <c r="F42" s="1281">
        <v>130708843.669193</v>
      </c>
    </row>
    <row r="43" spans="1:6">
      <c r="A43" s="1280" t="s">
        <v>31</v>
      </c>
      <c r="B43" s="1280" t="s">
        <v>34</v>
      </c>
      <c r="C43" s="1281">
        <v>0</v>
      </c>
      <c r="D43" s="1281">
        <v>0</v>
      </c>
      <c r="E43" s="1281">
        <v>0</v>
      </c>
      <c r="F43" s="1281">
        <v>0</v>
      </c>
    </row>
    <row r="44" spans="1:6">
      <c r="A44" s="1280" t="s">
        <v>31</v>
      </c>
      <c r="B44" s="1280" t="s">
        <v>35</v>
      </c>
      <c r="C44" s="1281">
        <v>18</v>
      </c>
      <c r="D44" s="1281">
        <v>40024462.682792403</v>
      </c>
      <c r="E44" s="1281">
        <v>28</v>
      </c>
      <c r="F44" s="1281">
        <v>34720374.439715199</v>
      </c>
    </row>
    <row r="45" spans="1:6">
      <c r="A45" s="1280" t="s">
        <v>31</v>
      </c>
      <c r="B45" s="1280" t="s">
        <v>36</v>
      </c>
      <c r="C45" s="1281">
        <v>0</v>
      </c>
      <c r="D45" s="1281">
        <v>0</v>
      </c>
      <c r="E45" s="1281">
        <v>7</v>
      </c>
      <c r="F45" s="1281">
        <v>127836.814834085</v>
      </c>
    </row>
    <row r="46" spans="1:6">
      <c r="A46" s="1280" t="s">
        <v>31</v>
      </c>
      <c r="B46" s="1280" t="s">
        <v>37</v>
      </c>
      <c r="C46" s="1281">
        <v>0</v>
      </c>
      <c r="D46" s="1281">
        <v>0</v>
      </c>
      <c r="E46" s="1281">
        <v>0</v>
      </c>
      <c r="F46" s="1281">
        <v>0</v>
      </c>
    </row>
    <row r="47" spans="1:6">
      <c r="A47" s="1280" t="s">
        <v>31</v>
      </c>
      <c r="B47" s="1280" t="s">
        <v>38</v>
      </c>
      <c r="C47" s="1281">
        <v>25</v>
      </c>
      <c r="D47" s="1281">
        <v>6194653.5141264601</v>
      </c>
      <c r="E47" s="1281">
        <v>36</v>
      </c>
      <c r="F47" s="1281">
        <v>5585896.7413603803</v>
      </c>
    </row>
    <row r="48" spans="1:6">
      <c r="A48" s="1280" t="s">
        <v>31</v>
      </c>
      <c r="B48" s="1280" t="s">
        <v>28</v>
      </c>
      <c r="C48" s="1281">
        <v>89</v>
      </c>
      <c r="D48" s="1281">
        <v>200375745.23944801</v>
      </c>
      <c r="E48" s="1281">
        <v>107</v>
      </c>
      <c r="F48" s="1281">
        <v>14453256.624745101</v>
      </c>
    </row>
    <row r="49" spans="1:6">
      <c r="A49" s="1280" t="s">
        <v>31</v>
      </c>
      <c r="B49" s="1280" t="s">
        <v>39</v>
      </c>
      <c r="C49" s="1281">
        <v>3</v>
      </c>
      <c r="D49" s="1281">
        <v>44120.636670141903</v>
      </c>
      <c r="E49" s="1281">
        <v>3</v>
      </c>
      <c r="F49" s="1281">
        <v>8051.6258466312001</v>
      </c>
    </row>
    <row r="50" spans="1:6">
      <c r="A50" s="1280" t="s">
        <v>31</v>
      </c>
      <c r="B50" s="1280" t="s">
        <v>40</v>
      </c>
      <c r="C50" s="1281">
        <v>30</v>
      </c>
      <c r="D50" s="1281">
        <v>2175255.8212791001</v>
      </c>
      <c r="E50" s="1281">
        <v>68</v>
      </c>
      <c r="F50" s="1281">
        <v>2413257.5030191699</v>
      </c>
    </row>
    <row r="51" spans="1:6">
      <c r="A51" s="1280" t="s">
        <v>41</v>
      </c>
      <c r="B51" s="1280" t="s">
        <v>42</v>
      </c>
      <c r="C51" s="1281">
        <v>17</v>
      </c>
      <c r="D51" s="1281">
        <v>4267808.1632251898</v>
      </c>
      <c r="E51" s="1281">
        <v>90</v>
      </c>
      <c r="F51" s="1281">
        <v>1060795.70878494</v>
      </c>
    </row>
    <row r="52" spans="1:6">
      <c r="A52" s="1280" t="s">
        <v>41</v>
      </c>
      <c r="B52" s="1280" t="s">
        <v>28</v>
      </c>
      <c r="C52" s="1281">
        <v>6</v>
      </c>
      <c r="D52" s="1281">
        <v>524009.97937763698</v>
      </c>
      <c r="E52" s="1281">
        <v>18</v>
      </c>
      <c r="F52" s="1281">
        <v>119629.14528376699</v>
      </c>
    </row>
    <row r="53" spans="1:6">
      <c r="A53" s="1280" t="s">
        <v>43</v>
      </c>
      <c r="B53" s="1280" t="s">
        <v>44</v>
      </c>
      <c r="C53" s="1281">
        <v>1022</v>
      </c>
      <c r="D53" s="1281">
        <v>20184452.782184701</v>
      </c>
      <c r="E53" s="1281">
        <v>1566</v>
      </c>
      <c r="F53" s="1281">
        <v>7509088.9134424403</v>
      </c>
    </row>
    <row r="54" spans="1:6">
      <c r="A54" s="1280" t="s">
        <v>45</v>
      </c>
      <c r="B54" s="1280" t="s">
        <v>46</v>
      </c>
      <c r="C54" s="1281">
        <v>0</v>
      </c>
      <c r="D54" s="1281">
        <v>0</v>
      </c>
      <c r="E54" s="1281">
        <v>1</v>
      </c>
      <c r="F54" s="1281">
        <v>4431172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308</v>
      </c>
      <c r="D57" s="1281">
        <v>37921595.808013797</v>
      </c>
      <c r="E57" s="1281">
        <v>519</v>
      </c>
      <c r="F57" s="1281">
        <v>14895933.1356721</v>
      </c>
    </row>
    <row r="58" spans="1:6">
      <c r="A58" s="1280" t="s">
        <v>48</v>
      </c>
      <c r="B58" s="1280" t="s">
        <v>50</v>
      </c>
      <c r="C58" s="1281">
        <v>162</v>
      </c>
      <c r="D58" s="1281">
        <v>14742152.2232644</v>
      </c>
      <c r="E58" s="1281">
        <v>242</v>
      </c>
      <c r="F58" s="1281">
        <v>10927694.846279399</v>
      </c>
    </row>
    <row r="59" spans="1:6">
      <c r="A59" s="1280" t="s">
        <v>48</v>
      </c>
      <c r="B59" s="1280" t="s">
        <v>51</v>
      </c>
      <c r="C59" s="1281">
        <v>690</v>
      </c>
      <c r="D59" s="1281">
        <v>41816820.647279397</v>
      </c>
      <c r="E59" s="1281">
        <v>1088</v>
      </c>
      <c r="F59" s="1281">
        <v>47094501.301573202</v>
      </c>
    </row>
    <row r="60" spans="1:6">
      <c r="A60" s="1280" t="s">
        <v>48</v>
      </c>
      <c r="B60" s="1280" t="s">
        <v>52</v>
      </c>
      <c r="C60" s="1281">
        <v>283</v>
      </c>
      <c r="D60" s="1281">
        <v>19098047.126015902</v>
      </c>
      <c r="E60" s="1281">
        <v>340</v>
      </c>
      <c r="F60" s="1281">
        <v>13451531.4552211</v>
      </c>
    </row>
    <row r="61" spans="1:6">
      <c r="A61" s="1280" t="s">
        <v>48</v>
      </c>
      <c r="B61" s="1280" t="s">
        <v>53</v>
      </c>
      <c r="C61" s="1281">
        <v>1135</v>
      </c>
      <c r="D61" s="1281">
        <v>82452789.816633105</v>
      </c>
      <c r="E61" s="1281">
        <v>2258</v>
      </c>
      <c r="F61" s="1281">
        <v>102411279.856176</v>
      </c>
    </row>
    <row r="62" spans="1:6">
      <c r="A62" s="1280" t="s">
        <v>48</v>
      </c>
      <c r="B62" s="1280" t="s">
        <v>54</v>
      </c>
      <c r="C62" s="1281">
        <v>120</v>
      </c>
      <c r="D62" s="1281">
        <v>26782616.790833399</v>
      </c>
      <c r="E62" s="1281">
        <v>112</v>
      </c>
      <c r="F62" s="1281">
        <v>6690152.0153177604</v>
      </c>
    </row>
    <row r="63" spans="1:6">
      <c r="A63" s="1280" t="s">
        <v>48</v>
      </c>
      <c r="B63" s="1280" t="s">
        <v>28</v>
      </c>
      <c r="C63" s="1281">
        <v>214</v>
      </c>
      <c r="D63" s="1281">
        <v>15306990.3278815</v>
      </c>
      <c r="E63" s="1281">
        <v>274</v>
      </c>
      <c r="F63" s="1281">
        <v>11651005.2890356</v>
      </c>
    </row>
    <row r="64" spans="1:6">
      <c r="A64" s="1280" t="s">
        <v>55</v>
      </c>
      <c r="B64" s="1280" t="s">
        <v>56</v>
      </c>
      <c r="C64" s="1281">
        <v>0</v>
      </c>
      <c r="D64" s="1281">
        <v>0</v>
      </c>
      <c r="E64" s="1281">
        <v>0</v>
      </c>
      <c r="F64" s="1281">
        <v>0</v>
      </c>
    </row>
    <row r="65" spans="1:6">
      <c r="A65" s="1280" t="s">
        <v>55</v>
      </c>
      <c r="B65" s="1280" t="s">
        <v>28</v>
      </c>
      <c r="C65" s="1281">
        <v>2</v>
      </c>
      <c r="D65" s="1281">
        <v>28076.8760517222</v>
      </c>
      <c r="E65" s="1281">
        <v>4</v>
      </c>
      <c r="F65" s="1281">
        <v>21249.753988748002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23</v>
      </c>
      <c r="D68" s="1283">
        <v>4721742.9254212296</v>
      </c>
      <c r="E68" s="1283">
        <v>39</v>
      </c>
      <c r="F68" s="1283">
        <v>4751249.6209440799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214269459</v>
      </c>
      <c r="E73" s="445"/>
      <c r="F73" s="326"/>
    </row>
    <row r="74" spans="1:6">
      <c r="A74" s="1280" t="s">
        <v>63</v>
      </c>
      <c r="B74" s="1280" t="s">
        <v>754</v>
      </c>
      <c r="C74" s="1293" t="s">
        <v>755</v>
      </c>
      <c r="D74" s="1281">
        <v>14055077.288319357</v>
      </c>
      <c r="E74" s="445"/>
      <c r="F74" s="326"/>
    </row>
    <row r="75" spans="1:6">
      <c r="A75" s="1280" t="s">
        <v>64</v>
      </c>
      <c r="B75" s="1280" t="s">
        <v>752</v>
      </c>
      <c r="C75" s="1293" t="s">
        <v>756</v>
      </c>
      <c r="D75" s="1281">
        <v>50128844</v>
      </c>
      <c r="E75" s="445"/>
      <c r="F75" s="326"/>
    </row>
    <row r="76" spans="1:6">
      <c r="A76" s="1280" t="s">
        <v>64</v>
      </c>
      <c r="B76" s="1280" t="s">
        <v>754</v>
      </c>
      <c r="C76" s="1293" t="s">
        <v>757</v>
      </c>
      <c r="D76" s="1281">
        <v>1149574.2883193577</v>
      </c>
      <c r="E76" s="445"/>
      <c r="F76" s="326"/>
    </row>
    <row r="77" spans="1:6">
      <c r="A77" s="1280" t="s">
        <v>65</v>
      </c>
      <c r="B77" s="1280" t="s">
        <v>752</v>
      </c>
      <c r="C77" s="1293" t="s">
        <v>758</v>
      </c>
      <c r="D77" s="1281">
        <v>351523169</v>
      </c>
      <c r="E77" s="445"/>
      <c r="F77" s="326"/>
    </row>
    <row r="78" spans="1:6">
      <c r="A78" s="1275" t="s">
        <v>65</v>
      </c>
      <c r="B78" s="1275" t="s">
        <v>754</v>
      </c>
      <c r="C78" s="1275" t="s">
        <v>759</v>
      </c>
      <c r="D78" s="1283">
        <v>43841055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3253555.4233612847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441</v>
      </c>
      <c r="C89" s="326"/>
      <c r="D89" s="326"/>
      <c r="E89" s="326"/>
      <c r="F89" s="326"/>
    </row>
    <row r="90" spans="1:6">
      <c r="A90" s="1280" t="s">
        <v>544</v>
      </c>
      <c r="B90" s="1281">
        <v>0</v>
      </c>
      <c r="C90" s="326"/>
      <c r="D90" s="326"/>
      <c r="E90" s="326"/>
      <c r="F90" s="326"/>
    </row>
    <row r="91" spans="1:6">
      <c r="A91" s="1280" t="s">
        <v>67</v>
      </c>
      <c r="B91" s="1281">
        <v>3177.0260110405975</v>
      </c>
      <c r="C91" s="326"/>
      <c r="D91" s="326"/>
      <c r="E91" s="326"/>
      <c r="F91" s="326"/>
    </row>
    <row r="92" spans="1:6">
      <c r="A92" s="1275" t="s">
        <v>68</v>
      </c>
      <c r="B92" s="1276">
        <v>2677.1793622425416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22345</v>
      </c>
      <c r="C97" s="326"/>
      <c r="D97" s="326"/>
      <c r="E97" s="326"/>
      <c r="F97" s="326"/>
    </row>
    <row r="98" spans="1:6">
      <c r="A98" s="1280" t="s">
        <v>71</v>
      </c>
      <c r="B98" s="1281">
        <v>44</v>
      </c>
      <c r="C98" s="326"/>
      <c r="D98" s="326"/>
      <c r="E98" s="326"/>
      <c r="F98" s="326"/>
    </row>
    <row r="99" spans="1:6">
      <c r="A99" s="1280" t="s">
        <v>72</v>
      </c>
      <c r="B99" s="1281">
        <v>106</v>
      </c>
      <c r="C99" s="326"/>
      <c r="D99" s="326"/>
      <c r="E99" s="326"/>
      <c r="F99" s="326"/>
    </row>
    <row r="100" spans="1:6">
      <c r="A100" s="1280" t="s">
        <v>73</v>
      </c>
      <c r="B100" s="1281">
        <v>1577</v>
      </c>
      <c r="C100" s="326"/>
      <c r="D100" s="326"/>
      <c r="E100" s="326"/>
      <c r="F100" s="326"/>
    </row>
    <row r="101" spans="1:6">
      <c r="A101" s="1280" t="s">
        <v>74</v>
      </c>
      <c r="B101" s="1281">
        <v>147</v>
      </c>
      <c r="C101" s="326"/>
      <c r="D101" s="326"/>
      <c r="E101" s="326"/>
      <c r="F101" s="326"/>
    </row>
    <row r="102" spans="1:6">
      <c r="A102" s="1280" t="s">
        <v>75</v>
      </c>
      <c r="B102" s="1281">
        <v>648</v>
      </c>
      <c r="C102" s="326"/>
      <c r="D102" s="326"/>
      <c r="E102" s="326"/>
      <c r="F102" s="326"/>
    </row>
    <row r="103" spans="1:6">
      <c r="A103" s="1280" t="s">
        <v>76</v>
      </c>
      <c r="B103" s="1281">
        <v>662</v>
      </c>
      <c r="C103" s="326"/>
      <c r="D103" s="326"/>
      <c r="E103" s="326"/>
      <c r="F103" s="326"/>
    </row>
    <row r="104" spans="1:6">
      <c r="A104" s="1280" t="s">
        <v>77</v>
      </c>
      <c r="B104" s="1281">
        <v>5761</v>
      </c>
      <c r="C104" s="326"/>
      <c r="D104" s="326"/>
      <c r="E104" s="326"/>
      <c r="F104" s="326"/>
    </row>
    <row r="105" spans="1:6">
      <c r="A105" s="1275" t="s">
        <v>78</v>
      </c>
      <c r="B105" s="1283">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26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112</v>
      </c>
      <c r="C129" s="326"/>
      <c r="D129" s="326"/>
      <c r="E129" s="326"/>
      <c r="F129" s="326"/>
    </row>
    <row r="130" spans="1:6">
      <c r="A130" s="1280" t="s">
        <v>284</v>
      </c>
      <c r="B130" s="1281">
        <v>1</v>
      </c>
      <c r="C130" s="326"/>
      <c r="D130" s="326"/>
      <c r="E130" s="326"/>
      <c r="F130" s="326"/>
    </row>
    <row r="131" spans="1:6">
      <c r="A131" s="1280" t="s">
        <v>285</v>
      </c>
      <c r="B131" s="1281">
        <v>6</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541035.82081270614</v>
      </c>
      <c r="C3" s="43" t="s">
        <v>163</v>
      </c>
      <c r="D3" s="43"/>
      <c r="E3" s="156"/>
      <c r="F3" s="43"/>
      <c r="G3" s="43"/>
      <c r="H3" s="43"/>
      <c r="I3" s="43"/>
      <c r="J3" s="43"/>
      <c r="K3" s="96"/>
    </row>
    <row r="4" spans="1:11">
      <c r="A4" s="352" t="s">
        <v>164</v>
      </c>
      <c r="B4" s="49">
        <f>IF(ISERROR('SEAP template'!B78+'SEAP template'!C78),0,'SEAP template'!B78+'SEAP template'!C78)</f>
        <v>6295.2053732831391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0.21842856141132069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4431.1719999999996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4431.1719999999996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0.21842856141132069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967.89452532612461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116874.54320506101</v>
      </c>
      <c r="C5" s="17">
        <f>IF(ISERROR('Eigen informatie GS &amp; warmtenet'!B57),0,'Eigen informatie GS &amp; warmtenet'!B57)</f>
        <v>0</v>
      </c>
      <c r="D5" s="30">
        <f>(SUM(HH_hh_gas_kWh,HH_rest_gas_kWh)/1000)*0.902</f>
        <v>374796.57522976148</v>
      </c>
      <c r="E5" s="17">
        <f>B32*B41</f>
        <v>4045.2473476777827</v>
      </c>
      <c r="F5" s="17">
        <f>B36*B45</f>
        <v>138082.07343329376</v>
      </c>
      <c r="G5" s="18"/>
      <c r="H5" s="17"/>
      <c r="I5" s="17"/>
      <c r="J5" s="17">
        <f>B35*B44+C35*C44</f>
        <v>3109.2582160068</v>
      </c>
      <c r="K5" s="17"/>
      <c r="L5" s="17"/>
      <c r="M5" s="17"/>
      <c r="N5" s="17">
        <f>B34*B43+C34*C43</f>
        <v>39903.37345366404</v>
      </c>
      <c r="O5" s="17">
        <f>B52*B53*B54</f>
        <v>215.74</v>
      </c>
      <c r="P5" s="17">
        <f>B60*B61*B62/1000-B60*B61*B62/1000/B63</f>
        <v>228.8</v>
      </c>
    </row>
    <row r="6" spans="1:16">
      <c r="A6" s="16" t="s">
        <v>615</v>
      </c>
      <c r="B6" s="766">
        <f>kWh_PV_kleiner_dan_10kW</f>
        <v>3177.0260110405975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120051.5692161016</v>
      </c>
      <c r="C8" s="21">
        <f>C5</f>
        <v>0</v>
      </c>
      <c r="D8" s="21">
        <f>D5</f>
        <v>374796.57522976148</v>
      </c>
      <c r="E8" s="21">
        <f>E5</f>
        <v>4045.2473476777827</v>
      </c>
      <c r="F8" s="21">
        <f>F5</f>
        <v>138082.07343329376</v>
      </c>
      <c r="G8" s="21"/>
      <c r="H8" s="21"/>
      <c r="I8" s="21"/>
      <c r="J8" s="21">
        <f>J5</f>
        <v>3109.2582160068</v>
      </c>
      <c r="K8" s="21"/>
      <c r="L8" s="21">
        <f>L5</f>
        <v>0</v>
      </c>
      <c r="M8" s="21">
        <f>M5</f>
        <v>0</v>
      </c>
      <c r="N8" s="21">
        <f>N5</f>
        <v>39903.37345366404</v>
      </c>
      <c r="O8" s="21">
        <f>O5</f>
        <v>215.74</v>
      </c>
      <c r="P8" s="21">
        <f>P5</f>
        <v>228.8</v>
      </c>
    </row>
    <row r="9" spans="1:16">
      <c r="B9" s="19"/>
      <c r="C9" s="19"/>
      <c r="D9" s="256"/>
      <c r="E9" s="19"/>
      <c r="F9" s="19"/>
      <c r="G9" s="19"/>
      <c r="H9" s="19"/>
      <c r="I9" s="19"/>
      <c r="J9" s="19"/>
      <c r="K9" s="19"/>
      <c r="L9" s="19"/>
      <c r="M9" s="19"/>
      <c r="N9" s="19"/>
      <c r="O9" s="19"/>
      <c r="P9" s="19"/>
    </row>
    <row r="10" spans="1:16">
      <c r="A10" s="24" t="s">
        <v>207</v>
      </c>
      <c r="B10" s="25">
        <f ca="1">'EF ele_warmte'!B12</f>
        <v>0.21842856141132069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26222.691559044666</v>
      </c>
      <c r="C12" s="23">
        <f ca="1">C10*C8</f>
        <v>0</v>
      </c>
      <c r="D12" s="23">
        <f>D8*D10</f>
        <v>75708.908196411823</v>
      </c>
      <c r="E12" s="23">
        <f>E10*E8</f>
        <v>918.2711479228567</v>
      </c>
      <c r="F12" s="23">
        <f>F10*F8</f>
        <v>36867.913606689435</v>
      </c>
      <c r="G12" s="23"/>
      <c r="H12" s="23"/>
      <c r="I12" s="23"/>
      <c r="J12" s="23">
        <f>J10*J8</f>
        <v>1100.6774084664071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34874</v>
      </c>
      <c r="C26" s="36"/>
      <c r="D26" s="226"/>
    </row>
    <row r="27" spans="1:5" s="15" customFormat="1">
      <c r="A27" s="228" t="s">
        <v>695</v>
      </c>
      <c r="B27" s="37">
        <f>SUM(HH_hh_gas_aantal,HH_rest_gas_aantal)</f>
        <v>27875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26481.25</v>
      </c>
      <c r="C31" s="34" t="s">
        <v>104</v>
      </c>
      <c r="D31" s="172"/>
    </row>
    <row r="32" spans="1:5">
      <c r="A32" s="169" t="s">
        <v>72</v>
      </c>
      <c r="B32" s="33">
        <f>IF((B21*($B$26-($B$27-0.05*$B$27)-$B$60))&lt;0,0,B21*($B$26-($B$27-0.05*$B$27)-$B$60))</f>
        <v>59.415902474532189</v>
      </c>
      <c r="C32" s="34" t="s">
        <v>104</v>
      </c>
      <c r="D32" s="172"/>
    </row>
    <row r="33" spans="1:6">
      <c r="A33" s="169" t="s">
        <v>73</v>
      </c>
      <c r="B33" s="33">
        <f>IF((B22*($B$26-($B$27-0.05*$B$27)-$B$60))&lt;0,0,B22*($B$26-($B$27-0.05*$B$27)-$B$60))</f>
        <v>1702.8516811238378</v>
      </c>
      <c r="C33" s="34" t="s">
        <v>104</v>
      </c>
      <c r="D33" s="172"/>
    </row>
    <row r="34" spans="1:6">
      <c r="A34" s="169" t="s">
        <v>74</v>
      </c>
      <c r="B34" s="33">
        <f>IF((B24*($B$26-($B$27-0.05*$B$27)-$B$60))&lt;0,0,B24*($B$26-($B$27-0.05*$B$27)-$B$60))</f>
        <v>339.56662149604625</v>
      </c>
      <c r="C34" s="33">
        <f>B26*C24</f>
        <v>7130.9523360939929</v>
      </c>
      <c r="D34" s="231"/>
    </row>
    <row r="35" spans="1:6">
      <c r="A35" s="169" t="s">
        <v>76</v>
      </c>
      <c r="B35" s="33">
        <f>IF((B19*($B$26-($B$27-0.05*$B$27)-$B$60))&lt;0,0,B19*($B$26-($B$27-0.05*$B$27)-$B$60))</f>
        <v>176.83304307896489</v>
      </c>
      <c r="C35" s="33">
        <f>B35/2</f>
        <v>88.416521539482446</v>
      </c>
      <c r="D35" s="231"/>
    </row>
    <row r="36" spans="1:6">
      <c r="A36" s="169" t="s">
        <v>77</v>
      </c>
      <c r="B36" s="33">
        <f>IF((B18*($B$26-($B$27-0.05*$B$27)-$B$60))&lt;0,0,B18*($B$26-($B$27-0.05*$B$27)-$B$60))</f>
        <v>6102.0827518266187</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138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207122.09789927513</v>
      </c>
      <c r="C5" s="17">
        <f>IF(ISERROR('Eigen informatie GS &amp; warmtenet'!B58),0,'Eigen informatie GS &amp; warmtenet'!B58)</f>
        <v>0</v>
      </c>
      <c r="D5" s="30">
        <f>SUM(D6:D12)</f>
        <v>214785.15349140915</v>
      </c>
      <c r="E5" s="17">
        <f>SUM(E6:E12)</f>
        <v>4935.7346834869086</v>
      </c>
      <c r="F5" s="17">
        <f>SUM(F6:F12)</f>
        <v>38913.08568722471</v>
      </c>
      <c r="G5" s="18"/>
      <c r="H5" s="17"/>
      <c r="I5" s="17"/>
      <c r="J5" s="17">
        <f>SUM(J6:J12)</f>
        <v>0</v>
      </c>
      <c r="K5" s="17"/>
      <c r="L5" s="17"/>
      <c r="M5" s="17"/>
      <c r="N5" s="17">
        <f>SUM(N6:N12)</f>
        <v>4691.4385840333916</v>
      </c>
      <c r="O5" s="17">
        <f>B38*B39*B40</f>
        <v>1.5633333333333335</v>
      </c>
      <c r="P5" s="17">
        <f>B46*B47*B48/1000-B46*B47*B48/1000/B49</f>
        <v>114.4</v>
      </c>
      <c r="R5" s="32"/>
    </row>
    <row r="6" spans="1:18">
      <c r="A6" s="32" t="s">
        <v>53</v>
      </c>
      <c r="B6" s="37">
        <f>B26</f>
        <v>102411.279856176</v>
      </c>
      <c r="C6" s="33"/>
      <c r="D6" s="37">
        <f>IF(ISERROR(TER_kantoor_gas_kWh/1000),0,TER_kantoor_gas_kWh/1000)*0.902</f>
        <v>74372.416414603053</v>
      </c>
      <c r="E6" s="33">
        <f>$C$26*'E Balans VL '!I12/100/3.6*1000000</f>
        <v>3584.7976549937057</v>
      </c>
      <c r="F6" s="33">
        <f>$C$26*('E Balans VL '!L12+'E Balans VL '!N12)/100/3.6*1000000</f>
        <v>15527.748774829031</v>
      </c>
      <c r="G6" s="34"/>
      <c r="H6" s="33"/>
      <c r="I6" s="33"/>
      <c r="J6" s="33">
        <f>$C$26*('E Balans VL '!D12+'E Balans VL '!E12)/100/3.6*1000000</f>
        <v>0</v>
      </c>
      <c r="K6" s="33"/>
      <c r="L6" s="33"/>
      <c r="M6" s="33"/>
      <c r="N6" s="33">
        <f>$C$26*'E Balans VL '!Y12/100/3.6*1000000</f>
        <v>791.60713943980704</v>
      </c>
      <c r="O6" s="33"/>
      <c r="P6" s="33"/>
      <c r="R6" s="32"/>
    </row>
    <row r="7" spans="1:18">
      <c r="A7" s="32" t="s">
        <v>52</v>
      </c>
      <c r="B7" s="37">
        <f t="shared" ref="B7:B12" si="0">B27</f>
        <v>13451.5314552211</v>
      </c>
      <c r="C7" s="33"/>
      <c r="D7" s="37">
        <f>IF(ISERROR(TER_horeca_gas_kWh/1000),0,TER_horeca_gas_kWh/1000)*0.902</f>
        <v>17226.438507666346</v>
      </c>
      <c r="E7" s="33">
        <f>$C$27*'E Balans VL '!I9/100/3.6*1000000</f>
        <v>758.84523588259344</v>
      </c>
      <c r="F7" s="33">
        <f>$C$27*('E Balans VL '!L9+'E Balans VL '!N9)/100/3.6*1000000</f>
        <v>2343.3312212303763</v>
      </c>
      <c r="G7" s="34"/>
      <c r="H7" s="33"/>
      <c r="I7" s="33"/>
      <c r="J7" s="33">
        <f>$C$27*('E Balans VL '!D9+'E Balans VL '!E9)/100/3.6*1000000</f>
        <v>0</v>
      </c>
      <c r="K7" s="33"/>
      <c r="L7" s="33"/>
      <c r="M7" s="33"/>
      <c r="N7" s="33">
        <f>$C$27*'E Balans VL '!Y9/100/3.6*1000000</f>
        <v>0</v>
      </c>
      <c r="O7" s="33"/>
      <c r="P7" s="33"/>
      <c r="R7" s="32"/>
    </row>
    <row r="8" spans="1:18">
      <c r="A8" s="6" t="s">
        <v>51</v>
      </c>
      <c r="B8" s="37">
        <f t="shared" si="0"/>
        <v>47094.501301573204</v>
      </c>
      <c r="C8" s="33"/>
      <c r="D8" s="37">
        <f>IF(ISERROR(TER_handel_gas_kWh/1000),0,TER_handel_gas_kWh/1000)*0.902</f>
        <v>37718.772223846019</v>
      </c>
      <c r="E8" s="33">
        <f>$C$28*'E Balans VL '!I13/100/3.6*1000000</f>
        <v>241.77838495033939</v>
      </c>
      <c r="F8" s="33">
        <f>$C$28*('E Balans VL '!L13+'E Balans VL '!N13)/100/3.6*1000000</f>
        <v>7261.2444159573779</v>
      </c>
      <c r="G8" s="34"/>
      <c r="H8" s="33"/>
      <c r="I8" s="33"/>
      <c r="J8" s="33">
        <f>$C$28*('E Balans VL '!D13+'E Balans VL '!E13)/100/3.6*1000000</f>
        <v>0</v>
      </c>
      <c r="K8" s="33"/>
      <c r="L8" s="33"/>
      <c r="M8" s="33"/>
      <c r="N8" s="33">
        <f>$C$28*'E Balans VL '!Y13/100/3.6*1000000</f>
        <v>22.026673124513263</v>
      </c>
      <c r="O8" s="33"/>
      <c r="P8" s="33"/>
      <c r="R8" s="32"/>
    </row>
    <row r="9" spans="1:18">
      <c r="A9" s="32" t="s">
        <v>50</v>
      </c>
      <c r="B9" s="37">
        <f t="shared" si="0"/>
        <v>10927.694846279399</v>
      </c>
      <c r="C9" s="33"/>
      <c r="D9" s="37">
        <f>IF(ISERROR(TER_gezond_gas_kWh/1000),0,TER_gezond_gas_kWh/1000)*0.902</f>
        <v>13297.421305384489</v>
      </c>
      <c r="E9" s="33">
        <f>$C$29*'E Balans VL '!I10/100/3.6*1000000</f>
        <v>4.5294516895293206</v>
      </c>
      <c r="F9" s="33">
        <f>$C$29*('E Balans VL '!L10+'E Balans VL '!N10)/100/3.6*1000000</f>
        <v>2691.3345165887035</v>
      </c>
      <c r="G9" s="34"/>
      <c r="H9" s="33"/>
      <c r="I9" s="33"/>
      <c r="J9" s="33">
        <f>$C$29*('E Balans VL '!D10+'E Balans VL '!E10)/100/3.6*1000000</f>
        <v>0</v>
      </c>
      <c r="K9" s="33"/>
      <c r="L9" s="33"/>
      <c r="M9" s="33"/>
      <c r="N9" s="33">
        <f>$C$29*'E Balans VL '!Y10/100/3.6*1000000</f>
        <v>94.4423308838482</v>
      </c>
      <c r="O9" s="33"/>
      <c r="P9" s="33"/>
      <c r="R9" s="32"/>
    </row>
    <row r="10" spans="1:18">
      <c r="A10" s="32" t="s">
        <v>49</v>
      </c>
      <c r="B10" s="37">
        <f t="shared" si="0"/>
        <v>14895.9331356721</v>
      </c>
      <c r="C10" s="33"/>
      <c r="D10" s="37">
        <f>IF(ISERROR(TER_ander_gas_kWh/1000),0,TER_ander_gas_kWh/1000)*0.902</f>
        <v>34205.279418828446</v>
      </c>
      <c r="E10" s="33">
        <f>$C$30*'E Balans VL '!I14/100/3.6*1000000</f>
        <v>90.805975917908626</v>
      </c>
      <c r="F10" s="33">
        <f>$C$30*('E Balans VL '!L14+'E Balans VL '!N14)/100/3.6*1000000</f>
        <v>3949.1159254041072</v>
      </c>
      <c r="G10" s="34"/>
      <c r="H10" s="33"/>
      <c r="I10" s="33"/>
      <c r="J10" s="33">
        <f>$C$30*('E Balans VL '!D14+'E Balans VL '!E14)/100/3.6*1000000</f>
        <v>0</v>
      </c>
      <c r="K10" s="33"/>
      <c r="L10" s="33"/>
      <c r="M10" s="33"/>
      <c r="N10" s="33">
        <f>$C$30*'E Balans VL '!Y14/100/3.6*1000000</f>
        <v>3433.1907103488934</v>
      </c>
      <c r="O10" s="33"/>
      <c r="P10" s="33"/>
      <c r="R10" s="32"/>
    </row>
    <row r="11" spans="1:18">
      <c r="A11" s="32" t="s">
        <v>54</v>
      </c>
      <c r="B11" s="37">
        <f t="shared" si="0"/>
        <v>6690.1520153177607</v>
      </c>
      <c r="C11" s="33"/>
      <c r="D11" s="37">
        <f>IF(ISERROR(TER_onderwijs_gas_kWh/1000),0,TER_onderwijs_gas_kWh/1000)*0.902</f>
        <v>24157.920345331728</v>
      </c>
      <c r="E11" s="33">
        <f>$C$31*'E Balans VL '!I11/100/3.6*1000000</f>
        <v>5.0982441955677622</v>
      </c>
      <c r="F11" s="33">
        <f>$C$31*('E Balans VL '!L11+'E Balans VL '!N11)/100/3.6*1000000</f>
        <v>4841.3606338692807</v>
      </c>
      <c r="G11" s="34"/>
      <c r="H11" s="33"/>
      <c r="I11" s="33"/>
      <c r="J11" s="33">
        <f>$C$31*('E Balans VL '!D11+'E Balans VL '!E11)/100/3.6*1000000</f>
        <v>0</v>
      </c>
      <c r="K11" s="33"/>
      <c r="L11" s="33"/>
      <c r="M11" s="33"/>
      <c r="N11" s="33">
        <f>$C$31*'E Balans VL '!Y11/100/3.6*1000000</f>
        <v>19.717476906337687</v>
      </c>
      <c r="O11" s="33"/>
      <c r="P11" s="33"/>
      <c r="R11" s="32"/>
    </row>
    <row r="12" spans="1:18">
      <c r="A12" s="32" t="s">
        <v>249</v>
      </c>
      <c r="B12" s="37">
        <f t="shared" si="0"/>
        <v>11651.0052890356</v>
      </c>
      <c r="C12" s="33"/>
      <c r="D12" s="37">
        <f>IF(ISERROR(TER_rest_gas_kWh/1000),0,TER_rest_gas_kWh/1000)*0.902</f>
        <v>13806.905275749114</v>
      </c>
      <c r="E12" s="33">
        <f>$C$32*'E Balans VL '!I8/100/3.6*1000000</f>
        <v>249.87973585726428</v>
      </c>
      <c r="F12" s="33">
        <f>$C$32*('E Balans VL '!L8+'E Balans VL '!N8)/100/3.6*1000000</f>
        <v>2298.9501993458271</v>
      </c>
      <c r="G12" s="34"/>
      <c r="H12" s="33"/>
      <c r="I12" s="33"/>
      <c r="J12" s="33">
        <f>$C$32*('E Balans VL '!D8+'E Balans VL '!E8)/100/3.6*1000000</f>
        <v>0</v>
      </c>
      <c r="K12" s="33"/>
      <c r="L12" s="33"/>
      <c r="M12" s="33"/>
      <c r="N12" s="33">
        <f>$C$32*'E Balans VL '!Y8/100/3.6*1000000</f>
        <v>330.4542533299919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207122.09789927513</v>
      </c>
      <c r="C16" s="21">
        <f ca="1">C5+C13+C14</f>
        <v>0</v>
      </c>
      <c r="D16" s="21">
        <f t="shared" ref="D16:N16" ca="1" si="1">MAX((D5+D13+D14),0)</f>
        <v>214785.15349140915</v>
      </c>
      <c r="E16" s="21">
        <f t="shared" si="1"/>
        <v>4935.7346834869086</v>
      </c>
      <c r="F16" s="21">
        <f t="shared" ca="1" si="1"/>
        <v>38913.08568722471</v>
      </c>
      <c r="G16" s="21">
        <f t="shared" si="1"/>
        <v>0</v>
      </c>
      <c r="H16" s="21">
        <f t="shared" si="1"/>
        <v>0</v>
      </c>
      <c r="I16" s="21">
        <f t="shared" si="1"/>
        <v>0</v>
      </c>
      <c r="J16" s="21">
        <f t="shared" si="1"/>
        <v>0</v>
      </c>
      <c r="K16" s="21">
        <f t="shared" si="1"/>
        <v>0</v>
      </c>
      <c r="L16" s="21">
        <f t="shared" ca="1" si="1"/>
        <v>0</v>
      </c>
      <c r="M16" s="21">
        <f t="shared" si="1"/>
        <v>0</v>
      </c>
      <c r="N16" s="21">
        <f t="shared" ca="1" si="1"/>
        <v>4691.4385840333916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0.21842856141132069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45241.381880633395</v>
      </c>
      <c r="C20" s="23">
        <f t="shared" ref="C20:P20" ca="1" si="2">C16*C18</f>
        <v>0</v>
      </c>
      <c r="D20" s="23">
        <f t="shared" ca="1" si="2"/>
        <v>43386.601005264652</v>
      </c>
      <c r="E20" s="23">
        <f t="shared" si="2"/>
        <v>1120.4117731515282</v>
      </c>
      <c r="F20" s="23">
        <f t="shared" ca="1" si="2"/>
        <v>10389.793878488998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102411.279856176</v>
      </c>
      <c r="C26" s="39">
        <f>IF(ISERROR(B26*3.6/1000000/'E Balans VL '!Z12*100),0,B26*3.6/1000000/'E Balans VL '!Z12*100)</f>
        <v>2.1550755482495729</v>
      </c>
      <c r="D26" s="234" t="s">
        <v>700</v>
      </c>
      <c r="F26" s="6"/>
    </row>
    <row r="27" spans="1:18">
      <c r="A27" s="229" t="s">
        <v>52</v>
      </c>
      <c r="B27" s="33">
        <f>IF(ISERROR(TER_horeca_ele_kWh/1000),0,TER_horeca_ele_kWh/1000)</f>
        <v>13451.5314552211</v>
      </c>
      <c r="C27" s="39">
        <f>IF(ISERROR(B27*3.6/1000000/'E Balans VL '!Z9*100),0,B27*3.6/1000000/'E Balans VL '!Z9*100)</f>
        <v>1.1389033698602189</v>
      </c>
      <c r="D27" s="234" t="s">
        <v>700</v>
      </c>
      <c r="F27" s="6"/>
    </row>
    <row r="28" spans="1:18">
      <c r="A28" s="169" t="s">
        <v>51</v>
      </c>
      <c r="B28" s="33">
        <f>IF(ISERROR(TER_handel_ele_kWh/1000),0,TER_handel_ele_kWh/1000)</f>
        <v>47094.501301573204</v>
      </c>
      <c r="C28" s="39">
        <f>IF(ISERROR(B28*3.6/1000000/'E Balans VL '!Z13*100),0,B28*3.6/1000000/'E Balans VL '!Z13*100)</f>
        <v>1.3038047563513562</v>
      </c>
      <c r="D28" s="234" t="s">
        <v>700</v>
      </c>
      <c r="F28" s="6"/>
    </row>
    <row r="29" spans="1:18">
      <c r="A29" s="229" t="s">
        <v>50</v>
      </c>
      <c r="B29" s="33">
        <f>IF(ISERROR(TER_gezond_ele_kWh/1000),0,TER_gezond_ele_kWh/1000)</f>
        <v>10927.694846279399</v>
      </c>
      <c r="C29" s="39">
        <f>IF(ISERROR(B29*3.6/1000000/'E Balans VL '!Z10*100),0,B29*3.6/1000000/'E Balans VL '!Z10*100)</f>
        <v>1.4204791823943836</v>
      </c>
      <c r="D29" s="234" t="s">
        <v>700</v>
      </c>
      <c r="F29" s="6"/>
    </row>
    <row r="30" spans="1:18">
      <c r="A30" s="229" t="s">
        <v>49</v>
      </c>
      <c r="B30" s="33">
        <f>IF(ISERROR(TER_ander_ele_kWh/1000),0,TER_ander_ele_kWh/1000)</f>
        <v>14895.9331356721</v>
      </c>
      <c r="C30" s="39">
        <f>IF(ISERROR(B30*3.6/1000000/'E Balans VL '!Z14*100),0,B30*3.6/1000000/'E Balans VL '!Z14*100)</f>
        <v>1.1545714241569243</v>
      </c>
      <c r="D30" s="234" t="s">
        <v>700</v>
      </c>
      <c r="F30" s="6"/>
    </row>
    <row r="31" spans="1:18">
      <c r="A31" s="229" t="s">
        <v>54</v>
      </c>
      <c r="B31" s="33">
        <f>IF(ISERROR(TER_onderwijs_ele_kWh/1000),0,TER_onderwijs_ele_kWh/1000)</f>
        <v>6690.1520153177607</v>
      </c>
      <c r="C31" s="39">
        <f>IF(ISERROR(B31*3.6/1000000/'E Balans VL '!Z11*100),0,B31*3.6/1000000/'E Balans VL '!Z11*100)</f>
        <v>1.2799400783081913</v>
      </c>
      <c r="D31" s="234" t="s">
        <v>700</v>
      </c>
    </row>
    <row r="32" spans="1:18">
      <c r="A32" s="229" t="s">
        <v>249</v>
      </c>
      <c r="B32" s="33">
        <f>IF(ISERROR(TER_rest_ele_kWh/1000),0,TER_rest_ele_kWh/1000)</f>
        <v>11651.0052890356</v>
      </c>
      <c r="C32" s="39">
        <f>IF(ISERROR(B32*3.6/1000000/'E Balans VL '!Z8*100),0,B32*3.6/1000000/'E Balans VL '!Z8*100)</f>
        <v>9.6071485596387396E-2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6</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200679.94400780706</v>
      </c>
      <c r="C5" s="17">
        <f>IF(ISERROR('Eigen informatie GS &amp; warmtenet'!B59),0,'Eigen informatie GS &amp; warmtenet'!B59)</f>
        <v>0</v>
      </c>
      <c r="D5" s="30">
        <f>SUM(D6:D15)</f>
        <v>268340.61013131042</v>
      </c>
      <c r="E5" s="17">
        <f>SUM(E6:E15)</f>
        <v>1227.3537641721573</v>
      </c>
      <c r="F5" s="17">
        <f>SUM(F6:F15)</f>
        <v>18608.827301569883</v>
      </c>
      <c r="G5" s="18"/>
      <c r="H5" s="17"/>
      <c r="I5" s="17"/>
      <c r="J5" s="17">
        <f>SUM(J6:J15)</f>
        <v>825.48263214897383</v>
      </c>
      <c r="K5" s="17"/>
      <c r="L5" s="17"/>
      <c r="M5" s="17"/>
      <c r="N5" s="17">
        <f>SUM(N6:N15)</f>
        <v>1975.2424650758219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34720.374439715197</v>
      </c>
      <c r="C8" s="33"/>
      <c r="D8" s="37">
        <f>IF( ISERROR(IND_metaal_Gas_kWH/1000),0,IND_metaal_Gas_kWH/1000)*0.902</f>
        <v>36102.065339878747</v>
      </c>
      <c r="E8" s="33">
        <f>C30*'E Balans VL '!I18/100/3.6*1000000</f>
        <v>243.97241048475004</v>
      </c>
      <c r="F8" s="33">
        <f>C30*'E Balans VL '!L18/100/3.6*1000000+C30*'E Balans VL '!N18/100/3.6*1000000</f>
        <v>3812.0939792960553</v>
      </c>
      <c r="G8" s="34"/>
      <c r="H8" s="33"/>
      <c r="I8" s="33"/>
      <c r="J8" s="40">
        <f>C30*'E Balans VL '!D18/100/3.6*1000000+C30*'E Balans VL '!E18/100/3.6*1000000</f>
        <v>716.35616070072672</v>
      </c>
      <c r="K8" s="33"/>
      <c r="L8" s="33"/>
      <c r="M8" s="33"/>
      <c r="N8" s="33">
        <f>C30*'E Balans VL '!Y18/100/3.6*1000000</f>
        <v>130.13446395873754</v>
      </c>
      <c r="O8" s="33"/>
      <c r="P8" s="33"/>
      <c r="R8" s="32"/>
    </row>
    <row r="9" spans="1:18">
      <c r="A9" s="6" t="s">
        <v>32</v>
      </c>
      <c r="B9" s="37">
        <f t="shared" si="0"/>
        <v>12662.4265890935</v>
      </c>
      <c r="C9" s="33"/>
      <c r="D9" s="37">
        <f>IF( ISERROR(IND_andere_gas_kWh/1000),0,IND_andere_gas_kWh/1000)*0.902</f>
        <v>9738.7705017449098</v>
      </c>
      <c r="E9" s="33">
        <f>C31*'E Balans VL '!I19/100/3.6*1000000</f>
        <v>212.68096653166654</v>
      </c>
      <c r="F9" s="33">
        <f>C31*'E Balans VL '!L19/100/3.6*1000000+C31*'E Balans VL '!N19/100/3.6*1000000</f>
        <v>9898.7639093848884</v>
      </c>
      <c r="G9" s="34"/>
      <c r="H9" s="33"/>
      <c r="I9" s="33"/>
      <c r="J9" s="40">
        <f>C31*'E Balans VL '!D19/100/3.6*1000000+C31*'E Balans VL '!E19/100/3.6*1000000</f>
        <v>1.1420391022227903</v>
      </c>
      <c r="K9" s="33"/>
      <c r="L9" s="33"/>
      <c r="M9" s="33"/>
      <c r="N9" s="33">
        <f>C31*'E Balans VL '!Y19/100/3.6*1000000</f>
        <v>938.48896100161357</v>
      </c>
      <c r="O9" s="33"/>
      <c r="P9" s="33"/>
      <c r="R9" s="32"/>
    </row>
    <row r="10" spans="1:18">
      <c r="A10" s="6" t="s">
        <v>40</v>
      </c>
      <c r="B10" s="37">
        <f t="shared" si="0"/>
        <v>2413.2575030191697</v>
      </c>
      <c r="C10" s="33"/>
      <c r="D10" s="37">
        <f>IF( ISERROR(IND_voed_gas_kWh/1000),0,IND_voed_gas_kWh/1000)*0.902</f>
        <v>1962.0807507937482</v>
      </c>
      <c r="E10" s="33">
        <f>C32*'E Balans VL '!I20/100/3.6*1000000</f>
        <v>22.01755862843974</v>
      </c>
      <c r="F10" s="33">
        <f>C32*'E Balans VL '!L20/100/3.6*1000000+C32*'E Balans VL '!N20/100/3.6*1000000</f>
        <v>389.33391751430986</v>
      </c>
      <c r="G10" s="34"/>
      <c r="H10" s="33"/>
      <c r="I10" s="33"/>
      <c r="J10" s="40">
        <f>C32*'E Balans VL '!D20/100/3.6*1000000+C32*'E Balans VL '!E20/100/3.6*1000000</f>
        <v>9.9393766056388362</v>
      </c>
      <c r="K10" s="33"/>
      <c r="L10" s="33"/>
      <c r="M10" s="33"/>
      <c r="N10" s="33">
        <f>C32*'E Balans VL '!Y20/100/3.6*1000000</f>
        <v>35.30405436222221</v>
      </c>
      <c r="O10" s="33"/>
      <c r="P10" s="33"/>
      <c r="R10" s="32"/>
    </row>
    <row r="11" spans="1:18">
      <c r="A11" s="6" t="s">
        <v>39</v>
      </c>
      <c r="B11" s="37">
        <f t="shared" si="0"/>
        <v>8.0516258466312003</v>
      </c>
      <c r="C11" s="33"/>
      <c r="D11" s="37">
        <f>IF( ISERROR(IND_textiel_gas_kWh/1000),0,IND_textiel_gas_kWh/1000)*0.902</f>
        <v>39.796814276467998</v>
      </c>
      <c r="E11" s="33">
        <f>C33*'E Balans VL '!I21/100/3.6*1000000</f>
        <v>1.8364265043426708E-2</v>
      </c>
      <c r="F11" s="33">
        <f>C33*'E Balans VL '!L21/100/3.6*1000000+C33*'E Balans VL '!N21/100/3.6*1000000</f>
        <v>0.17211097032107095</v>
      </c>
      <c r="G11" s="34"/>
      <c r="H11" s="33"/>
      <c r="I11" s="33"/>
      <c r="J11" s="40">
        <f>C33*'E Balans VL '!D21/100/3.6*1000000+C33*'E Balans VL '!E21/100/3.6*1000000</f>
        <v>0</v>
      </c>
      <c r="K11" s="33"/>
      <c r="L11" s="33"/>
      <c r="M11" s="33"/>
      <c r="N11" s="33">
        <f>C33*'E Balans VL '!Y21/100/3.6*1000000</f>
        <v>5.7117147514815558E-2</v>
      </c>
      <c r="O11" s="33"/>
      <c r="P11" s="33"/>
      <c r="R11" s="32"/>
    </row>
    <row r="12" spans="1:18">
      <c r="A12" s="6" t="s">
        <v>36</v>
      </c>
      <c r="B12" s="37">
        <f t="shared" si="0"/>
        <v>127.836814834085</v>
      </c>
      <c r="C12" s="33"/>
      <c r="D12" s="37">
        <f>IF( ISERROR(IND_min_gas_kWh/1000),0,IND_min_gas_kWh/1000)*0.902</f>
        <v>0</v>
      </c>
      <c r="E12" s="33">
        <f>C34*'E Balans VL '!I22/100/3.6*1000000</f>
        <v>3.1707686115468929</v>
      </c>
      <c r="F12" s="33">
        <f>C34*'E Balans VL '!L22/100/3.6*1000000+C34*'E Balans VL '!N22/100/3.6*1000000</f>
        <v>13.583885613145501</v>
      </c>
      <c r="G12" s="34"/>
      <c r="H12" s="33"/>
      <c r="I12" s="33"/>
      <c r="J12" s="40">
        <f>C34*'E Balans VL '!D22/100/3.6*1000000+C34*'E Balans VL '!E22/100/3.6*1000000</f>
        <v>0.72618811806859018</v>
      </c>
      <c r="K12" s="33"/>
      <c r="L12" s="33"/>
      <c r="M12" s="33"/>
      <c r="N12" s="33">
        <f>C34*'E Balans VL '!Y22/100/3.6*1000000</f>
        <v>0</v>
      </c>
      <c r="O12" s="33"/>
      <c r="P12" s="33"/>
      <c r="R12" s="32"/>
    </row>
    <row r="13" spans="1:18">
      <c r="A13" s="6" t="s">
        <v>38</v>
      </c>
      <c r="B13" s="37">
        <f t="shared" si="0"/>
        <v>5585.8967413603805</v>
      </c>
      <c r="C13" s="33"/>
      <c r="D13" s="37">
        <f>IF( ISERROR(IND_papier_gas_kWh/1000),0,IND_papier_gas_kWh/1000)*0.902</f>
        <v>5587.5774697420675</v>
      </c>
      <c r="E13" s="33">
        <f>C35*'E Balans VL '!I23/100/3.6*1000000</f>
        <v>171.86346483950754</v>
      </c>
      <c r="F13" s="33">
        <f>C35*'E Balans VL '!L23/100/3.6*1000000+C35*'E Balans VL '!N23/100/3.6*1000000</f>
        <v>1186.0810937481183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130708.843669193</v>
      </c>
      <c r="C14" s="33"/>
      <c r="D14" s="37">
        <f>IF( ISERROR(IND_chemie_gas_kWh/1000),0,IND_chemie_gas_kWh/1000)*0.902</f>
        <v>34171.397048892322</v>
      </c>
      <c r="E14" s="33">
        <f>C36*'E Balans VL '!I24/100/3.6*1000000</f>
        <v>443.19300793680554</v>
      </c>
      <c r="F14" s="33">
        <f>C36*'E Balans VL '!L24/100/3.6*1000000+C36*'E Balans VL '!N24/100/3.6*1000000</f>
        <v>419.47634826898809</v>
      </c>
      <c r="G14" s="34"/>
      <c r="H14" s="33"/>
      <c r="I14" s="33"/>
      <c r="J14" s="40">
        <f>C36*'E Balans VL '!D24/100/3.6*1000000+C36*'E Balans VL '!E24/100/3.6*1000000</f>
        <v>0</v>
      </c>
      <c r="K14" s="33"/>
      <c r="L14" s="33"/>
      <c r="M14" s="33"/>
      <c r="N14" s="33">
        <f>C36*'E Balans VL '!Y24/100/3.6*1000000</f>
        <v>611.15913027024601</v>
      </c>
      <c r="O14" s="33"/>
      <c r="P14" s="33"/>
      <c r="R14" s="32"/>
    </row>
    <row r="15" spans="1:18">
      <c r="A15" s="6" t="s">
        <v>259</v>
      </c>
      <c r="B15" s="37">
        <f t="shared" si="0"/>
        <v>14453.256624745101</v>
      </c>
      <c r="C15" s="33"/>
      <c r="D15" s="37">
        <f>IF( ISERROR(IND_rest_gas_kWh/1000),0,IND_rest_gas_kWh/1000)*0.902</f>
        <v>180738.92220598212</v>
      </c>
      <c r="E15" s="33">
        <f>C37*'E Balans VL '!I15/100/3.6*1000000</f>
        <v>130.43722287439761</v>
      </c>
      <c r="F15" s="33">
        <f>C37*'E Balans VL '!L15/100/3.6*1000000+C37*'E Balans VL '!N15/100/3.6*1000000</f>
        <v>2889.3220567740564</v>
      </c>
      <c r="G15" s="34"/>
      <c r="H15" s="33"/>
      <c r="I15" s="33"/>
      <c r="J15" s="40">
        <f>C37*'E Balans VL '!D15/100/3.6*1000000+C37*'E Balans VL '!E15/100/3.6*1000000</f>
        <v>97.318867622316873</v>
      </c>
      <c r="K15" s="33"/>
      <c r="L15" s="33"/>
      <c r="M15" s="33"/>
      <c r="N15" s="33">
        <f>C37*'E Balans VL '!Y15/100/3.6*1000000</f>
        <v>260.09873833548801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200679.94400780706</v>
      </c>
      <c r="C18" s="21">
        <f>C5+C16</f>
        <v>0</v>
      </c>
      <c r="D18" s="21">
        <f>MAX((D5+D16),0)</f>
        <v>268340.61013131042</v>
      </c>
      <c r="E18" s="21">
        <f>MAX((E5+E16),0)</f>
        <v>1227.3537641721573</v>
      </c>
      <c r="F18" s="21">
        <f>MAX((F5+F16),0)</f>
        <v>18608.827301569883</v>
      </c>
      <c r="G18" s="21"/>
      <c r="H18" s="21"/>
      <c r="I18" s="21"/>
      <c r="J18" s="21">
        <f>MAX((J5+J16),0)</f>
        <v>825.48263214897383</v>
      </c>
      <c r="K18" s="21"/>
      <c r="L18" s="21">
        <f>MAX((L5+L16),0)</f>
        <v>0</v>
      </c>
      <c r="M18" s="21"/>
      <c r="N18" s="21">
        <f>MAX((N5+N16),0)</f>
        <v>1975.2424650758219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0.21842856141132069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43834.231473729684</v>
      </c>
      <c r="C22" s="23">
        <f ca="1">C18*C20</f>
        <v>0</v>
      </c>
      <c r="D22" s="23">
        <f>D18*D20</f>
        <v>54204.803246524709</v>
      </c>
      <c r="E22" s="23">
        <f>E18*E20</f>
        <v>278.60930446707971</v>
      </c>
      <c r="F22" s="23">
        <f>F18*F20</f>
        <v>4968.5568895191591</v>
      </c>
      <c r="G22" s="23"/>
      <c r="H22" s="23"/>
      <c r="I22" s="23"/>
      <c r="J22" s="23">
        <f>J18*J20</f>
        <v>292.22085178073672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34720.374439715197</v>
      </c>
      <c r="C30" s="39">
        <f>IF(ISERROR(B30*3.6/1000000/'E Balans VL '!Z18*100),0,B30*3.6/1000000/'E Balans VL '!Z18*100)</f>
        <v>2.3113565284891666</v>
      </c>
      <c r="D30" s="234" t="s">
        <v>700</v>
      </c>
    </row>
    <row r="31" spans="1:18">
      <c r="A31" s="6" t="s">
        <v>32</v>
      </c>
      <c r="B31" s="37">
        <f>IF( ISERROR(IND_ander_ele_kWh/1000),0,IND_ander_ele_kWh/1000)</f>
        <v>12662.4265890935</v>
      </c>
      <c r="C31" s="39">
        <f>IF(ISERROR(B31*3.6/1000000/'E Balans VL '!Z19*100),0,B31*3.6/1000000/'E Balans VL '!Z19*100)</f>
        <v>0.56127519017092764</v>
      </c>
      <c r="D31" s="234" t="s">
        <v>700</v>
      </c>
    </row>
    <row r="32" spans="1:18">
      <c r="A32" s="169" t="s">
        <v>40</v>
      </c>
      <c r="B32" s="37">
        <f>IF( ISERROR(IND_voed_ele_kWh/1000),0,IND_voed_ele_kWh/1000)</f>
        <v>2413.2575030191697</v>
      </c>
      <c r="C32" s="39">
        <f>IF(ISERROR(B32*3.6/1000000/'E Balans VL '!Z20*100),0,B32*3.6/1000000/'E Balans VL '!Z20*100)</f>
        <v>8.0609723340638803E-2</v>
      </c>
      <c r="D32" s="234" t="s">
        <v>700</v>
      </c>
    </row>
    <row r="33" spans="1:5">
      <c r="A33" s="169" t="s">
        <v>39</v>
      </c>
      <c r="B33" s="37">
        <f>IF( ISERROR(IND_textiel_ele_kWh/1000),0,IND_textiel_ele_kWh/1000)</f>
        <v>8.0516258466312003</v>
      </c>
      <c r="C33" s="39">
        <f>IF(ISERROR(B33*3.6/1000000/'E Balans VL '!Z21*100),0,B33*3.6/1000000/'E Balans VL '!Z21*100)</f>
        <v>1.060015110080091E-3</v>
      </c>
      <c r="D33" s="234" t="s">
        <v>700</v>
      </c>
    </row>
    <row r="34" spans="1:5">
      <c r="A34" s="169" t="s">
        <v>36</v>
      </c>
      <c r="B34" s="37">
        <f>IF( ISERROR(IND_min_ele_kWh/1000),0,IND_min_ele_kWh/1000)</f>
        <v>127.836814834085</v>
      </c>
      <c r="C34" s="39">
        <f>IF(ISERROR(B34*3.6/1000000/'E Balans VL '!Z22*100),0,B34*3.6/1000000/'E Balans VL '!Z22*100)</f>
        <v>2.4862856277638568E-2</v>
      </c>
      <c r="D34" s="234" t="s">
        <v>700</v>
      </c>
    </row>
    <row r="35" spans="1:5">
      <c r="A35" s="169" t="s">
        <v>38</v>
      </c>
      <c r="B35" s="37">
        <f>IF( ISERROR(IND_papier_ele_kWh/1000),0,IND_papier_ele_kWh/1000)</f>
        <v>5585.8967413603805</v>
      </c>
      <c r="C35" s="39">
        <f>IF(ISERROR(B35*3.6/1000000/'E Balans VL '!Z22*100),0,B35*3.6/1000000/'E Balans VL '!Z22*100)</f>
        <v>1.0863955586066665</v>
      </c>
      <c r="D35" s="234" t="s">
        <v>700</v>
      </c>
    </row>
    <row r="36" spans="1:5">
      <c r="A36" s="169" t="s">
        <v>33</v>
      </c>
      <c r="B36" s="37">
        <f>IF( ISERROR(IND_chemie_ele_kWh/1000),0,IND_chemie_ele_kWh/1000)</f>
        <v>130708.843669193</v>
      </c>
      <c r="C36" s="39">
        <f>IF(ISERROR(B36*3.6/1000000/'E Balans VL '!Z24*100),0,B36*3.6/1000000/'E Balans VL '!Z24*100)</f>
        <v>3.0693957003422905</v>
      </c>
      <c r="D36" s="234" t="s">
        <v>700</v>
      </c>
    </row>
    <row r="37" spans="1:5">
      <c r="A37" s="169" t="s">
        <v>259</v>
      </c>
      <c r="B37" s="37">
        <f>IF( ISERROR(IND_rest_ele_kWh/1000),0,IND_rest_ele_kWh/1000)</f>
        <v>14453.256624745101</v>
      </c>
      <c r="C37" s="39">
        <f>IF(ISERROR(B37*3.6/1000000/'E Balans VL '!Z15*100),0,B37*3.6/1000000/'E Balans VL '!Z15*100)</f>
        <v>0.10750868291892324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1180.424854068707</v>
      </c>
      <c r="C5" s="17">
        <f>'Eigen informatie GS &amp; warmtenet'!B60</f>
        <v>0</v>
      </c>
      <c r="D5" s="30">
        <f>IF(ISERROR(SUM(LB_lb_gas_kWh,LB_rest_gas_kWh)/1000),0,SUM(LB_lb_gas_kWh,LB_rest_gas_kWh)/1000)*0.902</f>
        <v>4322.2199646277495</v>
      </c>
      <c r="E5" s="17">
        <f>B17*'E Balans VL '!I25/3.6*1000000/100</f>
        <v>12.361664623367073</v>
      </c>
      <c r="F5" s="17">
        <f>B17*('E Balans VL '!L25/3.6*1000000+'E Balans VL '!N25/3.6*1000000)/100</f>
        <v>5053.1153078132784</v>
      </c>
      <c r="G5" s="18"/>
      <c r="H5" s="17"/>
      <c r="I5" s="17"/>
      <c r="J5" s="17">
        <f>('E Balans VL '!D25+'E Balans VL '!E25)/3.6*1000000*landbouw!B17/100</f>
        <v>105.42251979679935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1180.424854068707</v>
      </c>
      <c r="C8" s="21">
        <f>C5+C6</f>
        <v>0</v>
      </c>
      <c r="D8" s="21">
        <f>MAX((D5+D6),0)</f>
        <v>4322.2199646277495</v>
      </c>
      <c r="E8" s="21">
        <f>MAX((E5+E6),0)</f>
        <v>12.361664623367073</v>
      </c>
      <c r="F8" s="21">
        <f>MAX((F5+F6),0)</f>
        <v>5053.1153078132784</v>
      </c>
      <c r="G8" s="21"/>
      <c r="H8" s="21"/>
      <c r="I8" s="21"/>
      <c r="J8" s="21">
        <f>MAX((J5+J6),0)</f>
        <v>105.42251979679935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0.21842856141132069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257.83850272839584</v>
      </c>
      <c r="C12" s="23">
        <f ca="1">C8*C10</f>
        <v>0</v>
      </c>
      <c r="D12" s="23">
        <f>D8*D10</f>
        <v>873.08843285480543</v>
      </c>
      <c r="E12" s="23">
        <f>E8*E10</f>
        <v>2.8060978695043257</v>
      </c>
      <c r="F12" s="23">
        <f>F8*F10</f>
        <v>1349.1817871861454</v>
      </c>
      <c r="G12" s="23"/>
      <c r="H12" s="23"/>
      <c r="I12" s="23"/>
      <c r="J12" s="23">
        <f>J8*J10</f>
        <v>37.31957200806697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0.18169017145175059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114.23873317677965</v>
      </c>
      <c r="C26" s="244">
        <f>B26*'GWP N2O_CH4'!B5</f>
        <v>2399.0133967123725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12.806885377581402</v>
      </c>
      <c r="C27" s="244">
        <f>B27*'GWP N2O_CH4'!B5</f>
        <v>268.94459292920942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1.7705755614766128</v>
      </c>
      <c r="C28" s="244">
        <f>B28*'GWP N2O_CH4'!B4</f>
        <v>548.87842405774995</v>
      </c>
      <c r="D28" s="50"/>
    </row>
    <row r="29" spans="1:4">
      <c r="A29" s="41" t="s">
        <v>266</v>
      </c>
      <c r="B29" s="244">
        <f>B34*'ha_N2O bodem landbouw'!B4</f>
        <v>16.968459621915461</v>
      </c>
      <c r="C29" s="244">
        <f>B29*'GWP N2O_CH4'!B4</f>
        <v>5260.2224827937926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2.8042608111242618E-3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2.4633828064675923E-5</v>
      </c>
      <c r="C5" s="433" t="s">
        <v>204</v>
      </c>
      <c r="D5" s="418">
        <f>SUM(D6:D11)</f>
        <v>7.7722497260418211E-5</v>
      </c>
      <c r="E5" s="418">
        <f>SUM(E6:E11)</f>
        <v>9.0321732511057188E-3</v>
      </c>
      <c r="F5" s="431" t="s">
        <v>204</v>
      </c>
      <c r="G5" s="418">
        <f>SUM(G6:G11)</f>
        <v>1.6958825398391699</v>
      </c>
      <c r="H5" s="418">
        <f>SUM(H6:H11)</f>
        <v>0.26587293496149561</v>
      </c>
      <c r="I5" s="433" t="s">
        <v>204</v>
      </c>
      <c r="J5" s="433" t="s">
        <v>204</v>
      </c>
      <c r="K5" s="433" t="s">
        <v>204</v>
      </c>
      <c r="L5" s="433" t="s">
        <v>204</v>
      </c>
      <c r="M5" s="418">
        <f>SUM(M6:M11)</f>
        <v>8.5294041382808466E-2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8.1425607105551748E-6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2.5781146498904044E-5</v>
      </c>
      <c r="E6" s="421">
        <f>vkm_GW_PW*SUMIFS(TableVerdeelsleutelVkm[LPG],TableVerdeelsleutelVkm[Voertuigtype],"Lichte voertuigen")*SUMIFS(TableECFTransport[EnergieConsumptieFactor (PJ per km)],TableECFTransport[Index],CONCATENATE($A6,"_LPG_LPG"))</f>
        <v>2.6866196484696772E-3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0.35785840693018373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8.5849459114121646E-2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1.9367473379727329E-2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2.9228322745067884E-7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0.13175460413480819</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3.5672534458730048E-6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5.6760431346759913E-3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1.9049712335342647E-6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1.0250559813018834E-5</v>
      </c>
      <c r="E8" s="421">
        <f>vkm_NGW_PW*SUMIFS(TableVerdeelsleutelVkm[LPG],TableVerdeelsleutelVkm[Voertuigtype],"Lichte voertuigen")*SUMIFS(TableECFTransport[EnergieConsumptieFactor (PJ per km)],TableECFTransport[Index],CONCATENATE($A8,"_LPG_LPG"))</f>
        <v>1.0080772883081647E-3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0.1271346086193578</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3.227618785159489E-2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6.9623683026381143E-3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2.3906043082632994E-8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1.4926865525248308E-2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3.5217150715557615E-7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6.4305318191576325E-4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1.3358407484238092E-5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4.1690790948495334E-5</v>
      </c>
      <c r="E10" s="421">
        <f>vkm_SW_PW*SUMIFS(TableVerdeelsleutelVkm[LPG],TableVerdeelsleutelVkm[Voertuigtype],"Lichte voertuigen")*SUMIFS(TableECFTransport[EnergieConsumptieFactor (PJ per km)],TableECFTransport[Index],CONCATENATE($A10,"_LPG_LPG"))</f>
        <v>5.3374763143278769E-3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0.66765312756810991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0.14773191575797739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3.5561319265128663E-2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9.1169936581508203E-7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0.39655492706146178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1.1452812848650757E-5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1.7083784118722609E-2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6.8427300179655344</v>
      </c>
      <c r="C14" s="21"/>
      <c r="D14" s="21">
        <f t="shared" ref="D14:M14" si="0">((D5)*10^9/3600)+D12</f>
        <v>21.589582572338394</v>
      </c>
      <c r="E14" s="21">
        <f t="shared" si="0"/>
        <v>2508.937014196033</v>
      </c>
      <c r="F14" s="21"/>
      <c r="G14" s="21">
        <f t="shared" si="0"/>
        <v>471078.48328865832</v>
      </c>
      <c r="H14" s="21">
        <f t="shared" si="0"/>
        <v>73853.593044859896</v>
      </c>
      <c r="I14" s="21"/>
      <c r="J14" s="21"/>
      <c r="K14" s="21"/>
      <c r="L14" s="21"/>
      <c r="M14" s="21">
        <f t="shared" si="0"/>
        <v>23692.789273002352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0.21842856141132069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1.4946476739502723</v>
      </c>
      <c r="C18" s="23"/>
      <c r="D18" s="23">
        <f t="shared" ref="D18:M18" si="1">D14*D16</f>
        <v>4.3610956796123554</v>
      </c>
      <c r="E18" s="23">
        <f t="shared" si="1"/>
        <v>569.52870222249953</v>
      </c>
      <c r="F18" s="23"/>
      <c r="G18" s="23">
        <f t="shared" si="1"/>
        <v>125777.95503807178</v>
      </c>
      <c r="H18" s="23">
        <f t="shared" si="1"/>
        <v>18389.544668170114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1.9685229117599027E-4</v>
      </c>
      <c r="C50" s="315">
        <f t="shared" ref="C50:P50" si="2">SUM(C51:C52)</f>
        <v>0</v>
      </c>
      <c r="D50" s="315">
        <f t="shared" si="2"/>
        <v>0</v>
      </c>
      <c r="E50" s="315">
        <f t="shared" si="2"/>
        <v>0</v>
      </c>
      <c r="F50" s="315">
        <f t="shared" si="2"/>
        <v>0</v>
      </c>
      <c r="G50" s="315">
        <f t="shared" si="2"/>
        <v>4.270512820151097E-2</v>
      </c>
      <c r="H50" s="315">
        <f t="shared" si="2"/>
        <v>0</v>
      </c>
      <c r="I50" s="315">
        <f t="shared" si="2"/>
        <v>0</v>
      </c>
      <c r="J50" s="315">
        <f t="shared" si="2"/>
        <v>0</v>
      </c>
      <c r="K50" s="315">
        <f t="shared" si="2"/>
        <v>0</v>
      </c>
      <c r="L50" s="315">
        <f t="shared" si="2"/>
        <v>0</v>
      </c>
      <c r="M50" s="315">
        <f t="shared" si="2"/>
        <v>1.8284695485565165E-3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1.9685229117599027E-4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4.270512820151097E-2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1.8284695485565165E-3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54.681191993330636</v>
      </c>
      <c r="C54" s="21">
        <f t="shared" ref="C54:P54" si="3">(C50)*10^9/3600</f>
        <v>0</v>
      </c>
      <c r="D54" s="21">
        <f t="shared" si="3"/>
        <v>0</v>
      </c>
      <c r="E54" s="21">
        <f t="shared" si="3"/>
        <v>0</v>
      </c>
      <c r="F54" s="21">
        <f t="shared" si="3"/>
        <v>0</v>
      </c>
      <c r="G54" s="21">
        <f t="shared" si="3"/>
        <v>11862.535611530826</v>
      </c>
      <c r="H54" s="21">
        <f t="shared" si="3"/>
        <v>0</v>
      </c>
      <c r="I54" s="21">
        <f t="shared" si="3"/>
        <v>0</v>
      </c>
      <c r="J54" s="21">
        <f t="shared" si="3"/>
        <v>0</v>
      </c>
      <c r="K54" s="21">
        <f t="shared" si="3"/>
        <v>0</v>
      </c>
      <c r="L54" s="21">
        <f t="shared" si="3"/>
        <v>0</v>
      </c>
      <c r="M54" s="21">
        <f t="shared" si="3"/>
        <v>507.90820793236566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0.21842856141132069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11.943934103359439</v>
      </c>
      <c r="C58" s="23">
        <f t="shared" ref="C58:P58" ca="1" si="4">C54*C56</f>
        <v>0</v>
      </c>
      <c r="D58" s="23">
        <f t="shared" si="4"/>
        <v>0</v>
      </c>
      <c r="E58" s="23">
        <f t="shared" si="4"/>
        <v>0</v>
      </c>
      <c r="F58" s="23">
        <f t="shared" si="4"/>
        <v>0</v>
      </c>
      <c r="G58" s="23">
        <f t="shared" si="4"/>
        <v>3167.2970082787306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441</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5854.2053732831391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6295.2053732831391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2021-11-11T13:40:56Z</dcterms:modified>
</cp:coreProperties>
</file>