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F6E41D33-F978-49F8-A02F-F3DBCB3DFC2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J56" i="14" s="1"/>
  <c r="I54" i="14"/>
  <c r="H54" i="14"/>
  <c r="H56" i="14" s="1"/>
  <c r="Q24" i="14"/>
  <c r="P24" i="14"/>
  <c r="P26" i="14" s="1"/>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Q56" i="14"/>
  <c r="I56" i="14"/>
  <c r="R44"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6" i="22"/>
  <c r="D8"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F5" i="13" s="1"/>
  <c r="F8" i="13" s="1"/>
  <c r="B35" i="13"/>
  <c r="C35" i="13" s="1"/>
  <c r="B33" i="13"/>
  <c r="B32" i="13"/>
  <c r="B34" i="13"/>
  <c r="C34" i="13"/>
  <c r="J15" i="16"/>
  <c r="B67" i="22"/>
  <c r="G51"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J12" i="17" s="1"/>
  <c r="K54" i="14" s="1"/>
  <c r="K56" i="14" s="1"/>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P12" i="13"/>
  <c r="Q41" i="14" s="1"/>
  <c r="D12" i="13"/>
  <c r="E41" i="14" s="1"/>
  <c r="O12" i="13"/>
  <c r="P41" i="14" s="1"/>
  <c r="E5" i="17"/>
  <c r="C8" i="17"/>
  <c r="D16" i="15" l="1"/>
  <c r="N46" i="14"/>
  <c r="I5" i="48"/>
  <c r="J10" i="14"/>
  <c r="J16" i="14" s="1"/>
  <c r="J27" i="14" s="1"/>
  <c r="J63" i="14" s="1"/>
  <c r="K5" i="48"/>
  <c r="L10" i="14"/>
  <c r="L46" i="14"/>
  <c r="L61" i="14" s="1"/>
  <c r="L16" i="14"/>
  <c r="L27" i="14" s="1"/>
  <c r="Q11" i="48"/>
  <c r="P22" i="16"/>
  <c r="Q43" i="14" s="1"/>
  <c r="P8" i="48"/>
  <c r="P26" i="48" s="1"/>
  <c r="Q13" i="14"/>
  <c r="Q16" i="14" s="1"/>
  <c r="Q27"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<sst xmlns="http://schemas.openxmlformats.org/spreadsheetml/2006/main" count="2569" uniqueCount="977">
  <si>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</si>
  <si>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</si>
  <si>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</si>
  <si>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</si>
  <si>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</si>
  <si>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</si>
  <si>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</si>
  <si>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</si>
  <si>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</si>
  <si>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</si>
  <si>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</si>
  <si>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</si>
  <si>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</si>
  <si>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</si>
  <si>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</si>
  <si>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</si>
  <si>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</si>
  <si>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</si>
  <si>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</si>
  <si>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</si>
  <si>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</si>
  <si>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</si>
  <si>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</si>
  <si>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</si>
  <si>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</si>
  <si>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</si>
  <si>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</si>
  <si>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</si>
  <si>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</si>
  <si>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</si>
  <si>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</si>
  <si>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</si>
  <si>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</si>
  <si>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</si>
  <si>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</si>
  <si>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</si>
  <si>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</si>
  <si>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</si>
  <si>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</si>
  <si>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</si>
  <si>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</si>
  <si>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</si>
  <si>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</si>
  <si>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</si>
  <si>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</si>
  <si>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</si>
  <si>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</si>
  <si>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</si>
  <si>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</si>
  <si>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</si>
  <si>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</si>
  <si>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</si>
  <si>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</si>
  <si>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</si>
  <si>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</si>
  <si>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</si>
  <si>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</si>
  <si>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</si>
  <si>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</si>
  <si>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</si>
  <si>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</si>
  <si>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</si>
  <si>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</si>
  <si>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</si>
  <si>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</si>
  <si>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</si>
  <si>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</si>
  <si>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</si>
  <si>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</si>
  <si>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</si>
  <si>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</si>
  <si>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</si>
  <si>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</si>
  <si>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</si>
  <si>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</si>
  <si>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</si>
  <si>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</si>
  <si>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</si>
  <si>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</si>
  <si>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</si>
  <si>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</si>
  <si>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</si>
  <si>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</si>
  <si>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</si>
  <si>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</si>
  <si>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</si>
  <si>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</si>
  <si>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</si>
  <si>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</si>
  <si>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</si>
  <si>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</si>
  <si>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</si>
  <si>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</si>
  <si>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</si>
  <si>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</si>
  <si>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</si>
  <si>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</si>
  <si>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</si>
  <si>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</si>
  <si>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</si>
  <si>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</si>
  <si>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</si>
  <si>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</si>
  <si>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</si>
  <si>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</si>
  <si>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</si>
  <si>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</si>
  <si>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</si>
  <si>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</si>
  <si>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</si>
  <si>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</si>
  <si>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</si>
  <si>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</si>
  <si>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</si>
  <si>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</si>
  <si>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</si>
  <si>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</si>
  <si>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</si>
  <si>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</si>
  <si>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</si>
  <si>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</si>
  <si>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</si>
  <si>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</si>
  <si>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</si>
  <si>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</si>
  <si>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</si>
  <si>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</si>
  <si>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</si>
  <si>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</si>
  <si>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</si>
  <si>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</si>
  <si>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</si>
  <si>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</si>
  <si>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</si>
  <si>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</si>
  <si>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</si>
  <si>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</si>
  <si>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</si>
  <si>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</si>
  <si>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</si>
  <si>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</si>
  <si>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</si>
  <si>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</si>
  <si>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</si>
  <si>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</si>
  <si>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</si>
  <si>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</si>
  <si>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</si>
  <si>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</si>
  <si>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</si>
  <si>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</si>
  <si>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</si>
  <si>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</si>
  <si>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</si>
  <si>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</si>
  <si>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</si>
  <si>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</si>
  <si>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</si>
  <si>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</si>
  <si>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</si>
  <si>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</si>
  <si>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</si>
  <si>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</si>
  <si>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</si>
  <si>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</si>
  <si>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</si>
  <si>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</si>
  <si>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</si>
  <si>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</si>
  <si>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</si>
  <si>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</si>
  <si>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</si>
  <si>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</si>
  <si>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</si>
  <si>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</si>
  <si>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</si>
  <si>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</si>
  <si>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</si>
  <si>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</si>
  <si>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</si>
  <si>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</si>
  <si>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</si>
  <si>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</si>
  <si>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</si>
  <si>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</si>
  <si>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</si>
  <si>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</si>
  <si>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</si>
  <si>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</si>
  <si>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</si>
  <si>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</si>
  <si>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</si>
  <si>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</si>
  <si>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</si>
  <si>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</si>
  <si>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</si>
  <si>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</si>
  <si>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</si>
  <si>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</si>
  <si>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</si>
  <si>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</si>
  <si>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</si>
  <si>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</si>
  <si>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</si>
  <si>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</si>
  <si>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</si>
  <si>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</si>
  <si>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</si>
  <si>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</si>
  <si>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</si>
  <si>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</si>
  <si>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</si>
  <si>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</si>
  <si>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</si>
  <si>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</si>
  <si>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</si>
  <si>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</si>
  <si>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</si>
  <si>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</si>
  <si>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</si>
  <si>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</si>
  <si>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</si>
  <si>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</si>
  <si>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</si>
  <si>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</si>
  <si>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</si>
  <si>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</si>
  <si>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</si>
  <si>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</si>
  <si>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</si>
  <si>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</si>
  <si>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</si>
  <si>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</si>
  <si>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</si>
  <si>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</si>
  <si>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</si>
  <si>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</si>
  <si>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</si>
  <si>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</si>
  <si>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</si>
  <si>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</si>
  <si>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</si>
  <si>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</si>
  <si>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</si>
  <si>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</si>
  <si>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</si>
  <si>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</si>
  <si>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</si>
  <si>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</si>
  <si>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</si>
  <si>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</si>
  <si>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</si>
  <si>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</si>
  <si>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</si>
  <si>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</si>
  <si>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</si>
  <si>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</si>
  <si>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</si>
  <si>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</si>
  <si>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</si>
  <si>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</si>
  <si>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</si>
  <si>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</si>
  <si>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</si>
  <si>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</si>
  <si>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</si>
  <si>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</si>
  <si>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</si>
  <si>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</si>
  <si>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</si>
  <si>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</si>
  <si>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</si>
  <si>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</si>
  <si>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</si>
  <si>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</si>
  <si>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</si>
  <si>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</si>
  <si>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</si>
  <si>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</si>
  <si>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</si>
  <si>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</si>
  <si>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</si>
  <si>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</si>
  <si>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</si>
  <si>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</si>
  <si>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</si>
  <si>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</si>
  <si>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</si>
  <si>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</si>
  <si>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</si>
  <si>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</si>
  <si>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</si>
  <si>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</si>
  <si>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</si>
  <si>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</si>
  <si>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</si>
  <si>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</si>
  <si>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</si>
  <si>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</si>
  <si>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</si>
  <si>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</si>
  <si>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</si>
  <si>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</si>
  <si>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</si>
  <si>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</si>
  <si>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</si>
  <si>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</si>
  <si>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</si>
  <si>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</si>
  <si>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</si>
  <si>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</si>
  <si>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</si>
  <si>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</si>
  <si>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</si>
  <si>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</si>
  <si>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</si>
  <si>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</si>
  <si>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</si>
  <si>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</si>
  <si>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</si>
  <si>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</si>
  <si>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</si>
  <si>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</si>
  <si>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</si>
  <si>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</si>
  <si>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</si>
  <si>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</si>
  <si>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</si>
  <si>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</si>
  <si>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</si>
  <si>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</si>
  <si>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</si>
  <si>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</si>
  <si>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</si>
  <si>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</si>
  <si>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</si>
  <si>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</si>
  <si>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</si>
  <si>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</si>
  <si>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</si>
  <si>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</si>
  <si>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</si>
  <si>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</si>
  <si>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</si>
  <si>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</si>
  <si>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</si>
  <si>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</si>
  <si>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</si>
  <si>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</si>
  <si>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</si>
  <si>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</si>
  <si>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</si>
  <si>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</si>
  <si>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</si>
  <si>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</si>
  <si>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</si>
  <si>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</si>
  <si>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</si>
  <si>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</si>
  <si>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</si>
  <si>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</si>
  <si>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</si>
  <si>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</si>
  <si>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</si>
  <si>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</si>
  <si>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</si>
  <si>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</si>
  <si>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</si>
  <si>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</si>
  <si>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</si>
  <si>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</si>
  <si>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</si>
  <si>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</si>
  <si>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</si>
  <si>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</si>
  <si>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</si>
  <si>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</si>
  <si>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</si>
  <si>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</si>
  <si>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</si>
  <si>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</si>
  <si>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</si>
  <si>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</si>
  <si>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</si>
  <si>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</si>
  <si>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</si>
  <si>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</si>
  <si>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</si>
  <si>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</si>
  <si>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</si>
  <si>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</si>
  <si>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</si>
  <si>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</si>
  <si>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</si>
  <si>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</si>
  <si>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</si>
  <si>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</si>
  <si>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</si>
  <si>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</si>
  <si>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</si>
  <si>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</si>
  <si>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</si>
  <si>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</si>
  <si>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</si>
  <si>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</si>
  <si>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</si>
  <si>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</si>
  <si>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</si>
  <si>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</si>
  <si>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</si>
  <si>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</si>
  <si>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</si>
  <si>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</si>
  <si>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</si>
  <si>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</si>
  <si>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</si>
  <si>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</si>
  <si>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</si>
  <si>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</si>
  <si>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</si>
  <si>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</si>
  <si>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</si>
  <si>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</si>
  <si>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</si>
  <si>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</si>
  <si>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</si>
  <si>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</si>
  <si>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</si>
  <si>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</si>
  <si>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</si>
  <si>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</si>
  <si>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</si>
  <si>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</si>
  <si>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</si>
  <si>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</si>
  <si>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</si>
  <si>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</si>
  <si>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</si>
  <si>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</si>
  <si>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</si>
  <si>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</si>
  <si>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</si>
  <si>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</si>
  <si>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</si>
  <si>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</si>
  <si>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</si>
  <si>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</si>
  <si>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</si>
  <si>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</si>
  <si>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</si>
  <si>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</si>
  <si>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</si>
  <si>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</si>
  <si>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</si>
  <si>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</si>
  <si>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</si>
  <si>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</si>
  <si>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</si>
  <si>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</si>
  <si>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</si>
  <si>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</si>
  <si>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</si>
  <si>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</si>
  <si>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</si>
  <si>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</si>
  <si>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</si>
  <si>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</si>
  <si>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</si>
  <si>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</si>
  <si>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</si>
  <si>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</si>
  <si>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</si>
  <si>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</si>
  <si>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</si>
  <si>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</si>
  <si>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</si>
  <si>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</si>
  <si>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</si>
  <si>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</si>
  <si>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</si>
  <si>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</si>
  <si>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</si>
  <si>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</si>
  <si>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</si>
  <si>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</si>
  <si>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</si>
  <si>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</si>
  <si>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</si>
  <si>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</si>
  <si>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</si>
  <si>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</si>
  <si>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</si>
  <si>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</si>
  <si>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</si>
  <si>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</si>
  <si>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</si>
  <si>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</si>
  <si>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</si>
  <si>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</si>
  <si>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</si>
  <si>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</si>
  <si>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</si>
  <si>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</si>
  <si>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</si>
  <si>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</si>
  <si>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</si>
  <si>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</si>
  <si>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</si>
  <si>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</si>
  <si>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</si>
  <si>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</si>
  <si>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</si>
  <si>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</si>
  <si>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</si>
  <si>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</si>
  <si>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</si>
  <si>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</si>
  <si>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</si>
  <si>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</si>
  <si>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</si>
  <si>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</si>
  <si>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</si>
  <si>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</si>
  <si>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</si>
  <si>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</si>
  <si>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</si>
  <si>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</si>
  <si>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</si>
  <si>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</si>
  <si>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</si>
  <si>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</si>
  <si>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</si>
  <si>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</si>
  <si>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</si>
  <si>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</si>
  <si>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</si>
  <si>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</si>
  <si>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</si>
  <si>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</si>
  <si>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</si>
  <si>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</si>
  <si>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</si>
  <si>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</si>
  <si>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</si>
  <si>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</si>
  <si>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</si>
  <si>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</si>
  <si>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</si>
  <si>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</si>
  <si>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</si>
  <si>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</si>
  <si>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</si>
  <si>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</si>
  <si>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</si>
  <si>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</si>
  <si>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</si>
  <si>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</si>
  <si>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</si>
  <si>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</si>
  <si>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</si>
  <si>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</si>
  <si>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</si>
  <si>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</si>
  <si>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</si>
  <si>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</si>
  <si>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</si>
  <si>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</si>
  <si>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</si>
  <si>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</si>
  <si>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</si>
  <si>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</si>
  <si>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</si>
  <si>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</si>
  <si>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</si>
  <si>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</si>
  <si>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</si>
  <si>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</si>
  <si>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</si>
  <si>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</si>
  <si>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</si>
  <si>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</si>
  <si>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</si>
  <si>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</si>
  <si>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</si>
  <si>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</si>
  <si>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</si>
  <si>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</si>
  <si>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</si>
  <si>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</si>
  <si>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</si>
  <si>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</si>
  <si>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</si>
  <si>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</si>
  <si>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</si>
  <si>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</si>
  <si>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</si>
  <si>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</si>
  <si>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</si>
  <si>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</si>
  <si>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</si>
  <si>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</si>
  <si>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</si>
  <si>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</si>
  <si>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</si>
  <si>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</si>
  <si>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</si>
  <si>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</si>
  <si>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</si>
  <si>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</si>
  <si>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</si>
  <si>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</si>
  <si>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</si>
  <si>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</si>
  <si>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</si>
  <si>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</si>
  <si>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</si>
  <si>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</si>
  <si>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</si>
  <si>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</si>
  <si>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</si>
  <si>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</si>
  <si>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</si>
  <si>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</si>
  <si>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</si>
  <si>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</si>
  <si>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</si>
  <si>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</si>
  <si>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</si>
  <si>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</si>
  <si>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</si>
  <si>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</si>
  <si>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</si>
  <si>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</si>
  <si>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</si>
  <si>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</si>
  <si>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</si>
  <si>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</si>
  <si>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</si>
  <si>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</si>
  <si>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</si>
  <si>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</si>
  <si>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</si>
  <si>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</si>
  <si>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</si>
  <si>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</si>
  <si>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</si>
  <si>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</si>
  <si>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</si>
  <si>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</si>
  <si>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</si>
  <si>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</si>
  <si>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</si>
  <si>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</si>
  <si>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</si>
  <si>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</si>
  <si>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</si>
  <si>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</si>
  <si>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</si>
  <si>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</si>
  <si>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</si>
  <si>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</si>
  <si>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</si>
  <si>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</si>
  <si>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</si>
  <si>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</si>
  <si>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</si>
  <si>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</si>
  <si>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</si>
  <si>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</si>
  <si>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</si>
  <si>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</si>
  <si>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</si>
  <si>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</si>
  <si>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</si>
  <si>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</si>
  <si>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</si>
  <si>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</si>
  <si>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</si>
  <si>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</si>
  <si>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</si>
  <si>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</si>
  <si>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</si>
  <si>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</si>
  <si>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</si>
  <si>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</si>
  <si>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</si>
  <si>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</si>
  <si>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</si>
  <si>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</si>
  <si>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</si>
  <si>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</si>
  <si>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</si>
  <si>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</si>
  <si>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</si>
  <si>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</si>
  <si>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</si>
  <si>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</si>
  <si>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</si>
  <si>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</si>
  <si>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</si>
  <si>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</si>
  <si>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</si>
  <si>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</si>
  <si>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</si>
  <si>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</si>
  <si>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</si>
  <si>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</si>
  <si>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</si>
  <si>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</si>
  <si>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</si>
  <si>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</si>
  <si>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</si>
  <si>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</si>
  <si>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</si>
  <si>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</si>
  <si>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</si>
  <si>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</si>
  <si>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</si>
  <si>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</si>
  <si>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</si>
  <si>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</si>
  <si>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</si>
  <si>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</si>
  <si>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</si>
  <si>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</si>
  <si>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</si>
  <si>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</si>
  <si>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</si>
  <si>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</si>
  <si>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</si>
  <si>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</si>
  <si>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</si>
  <si>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</si>
  <si>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</si>
  <si>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</si>
  <si>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</si>
  <si>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</si>
  <si>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</si>
  <si>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</si>
  <si>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</si>
  <si>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</si>
  <si>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</si>
  <si>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</si>
  <si>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</si>
  <si>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</si>
  <si>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</si>
  <si>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</si>
  <si>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</si>
  <si>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</si>
  <si>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</si>
  <si>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</si>
  <si>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</si>
  <si>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</si>
  <si>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</si>
  <si>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</si>
  <si>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</si>
  <si>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</si>
  <si>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</si>
  <si>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</si>
  <si>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</si>
  <si>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</si>
  <si>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</si>
  <si>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</si>
  <si>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</si>
  <si>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</si>
  <si>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</si>
  <si>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</si>
  <si>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</si>
  <si>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</si>
  <si>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</si>
  <si>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</si>
  <si>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</si>
  <si>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</si>
  <si>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</si>
  <si>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</si>
  <si>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</si>
  <si>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</si>
  <si>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</si>
  <si>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</si>
  <si>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</si>
  <si>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</si>
  <si>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</si>
  <si>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</si>
  <si>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</si>
  <si>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</si>
  <si>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</si>
  <si>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</si>
  <si>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</si>
  <si>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</si>
  <si>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</si>
  <si>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</si>
  <si>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</si>
  <si>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</si>
  <si>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</si>
  <si>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</si>
  <si>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</si>
  <si>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</si>
  <si>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</si>
  <si>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</si>
  <si>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</si>
  <si>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</si>
  <si>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</si>
  <si>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</si>
  <si>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</si>
  <si>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</si>
  <si>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</si>
  <si>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</si>
  <si>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</si>
  <si>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</si>
  <si>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</si>
  <si>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</si>
  <si>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</si>
  <si>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</si>
  <si>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</si>
  <si>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</si>
  <si>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</si>
  <si>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</si>
  <si>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</si>
  <si>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</si>
  <si>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</si>
  <si>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</si>
  <si>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</si>
  <si>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</si>
  <si>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</si>
  <si>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</si>
  <si>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</si>
  <si>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</si>
  <si>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</si>
  <si>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</si>
  <si>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</si>
  <si>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</si>
  <si>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</si>
  <si>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</si>
  <si>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</si>
  <si>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</si>
  <si>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</si>
  <si>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</si>
  <si>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</si>
  <si>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</si>
  <si>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</si>
  <si>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</si>
  <si>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</si>
  <si>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</si>
  <si>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</si>
  <si>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</si>
  <si>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</si>
  <si>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</si>
  <si>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</si>
  <si>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</si>
  <si>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</si>
  <si>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</si>
  <si>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</si>
  <si>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</si>
  <si>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</si>
  <si>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</si>
  <si>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</si>
  <si>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</si>
  <si>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</si>
  <si>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</si>
  <si>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</si>
  <si>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</si>
  <si>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</si>
  <si>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</si>
  <si>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</si>
  <si>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</si>
  <si>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</si>
  <si>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</si>
  <si>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</si>
  <si>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</si>
  <si>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</si>
  <si>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</si>
  <si>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</si>
  <si>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</si>
  <si>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</si>
  <si>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</si>
  <si>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</si>
  <si>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</si>
  <si>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</si>
  <si>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</si>
  <si>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</si>
  <si>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</si>
  <si>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</si>
  <si>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</si>
  <si>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</si>
  <si>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</si>
  <si>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</si>
  <si>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</si>
  <si>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</si>
  <si>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</si>
  <si>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</si>
  <si>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</si>
  <si>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</si>
  <si>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</si>
  <si>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</si>
  <si>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</si>
  <si>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</si>
  <si>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</si>
  <si>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</si>
  <si>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</si>
  <si>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</si>
  <si>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</si>
  <si>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</si>
  <si>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</si>
  <si>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</si>
  <si>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</si>
  <si>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</si>
  <si>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</si>
  <si>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</si>
  <si>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</si>
  <si>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</si>
  <si>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</si>
  <si>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</si>
  <si>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</si>
  <si>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</si>
  <si>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</si>
  <si>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</si>
  <si>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</si>
  <si>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</si>
  <si>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</si>
  <si>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</si>
  <si>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</si>
  <si>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</si>
  <si>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</si>
  <si>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</si>
  <si>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</si>
  <si>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</si>
  <si>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</si>
  <si>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</si>
  <si>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</si>
  <si>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</si>
  <si>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</si>
  <si>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</si>
  <si>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</si>
  <si>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</si>
  <si>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</si>
  <si>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</si>
  <si>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</si>
  <si>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</si>
  <si>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</si>
  <si>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</si>
  <si>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</si>
  <si>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</si>
  <si>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</si>
  <si>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</si>
  <si>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</si>
  <si>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</si>
  <si>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</si>
  <si>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</si>
  <si>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</si>
  <si>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</si>
  <si>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</si>
  <si>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</si>
  <si>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</si>
  <si>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</si>
  <si>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</si>
  <si>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</si>
  <si>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</si>
  <si>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</si>
  <si>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</si>
  <si>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</si>
  <si>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</si>
  <si>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</si>
  <si>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</si>
  <si>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</si>
  <si>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</si>
  <si>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</si>
  <si>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</si>
  <si>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</si>
  <si>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</si>
  <si>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</si>
  <si>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11038</t>
  </si>
  <si>
    <t>SCHELLE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</si>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</sst>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10066E06-FA67-4091-84FF-66A81B70932A}"/>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11038</v>
      </c>
      <c r="B6" s="384"/>
      <c r="C6" s="385"/>
    </row>
    <row r="7" spans="1:7" s="382" customFormat="1" ht="15.75" customHeight="1">
      <c r="A7" s="386" t="str">
        <f>txtMunicipality</f>
        <v>SCHELLE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13919.762897668694</v>
      </c>
      <c r="D10" s="674">
        <f ca="1">tertiair!C16</f>
        <v>0</v>
      </c>
      <c r="E10" s="674">
        <f ca="1">tertiair!D16</f>
        <v>13063.27239307456</v>
      </c>
      <c r="F10" s="674">
        <f>tertiair!E16</f>
        <v>250.38049823106513</v>
      </c>
      <c r="G10" s="674">
        <f ca="1">tertiair!F16</f>
        <v>2553.0297674697204</v>
      </c>
      <c r="H10" s="674">
        <f>tertiair!G16</f>
        <v>0</v>
      </c>
      <c r="I10" s="674">
        <f>tertiair!H16</f>
        <v>0</v>
      </c>
      <c r="J10" s="674">
        <f>tertiair!I16</f>
        <v>0</v>
      </c>
      <c r="K10" s="674">
        <f>tertiair!J16</f>
        <v>0</v>
      </c>
      <c r="L10" s="674">
        <f>tertiair!K16</f>
        <v>0</v>
      </c>
      <c r="M10" s="674">
        <f ca="1">tertiair!L16</f>
        <v>0</v>
      </c>
      <c r="N10" s="674">
        <f>tertiair!M16</f>
        <v>0</v>
      </c>
      <c r="O10" s="674">
        <f ca="1">tertiair!N16</f>
        <v>549.78325687250549</v>
      </c>
      <c r="P10" s="674">
        <f>tertiair!O16</f>
        <v>0</v>
      </c>
      <c r="Q10" s="675">
        <f>tertiair!P16</f>
        <v>0</v>
      </c>
      <c r="R10" s="677">
        <f ca="1">SUM(C10:Q10)</f>
        <v>30336.228813316546</v>
      </c>
      <c r="S10" s="67"/>
    </row>
    <row r="11" spans="1:19" s="443" customFormat="1">
      <c r="A11" s="789" t="s">
        <v>214</v>
      </c>
      <c r="B11" s="794"/>
      <c r="C11" s="674">
        <f>huishoudens!B8</f>
        <v>15411.251830620555</v>
      </c>
      <c r="D11" s="674">
        <f>huishoudens!C8</f>
        <v>0</v>
      </c>
      <c r="E11" s="674">
        <f>huishoudens!D8</f>
        <v>38249.100950426684</v>
      </c>
      <c r="F11" s="674">
        <f>huishoudens!E8</f>
        <v>396.11397975977957</v>
      </c>
      <c r="G11" s="674">
        <f>huishoudens!F8</f>
        <v>13521.111304242762</v>
      </c>
      <c r="H11" s="674">
        <f>huishoudens!G8</f>
        <v>0</v>
      </c>
      <c r="I11" s="674">
        <f>huishoudens!H8</f>
        <v>0</v>
      </c>
      <c r="J11" s="674">
        <f>huishoudens!I8</f>
        <v>0</v>
      </c>
      <c r="K11" s="674">
        <f>huishoudens!J8</f>
        <v>304.46114667135771</v>
      </c>
      <c r="L11" s="674">
        <f>huishoudens!K8</f>
        <v>0</v>
      </c>
      <c r="M11" s="674">
        <f>huishoudens!L8</f>
        <v>0</v>
      </c>
      <c r="N11" s="674">
        <f>huishoudens!M8</f>
        <v>0</v>
      </c>
      <c r="O11" s="674">
        <f>huishoudens!N8</f>
        <v>3770.843258074593</v>
      </c>
      <c r="P11" s="674">
        <f>huishoudens!O8</f>
        <v>51.589999999999996</v>
      </c>
      <c r="Q11" s="675">
        <f>huishoudens!P8</f>
        <v>38.133333333333333</v>
      </c>
      <c r="R11" s="677">
        <f>SUM(C11:Q11)</f>
        <v>71742.605803129045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1562.7426054737391</v>
      </c>
      <c r="D13" s="674">
        <f>industrie!C18</f>
        <v>0</v>
      </c>
      <c r="E13" s="674">
        <f>industrie!D18</f>
        <v>1413.2533201699398</v>
      </c>
      <c r="F13" s="674">
        <f>industrie!E18</f>
        <v>16.220064184084194</v>
      </c>
      <c r="G13" s="674">
        <f>industrie!F18</f>
        <v>465.24132176988002</v>
      </c>
      <c r="H13" s="674">
        <f>industrie!G18</f>
        <v>0</v>
      </c>
      <c r="I13" s="674">
        <f>industrie!H18</f>
        <v>0</v>
      </c>
      <c r="J13" s="674">
        <f>industrie!I18</f>
        <v>0</v>
      </c>
      <c r="K13" s="674">
        <f>industrie!J18</f>
        <v>8.4029767818515477</v>
      </c>
      <c r="L13" s="674">
        <f>industrie!K18</f>
        <v>0</v>
      </c>
      <c r="M13" s="674">
        <f>industrie!L18</f>
        <v>0</v>
      </c>
      <c r="N13" s="674">
        <f>industrie!M18</f>
        <v>0</v>
      </c>
      <c r="O13" s="674">
        <f>industrie!N18</f>
        <v>42.907973487720405</v>
      </c>
      <c r="P13" s="674">
        <f>industrie!O18</f>
        <v>0</v>
      </c>
      <c r="Q13" s="675">
        <f>industrie!P18</f>
        <v>0</v>
      </c>
      <c r="R13" s="677">
        <f>SUM(C13:Q13)</f>
        <v>3508.7682618672147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30893.757333762991</v>
      </c>
      <c r="D16" s="707">
        <f t="shared" ref="D16:R16" ca="1" si="0">SUM(D9:D15)</f>
        <v>0</v>
      </c>
      <c r="E16" s="707">
        <f t="shared" ca="1" si="0"/>
        <v>52725.626663671181</v>
      </c>
      <c r="F16" s="707">
        <f t="shared" si="0"/>
        <v>662.71454217492885</v>
      </c>
      <c r="G16" s="707">
        <f t="shared" ca="1" si="0"/>
        <v>16539.382393482363</v>
      </c>
      <c r="H16" s="707">
        <f t="shared" si="0"/>
        <v>0</v>
      </c>
      <c r="I16" s="707">
        <f t="shared" si="0"/>
        <v>0</v>
      </c>
      <c r="J16" s="707">
        <f t="shared" si="0"/>
        <v>0</v>
      </c>
      <c r="K16" s="707">
        <f t="shared" si="0"/>
        <v>312.86412345320923</v>
      </c>
      <c r="L16" s="707">
        <f t="shared" si="0"/>
        <v>0</v>
      </c>
      <c r="M16" s="707">
        <f t="shared" ca="1" si="0"/>
        <v>0</v>
      </c>
      <c r="N16" s="707">
        <f t="shared" si="0"/>
        <v>0</v>
      </c>
      <c r="O16" s="707">
        <f t="shared" ca="1" si="0"/>
        <v>4363.5344884348187</v>
      </c>
      <c r="P16" s="707">
        <f t="shared" si="0"/>
        <v>51.589999999999996</v>
      </c>
      <c r="Q16" s="707">
        <f t="shared" si="0"/>
        <v>38.133333333333333</v>
      </c>
      <c r="R16" s="707">
        <f t="shared" ca="1" si="0"/>
        <v>105587.6028783128</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3.373493255314663</v>
      </c>
      <c r="D19" s="674">
        <f>transport!C54</f>
        <v>0</v>
      </c>
      <c r="E19" s="674">
        <f>transport!D54</f>
        <v>0</v>
      </c>
      <c r="F19" s="674">
        <f>transport!E54</f>
        <v>0</v>
      </c>
      <c r="G19" s="674">
        <f>transport!F54</f>
        <v>0</v>
      </c>
      <c r="H19" s="674">
        <f>transport!G54</f>
        <v>731.84549234607368</v>
      </c>
      <c r="I19" s="674">
        <f>transport!H54</f>
        <v>0</v>
      </c>
      <c r="J19" s="674">
        <f>transport!I54</f>
        <v>0</v>
      </c>
      <c r="K19" s="674">
        <f>transport!J54</f>
        <v>0</v>
      </c>
      <c r="L19" s="674">
        <f>transport!K54</f>
        <v>0</v>
      </c>
      <c r="M19" s="674">
        <f>transport!L54</f>
        <v>0</v>
      </c>
      <c r="N19" s="674">
        <f>transport!M54</f>
        <v>31.334812781472959</v>
      </c>
      <c r="O19" s="674">
        <f>transport!N54</f>
        <v>0</v>
      </c>
      <c r="P19" s="674">
        <f>transport!O54</f>
        <v>0</v>
      </c>
      <c r="Q19" s="675">
        <f>transport!P54</f>
        <v>0</v>
      </c>
      <c r="R19" s="677">
        <f>SUM(C19:Q19)</f>
        <v>766.55379838286126</v>
      </c>
      <c r="S19" s="67"/>
    </row>
    <row r="20" spans="1:19" s="443" customFormat="1">
      <c r="A20" s="789" t="s">
        <v>296</v>
      </c>
      <c r="B20" s="794"/>
      <c r="C20" s="674">
        <f>transport!B14</f>
        <v>0.66282924945079669</v>
      </c>
      <c r="D20" s="674">
        <f>transport!C14</f>
        <v>0</v>
      </c>
      <c r="E20" s="674">
        <f>transport!D14</f>
        <v>2.0218572316744625</v>
      </c>
      <c r="F20" s="674">
        <f>transport!E14</f>
        <v>209.89476725467736</v>
      </c>
      <c r="G20" s="674">
        <f>transport!F14</f>
        <v>0</v>
      </c>
      <c r="H20" s="674">
        <f>transport!G14</f>
        <v>50068.110210855266</v>
      </c>
      <c r="I20" s="674">
        <f>transport!H14</f>
        <v>6701.2399853604584</v>
      </c>
      <c r="J20" s="674">
        <f>transport!I14</f>
        <v>0</v>
      </c>
      <c r="K20" s="674">
        <f>transport!J14</f>
        <v>0</v>
      </c>
      <c r="L20" s="674">
        <f>transport!K14</f>
        <v>0</v>
      </c>
      <c r="M20" s="674">
        <f>transport!L14</f>
        <v>0</v>
      </c>
      <c r="N20" s="674">
        <f>transport!M14</f>
        <v>2465.3178880741348</v>
      </c>
      <c r="O20" s="674">
        <f>transport!N14</f>
        <v>0</v>
      </c>
      <c r="P20" s="674">
        <f>transport!O14</f>
        <v>0</v>
      </c>
      <c r="Q20" s="675">
        <f>transport!P14</f>
        <v>0</v>
      </c>
      <c r="R20" s="677">
        <f>SUM(C20:Q20)</f>
        <v>59447.247538025658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4.0363225047654598</v>
      </c>
      <c r="D22" s="792">
        <f t="shared" ref="D22:R22" si="1">SUM(D18:D21)</f>
        <v>0</v>
      </c>
      <c r="E22" s="792">
        <f t="shared" si="1"/>
        <v>2.0218572316744625</v>
      </c>
      <c r="F22" s="792">
        <f t="shared" si="1"/>
        <v>209.89476725467736</v>
      </c>
      <c r="G22" s="792">
        <f t="shared" si="1"/>
        <v>0</v>
      </c>
      <c r="H22" s="792">
        <f t="shared" si="1"/>
        <v>50799.95570320134</v>
      </c>
      <c r="I22" s="792">
        <f t="shared" si="1"/>
        <v>6701.2399853604584</v>
      </c>
      <c r="J22" s="792">
        <f t="shared" si="1"/>
        <v>0</v>
      </c>
      <c r="K22" s="792">
        <f t="shared" si="1"/>
        <v>0</v>
      </c>
      <c r="L22" s="792">
        <f t="shared" si="1"/>
        <v>0</v>
      </c>
      <c r="M22" s="792">
        <f t="shared" si="1"/>
        <v>0</v>
      </c>
      <c r="N22" s="792">
        <f t="shared" si="1"/>
        <v>2496.6527008556077</v>
      </c>
      <c r="O22" s="792">
        <f t="shared" si="1"/>
        <v>0</v>
      </c>
      <c r="P22" s="792">
        <f t="shared" si="1"/>
        <v>0</v>
      </c>
      <c r="Q22" s="792">
        <f t="shared" si="1"/>
        <v>0</v>
      </c>
      <c r="R22" s="792">
        <f t="shared" si="1"/>
        <v>60213.80133640852</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95.269539776156492</v>
      </c>
      <c r="D24" s="674">
        <f>+landbouw!C8</f>
        <v>0</v>
      </c>
      <c r="E24" s="674">
        <f>+landbouw!D8</f>
        <v>13.41362890840438</v>
      </c>
      <c r="F24" s="674">
        <f>+landbouw!E8</f>
        <v>0.99768324555018906</v>
      </c>
      <c r="G24" s="674">
        <f>+landbouw!F8</f>
        <v>407.82601971815313</v>
      </c>
      <c r="H24" s="674">
        <f>+landbouw!G8</f>
        <v>0</v>
      </c>
      <c r="I24" s="674">
        <f>+landbouw!H8</f>
        <v>0</v>
      </c>
      <c r="J24" s="674">
        <f>+landbouw!I8</f>
        <v>0</v>
      </c>
      <c r="K24" s="674">
        <f>+landbouw!J8</f>
        <v>8.5084238174632976</v>
      </c>
      <c r="L24" s="674">
        <f>+landbouw!K8</f>
        <v>0</v>
      </c>
      <c r="M24" s="674">
        <f>+landbouw!L8</f>
        <v>0</v>
      </c>
      <c r="N24" s="674">
        <f>+landbouw!M8</f>
        <v>0</v>
      </c>
      <c r="O24" s="674">
        <f>+landbouw!N8</f>
        <v>0</v>
      </c>
      <c r="P24" s="674">
        <f>+landbouw!O8</f>
        <v>0</v>
      </c>
      <c r="Q24" s="675">
        <f>+landbouw!P8</f>
        <v>0</v>
      </c>
      <c r="R24" s="677">
        <f>SUM(C24:Q24)</f>
        <v>526.01529546572749</v>
      </c>
      <c r="S24" s="67"/>
    </row>
    <row r="25" spans="1:19" s="443" customFormat="1" ht="15" thickBot="1">
      <c r="A25" s="811" t="s">
        <v>889</v>
      </c>
      <c r="B25" s="966"/>
      <c r="C25" s="967">
        <f>IF(Onbekend_ele_kWh="---",0,Onbekend_ele_kWh)/1000+IF(REST_rest_ele_kWh="---",0,REST_rest_ele_kWh)/1000</f>
        <v>1011.9448587123701</v>
      </c>
      <c r="D25" s="967"/>
      <c r="E25" s="967">
        <f>IF(onbekend_gas_kWh="---",0,onbekend_gas_kWh)/1000+IF(REST_rest_gas_kWh="---",0,REST_rest_gas_kWh)/1000</f>
        <v>2022.9886168052501</v>
      </c>
      <c r="F25" s="967"/>
      <c r="G25" s="967"/>
      <c r="H25" s="967"/>
      <c r="I25" s="967"/>
      <c r="J25" s="967"/>
      <c r="K25" s="967"/>
      <c r="L25" s="967"/>
      <c r="M25" s="967"/>
      <c r="N25" s="967"/>
      <c r="O25" s="967"/>
      <c r="P25" s="967"/>
      <c r="Q25" s="968"/>
      <c r="R25" s="677">
        <f>SUM(C25:Q25)</f>
        <v>3034.9334755176201</v>
      </c>
      <c r="S25" s="67"/>
    </row>
    <row r="26" spans="1:19" s="443" customFormat="1" ht="15.75" thickBot="1">
      <c r="A26" s="680" t="s">
        <v>890</v>
      </c>
      <c r="B26" s="797"/>
      <c r="C26" s="792">
        <f>SUM(C24:C25)</f>
        <v>1107.2143984885265</v>
      </c>
      <c r="D26" s="792">
        <f t="shared" ref="D26:R26" si="2">SUM(D24:D25)</f>
        <v>0</v>
      </c>
      <c r="E26" s="792">
        <f t="shared" si="2"/>
        <v>2036.4022457136546</v>
      </c>
      <c r="F26" s="792">
        <f t="shared" si="2"/>
        <v>0.99768324555018906</v>
      </c>
      <c r="G26" s="792">
        <f t="shared" si="2"/>
        <v>407.82601971815313</v>
      </c>
      <c r="H26" s="792">
        <f t="shared" si="2"/>
        <v>0</v>
      </c>
      <c r="I26" s="792">
        <f t="shared" si="2"/>
        <v>0</v>
      </c>
      <c r="J26" s="792">
        <f t="shared" si="2"/>
        <v>0</v>
      </c>
      <c r="K26" s="792">
        <f t="shared" si="2"/>
        <v>8.5084238174632976</v>
      </c>
      <c r="L26" s="792">
        <f t="shared" si="2"/>
        <v>0</v>
      </c>
      <c r="M26" s="792">
        <f t="shared" si="2"/>
        <v>0</v>
      </c>
      <c r="N26" s="792">
        <f t="shared" si="2"/>
        <v>0</v>
      </c>
      <c r="O26" s="792">
        <f t="shared" si="2"/>
        <v>0</v>
      </c>
      <c r="P26" s="792">
        <f t="shared" si="2"/>
        <v>0</v>
      </c>
      <c r="Q26" s="792">
        <f t="shared" si="2"/>
        <v>0</v>
      </c>
      <c r="R26" s="792">
        <f t="shared" si="2"/>
        <v>3560.9487709833475</v>
      </c>
      <c r="S26" s="67"/>
    </row>
    <row r="27" spans="1:19" s="443" customFormat="1" ht="17.25" thickTop="1" thickBot="1">
      <c r="A27" s="681" t="s">
        <v>109</v>
      </c>
      <c r="B27" s="784"/>
      <c r="C27" s="682">
        <f ca="1">C22+C16+C26</f>
        <v>32005.008054756283</v>
      </c>
      <c r="D27" s="682">
        <f t="shared" ref="D27:R27" ca="1" si="3">D22+D16+D26</f>
        <v>0</v>
      </c>
      <c r="E27" s="682">
        <f t="shared" ca="1" si="3"/>
        <v>54764.050766616507</v>
      </c>
      <c r="F27" s="682">
        <f t="shared" si="3"/>
        <v>873.60699267515645</v>
      </c>
      <c r="G27" s="682">
        <f t="shared" ca="1" si="3"/>
        <v>16947.208413200515</v>
      </c>
      <c r="H27" s="682">
        <f t="shared" si="3"/>
        <v>50799.95570320134</v>
      </c>
      <c r="I27" s="682">
        <f t="shared" si="3"/>
        <v>6701.2399853604584</v>
      </c>
      <c r="J27" s="682">
        <f t="shared" si="3"/>
        <v>0</v>
      </c>
      <c r="K27" s="682">
        <f t="shared" si="3"/>
        <v>321.37254727067256</v>
      </c>
      <c r="L27" s="682">
        <f t="shared" si="3"/>
        <v>0</v>
      </c>
      <c r="M27" s="682">
        <f t="shared" ca="1" si="3"/>
        <v>0</v>
      </c>
      <c r="N27" s="682">
        <f t="shared" si="3"/>
        <v>2496.6527008556077</v>
      </c>
      <c r="O27" s="682">
        <f t="shared" ca="1" si="3"/>
        <v>4363.5344884348187</v>
      </c>
      <c r="P27" s="682">
        <f t="shared" si="3"/>
        <v>51.589999999999996</v>
      </c>
      <c r="Q27" s="682">
        <f t="shared" si="3"/>
        <v>38.133333333333333</v>
      </c>
      <c r="R27" s="682">
        <f t="shared" ca="1" si="3"/>
        <v>169362.35298570467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2278.1479866638774</v>
      </c>
      <c r="D40" s="674">
        <f ca="1">tertiair!C20</f>
        <v>0</v>
      </c>
      <c r="E40" s="674">
        <f ca="1">tertiair!D20</f>
        <v>2638.7810234010612</v>
      </c>
      <c r="F40" s="674">
        <f>tertiair!E20</f>
        <v>56.836373098451787</v>
      </c>
      <c r="G40" s="674">
        <f ca="1">tertiair!F20</f>
        <v>681.65894791441542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5655.4243310778056</v>
      </c>
    </row>
    <row r="41" spans="1:18">
      <c r="A41" s="802" t="s">
        <v>214</v>
      </c>
      <c r="B41" s="809"/>
      <c r="C41" s="674">
        <f ca="1">huishoudens!B12</f>
        <v>2522.249307549509</v>
      </c>
      <c r="D41" s="674">
        <f ca="1">huishoudens!C12</f>
        <v>0</v>
      </c>
      <c r="E41" s="674">
        <f>huishoudens!D12</f>
        <v>7726.3183919861904</v>
      </c>
      <c r="F41" s="674">
        <f>huishoudens!E12</f>
        <v>89.917873405469962</v>
      </c>
      <c r="G41" s="674">
        <f>huishoudens!F12</f>
        <v>3610.1367182328177</v>
      </c>
      <c r="H41" s="674">
        <f>huishoudens!G12</f>
        <v>0</v>
      </c>
      <c r="I41" s="674">
        <f>huishoudens!H12</f>
        <v>0</v>
      </c>
      <c r="J41" s="674">
        <f>huishoudens!I12</f>
        <v>0</v>
      </c>
      <c r="K41" s="674">
        <f>huishoudens!J12</f>
        <v>107.77924592166062</v>
      </c>
      <c r="L41" s="674">
        <f>huishoudens!K12</f>
        <v>0</v>
      </c>
      <c r="M41" s="674">
        <f>huishoudens!L12</f>
        <v>0</v>
      </c>
      <c r="N41" s="674">
        <f>huishoudens!M12</f>
        <v>0</v>
      </c>
      <c r="O41" s="674">
        <f>huishoudens!N12</f>
        <v>0</v>
      </c>
      <c r="P41" s="674">
        <f>huishoudens!O12</f>
        <v>0</v>
      </c>
      <c r="Q41" s="749">
        <f>huishoudens!P12</f>
        <v>0</v>
      </c>
      <c r="R41" s="830">
        <f t="shared" ca="1" si="4"/>
        <v>14056.401537095646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255.76289959149537</v>
      </c>
      <c r="D43" s="674">
        <f ca="1">industrie!C22</f>
        <v>0</v>
      </c>
      <c r="E43" s="674">
        <f>industrie!D22</f>
        <v>285.47717067432785</v>
      </c>
      <c r="F43" s="674">
        <f>industrie!E22</f>
        <v>3.6819545697871123</v>
      </c>
      <c r="G43" s="674">
        <f>industrie!F22</f>
        <v>124.21943291255798</v>
      </c>
      <c r="H43" s="674">
        <f>industrie!G22</f>
        <v>0</v>
      </c>
      <c r="I43" s="674">
        <f>industrie!H22</f>
        <v>0</v>
      </c>
      <c r="J43" s="674">
        <f>industrie!I22</f>
        <v>0</v>
      </c>
      <c r="K43" s="674">
        <f>industrie!J22</f>
        <v>2.9746537807754478</v>
      </c>
      <c r="L43" s="674">
        <f>industrie!K22</f>
        <v>0</v>
      </c>
      <c r="M43" s="674">
        <f>industrie!L22</f>
        <v>0</v>
      </c>
      <c r="N43" s="674">
        <f>industrie!M22</f>
        <v>0</v>
      </c>
      <c r="O43" s="674">
        <f>industrie!N22</f>
        <v>0</v>
      </c>
      <c r="P43" s="674">
        <f>industrie!O22</f>
        <v>0</v>
      </c>
      <c r="Q43" s="749">
        <f>industrie!P22</f>
        <v>0</v>
      </c>
      <c r="R43" s="829">
        <f t="shared" ca="1" si="4"/>
        <v>672.11611152894375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5056.1601938048816</v>
      </c>
      <c r="D46" s="707">
        <f t="shared" ref="D46:Q46" ca="1" si="5">SUM(D39:D45)</f>
        <v>0</v>
      </c>
      <c r="E46" s="707">
        <f t="shared" ca="1" si="5"/>
        <v>10650.576586061581</v>
      </c>
      <c r="F46" s="707">
        <f t="shared" si="5"/>
        <v>150.43620107370887</v>
      </c>
      <c r="G46" s="707">
        <f t="shared" ca="1" si="5"/>
        <v>4416.0150990597904</v>
      </c>
      <c r="H46" s="707">
        <f t="shared" si="5"/>
        <v>0</v>
      </c>
      <c r="I46" s="707">
        <f t="shared" si="5"/>
        <v>0</v>
      </c>
      <c r="J46" s="707">
        <f t="shared" si="5"/>
        <v>0</v>
      </c>
      <c r="K46" s="707">
        <f t="shared" si="5"/>
        <v>110.75389970243606</v>
      </c>
      <c r="L46" s="707">
        <f t="shared" si="5"/>
        <v>0</v>
      </c>
      <c r="M46" s="707">
        <f t="shared" ca="1" si="5"/>
        <v>0</v>
      </c>
      <c r="N46" s="707">
        <f t="shared" si="5"/>
        <v>0</v>
      </c>
      <c r="O46" s="707">
        <f t="shared" ca="1" si="5"/>
        <v>0</v>
      </c>
      <c r="P46" s="707">
        <f t="shared" si="5"/>
        <v>0</v>
      </c>
      <c r="Q46" s="707">
        <f t="shared" si="5"/>
        <v>0</v>
      </c>
      <c r="R46" s="707">
        <f ca="1">SUM(R39:R45)</f>
        <v>20383.941979702395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0.55211550111291186</v>
      </c>
      <c r="D49" s="674">
        <f ca="1">transport!C58</f>
        <v>0</v>
      </c>
      <c r="E49" s="674">
        <f>transport!D58</f>
        <v>0</v>
      </c>
      <c r="F49" s="674">
        <f>transport!E58</f>
        <v>0</v>
      </c>
      <c r="G49" s="674">
        <f>transport!F58</f>
        <v>0</v>
      </c>
      <c r="H49" s="674">
        <f>transport!G58</f>
        <v>195.40274645640167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195.95486195751459</v>
      </c>
    </row>
    <row r="50" spans="1:18">
      <c r="A50" s="805" t="s">
        <v>296</v>
      </c>
      <c r="B50" s="815"/>
      <c r="C50" s="973">
        <f ca="1">transport!B18</f>
        <v>0.10848052019558196</v>
      </c>
      <c r="D50" s="973">
        <f>transport!C18</f>
        <v>0</v>
      </c>
      <c r="E50" s="973">
        <f>transport!D18</f>
        <v>0.40841516079824147</v>
      </c>
      <c r="F50" s="973">
        <f>transport!E18</f>
        <v>47.646112166811761</v>
      </c>
      <c r="G50" s="973">
        <f>transport!F18</f>
        <v>0</v>
      </c>
      <c r="H50" s="973">
        <f>transport!G18</f>
        <v>13368.185426298356</v>
      </c>
      <c r="I50" s="973">
        <f>transport!H18</f>
        <v>1668.6087563547542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15084.957190500914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0.66059602130849382</v>
      </c>
      <c r="D52" s="707">
        <f t="shared" ref="D52:Q52" ca="1" si="6">SUM(D48:D51)</f>
        <v>0</v>
      </c>
      <c r="E52" s="707">
        <f t="shared" si="6"/>
        <v>0.40841516079824147</v>
      </c>
      <c r="F52" s="707">
        <f t="shared" si="6"/>
        <v>47.646112166811761</v>
      </c>
      <c r="G52" s="707">
        <f t="shared" si="6"/>
        <v>0</v>
      </c>
      <c r="H52" s="707">
        <f t="shared" si="6"/>
        <v>13563.588172754758</v>
      </c>
      <c r="I52" s="707">
        <f t="shared" si="6"/>
        <v>1668.6087563547542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15280.912052458429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15.592083847045627</v>
      </c>
      <c r="D54" s="973">
        <f ca="1">+landbouw!C12</f>
        <v>0</v>
      </c>
      <c r="E54" s="973">
        <f>+landbouw!D12</f>
        <v>2.7095530394976848</v>
      </c>
      <c r="F54" s="973">
        <f>+landbouw!E12</f>
        <v>0.22647409673989291</v>
      </c>
      <c r="G54" s="973">
        <f>+landbouw!F12</f>
        <v>108.88954726474689</v>
      </c>
      <c r="H54" s="973">
        <f>+landbouw!G12</f>
        <v>0</v>
      </c>
      <c r="I54" s="973">
        <f>+landbouw!H12</f>
        <v>0</v>
      </c>
      <c r="J54" s="973">
        <f>+landbouw!I12</f>
        <v>0</v>
      </c>
      <c r="K54" s="973">
        <f>+landbouw!J12</f>
        <v>3.0119820313820074</v>
      </c>
      <c r="L54" s="973">
        <f>+landbouw!K12</f>
        <v>0</v>
      </c>
      <c r="M54" s="973">
        <f>+landbouw!L12</f>
        <v>0</v>
      </c>
      <c r="N54" s="973">
        <f>+landbouw!M12</f>
        <v>0</v>
      </c>
      <c r="O54" s="973">
        <f>+landbouw!N12</f>
        <v>0</v>
      </c>
      <c r="P54" s="973">
        <f>+landbouw!O12</f>
        <v>0</v>
      </c>
      <c r="Q54" s="974">
        <f>+landbouw!P12</f>
        <v>0</v>
      </c>
      <c r="R54" s="706">
        <f ca="1">SUM(C54:Q54)</f>
        <v>130.42964027941213</v>
      </c>
    </row>
    <row r="55" spans="1:18" ht="15" thickBot="1">
      <c r="A55" s="805" t="s">
        <v>889</v>
      </c>
      <c r="B55" s="815"/>
      <c r="C55" s="973">
        <f ca="1">C25*'EF ele_warmte'!B12</f>
        <v>165.61777376801106</v>
      </c>
      <c r="D55" s="973"/>
      <c r="E55" s="973">
        <f>E25*EF_CO2_aardgas</f>
        <v>408.64370059466057</v>
      </c>
      <c r="F55" s="973"/>
      <c r="G55" s="973"/>
      <c r="H55" s="973"/>
      <c r="I55" s="973"/>
      <c r="J55" s="973"/>
      <c r="K55" s="973"/>
      <c r="L55" s="973"/>
      <c r="M55" s="973"/>
      <c r="N55" s="973"/>
      <c r="O55" s="973"/>
      <c r="P55" s="973"/>
      <c r="Q55" s="974"/>
      <c r="R55" s="706">
        <f ca="1">SUM(C55:Q55)</f>
        <v>574.26147436267161</v>
      </c>
    </row>
    <row r="56" spans="1:18" ht="15.75" thickBot="1">
      <c r="A56" s="803" t="s">
        <v>890</v>
      </c>
      <c r="B56" s="816"/>
      <c r="C56" s="707">
        <f ca="1">SUM(C54:C55)</f>
        <v>181.20985761505668</v>
      </c>
      <c r="D56" s="707">
        <f t="shared" ref="D56:Q56" ca="1" si="7">SUM(D54:D55)</f>
        <v>0</v>
      </c>
      <c r="E56" s="707">
        <f t="shared" si="7"/>
        <v>411.35325363415825</v>
      </c>
      <c r="F56" s="707">
        <f t="shared" si="7"/>
        <v>0.22647409673989291</v>
      </c>
      <c r="G56" s="707">
        <f t="shared" si="7"/>
        <v>108.88954726474689</v>
      </c>
      <c r="H56" s="707">
        <f t="shared" si="7"/>
        <v>0</v>
      </c>
      <c r="I56" s="707">
        <f t="shared" si="7"/>
        <v>0</v>
      </c>
      <c r="J56" s="707">
        <f t="shared" si="7"/>
        <v>0</v>
      </c>
      <c r="K56" s="707">
        <f t="shared" si="7"/>
        <v>3.0119820313820074</v>
      </c>
      <c r="L56" s="707">
        <f t="shared" si="7"/>
        <v>0</v>
      </c>
      <c r="M56" s="707">
        <f t="shared" si="7"/>
        <v>0</v>
      </c>
      <c r="N56" s="707">
        <f t="shared" si="7"/>
        <v>0</v>
      </c>
      <c r="O56" s="707">
        <f t="shared" si="7"/>
        <v>0</v>
      </c>
      <c r="P56" s="707">
        <f t="shared" si="7"/>
        <v>0</v>
      </c>
      <c r="Q56" s="708">
        <f t="shared" si="7"/>
        <v>0</v>
      </c>
      <c r="R56" s="709">
        <f ca="1">SUM(R54:R55)</f>
        <v>704.69111464208368</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5238.0306474412464</v>
      </c>
      <c r="D61" s="715">
        <f t="shared" ref="D61:Q61" ca="1" si="8">D46+D52+D56</f>
        <v>0</v>
      </c>
      <c r="E61" s="715">
        <f t="shared" ca="1" si="8"/>
        <v>11062.338254856539</v>
      </c>
      <c r="F61" s="715">
        <f t="shared" si="8"/>
        <v>198.30878733726055</v>
      </c>
      <c r="G61" s="715">
        <f t="shared" ca="1" si="8"/>
        <v>4524.9046463245377</v>
      </c>
      <c r="H61" s="715">
        <f t="shared" si="8"/>
        <v>13563.588172754758</v>
      </c>
      <c r="I61" s="715">
        <f t="shared" si="8"/>
        <v>1668.6087563547542</v>
      </c>
      <c r="J61" s="715">
        <f t="shared" si="8"/>
        <v>0</v>
      </c>
      <c r="K61" s="715">
        <f t="shared" si="8"/>
        <v>113.76588173381806</v>
      </c>
      <c r="L61" s="715">
        <f t="shared" si="8"/>
        <v>0</v>
      </c>
      <c r="M61" s="715">
        <f t="shared" ca="1" si="8"/>
        <v>0</v>
      </c>
      <c r="N61" s="715">
        <f t="shared" si="8"/>
        <v>0</v>
      </c>
      <c r="O61" s="715">
        <f t="shared" ca="1" si="8"/>
        <v>0</v>
      </c>
      <c r="P61" s="715">
        <f t="shared" si="8"/>
        <v>0</v>
      </c>
      <c r="Q61" s="715">
        <f t="shared" si="8"/>
        <v>0</v>
      </c>
      <c r="R61" s="715">
        <f ca="1">R46+R52+R56</f>
        <v>36369.545146802906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0.1636628442173699</v>
      </c>
      <c r="D63" s="759">
        <f t="shared" ca="1" si="9"/>
        <v>0</v>
      </c>
      <c r="E63" s="975">
        <f t="shared" ca="1" si="9"/>
        <v>0.20200000000000007</v>
      </c>
      <c r="F63" s="759">
        <f t="shared" si="9"/>
        <v>0.22700000000000004</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7433.4089660953277</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870.10294639287031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8303.5119124881985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15411.251830620555</v>
      </c>
      <c r="C4" s="447">
        <f>huishoudens!C8</f>
        <v>0</v>
      </c>
      <c r="D4" s="447">
        <f>huishoudens!D8</f>
        <v>38249.100950426684</v>
      </c>
      <c r="E4" s="447">
        <f>huishoudens!E8</f>
        <v>396.11397975977957</v>
      </c>
      <c r="F4" s="447">
        <f>huishoudens!F8</f>
        <v>13521.111304242762</v>
      </c>
      <c r="G4" s="447">
        <f>huishoudens!G8</f>
        <v>0</v>
      </c>
      <c r="H4" s="447">
        <f>huishoudens!H8</f>
        <v>0</v>
      </c>
      <c r="I4" s="447">
        <f>huishoudens!I8</f>
        <v>0</v>
      </c>
      <c r="J4" s="447">
        <f>huishoudens!J8</f>
        <v>304.46114667135771</v>
      </c>
      <c r="K4" s="447">
        <f>huishoudens!K8</f>
        <v>0</v>
      </c>
      <c r="L4" s="447">
        <f>huishoudens!L8</f>
        <v>0</v>
      </c>
      <c r="M4" s="447">
        <f>huishoudens!M8</f>
        <v>0</v>
      </c>
      <c r="N4" s="447">
        <f>huishoudens!N8</f>
        <v>3770.843258074593</v>
      </c>
      <c r="O4" s="447">
        <f>huishoudens!O8</f>
        <v>51.589999999999996</v>
      </c>
      <c r="P4" s="448">
        <f>huishoudens!P8</f>
        <v>38.133333333333333</v>
      </c>
      <c r="Q4" s="449">
        <f>SUM(B4:P4)</f>
        <v>71742.605803129045</v>
      </c>
    </row>
    <row r="5" spans="1:17">
      <c r="A5" s="446" t="s">
        <v>149</v>
      </c>
      <c r="B5" s="447">
        <f ca="1">tertiair!B16</f>
        <v>13503.083897668694</v>
      </c>
      <c r="C5" s="447">
        <f ca="1">tertiair!C16</f>
        <v>0</v>
      </c>
      <c r="D5" s="447">
        <f ca="1">tertiair!D16</f>
        <v>13063.27239307456</v>
      </c>
      <c r="E5" s="447">
        <f>tertiair!E16</f>
        <v>250.38049823106513</v>
      </c>
      <c r="F5" s="447">
        <f ca="1">tertiair!F16</f>
        <v>2553.0297674697204</v>
      </c>
      <c r="G5" s="447">
        <f>tertiair!G16</f>
        <v>0</v>
      </c>
      <c r="H5" s="447">
        <f>tertiair!H16</f>
        <v>0</v>
      </c>
      <c r="I5" s="447">
        <f>tertiair!I16</f>
        <v>0</v>
      </c>
      <c r="J5" s="447">
        <f>tertiair!J16</f>
        <v>0</v>
      </c>
      <c r="K5" s="447">
        <f>tertiair!K16</f>
        <v>0</v>
      </c>
      <c r="L5" s="447">
        <f ca="1">tertiair!L16</f>
        <v>0</v>
      </c>
      <c r="M5" s="447">
        <f>tertiair!M16</f>
        <v>0</v>
      </c>
      <c r="N5" s="447">
        <f ca="1">tertiair!N16</f>
        <v>549.78325687250549</v>
      </c>
      <c r="O5" s="447">
        <f>tertiair!O16</f>
        <v>0</v>
      </c>
      <c r="P5" s="448">
        <f>tertiair!P16</f>
        <v>0</v>
      </c>
      <c r="Q5" s="446">
        <f t="shared" ref="Q5:Q14" ca="1" si="0">SUM(B5:P5)</f>
        <v>29919.549813316546</v>
      </c>
    </row>
    <row r="6" spans="1:17">
      <c r="A6" s="446" t="s">
        <v>187</v>
      </c>
      <c r="B6" s="447">
        <f>'openbare verlichting'!B8</f>
        <v>416.67899999999997</v>
      </c>
      <c r="C6" s="447"/>
      <c r="D6" s="447"/>
      <c r="E6" s="447"/>
      <c r="F6" s="447"/>
      <c r="G6" s="447"/>
      <c r="H6" s="447"/>
      <c r="I6" s="447"/>
      <c r="J6" s="447"/>
      <c r="K6" s="447"/>
      <c r="L6" s="447"/>
      <c r="M6" s="447"/>
      <c r="N6" s="447"/>
      <c r="O6" s="447"/>
      <c r="P6" s="448"/>
      <c r="Q6" s="446">
        <f t="shared" si="0"/>
        <v>416.67899999999997</v>
      </c>
    </row>
    <row r="7" spans="1:17">
      <c r="A7" s="446" t="s">
        <v>105</v>
      </c>
      <c r="B7" s="447">
        <f>landbouw!B8</f>
        <v>95.269539776156492</v>
      </c>
      <c r="C7" s="447">
        <f>landbouw!C8</f>
        <v>0</v>
      </c>
      <c r="D7" s="447">
        <f>landbouw!D8</f>
        <v>13.41362890840438</v>
      </c>
      <c r="E7" s="447">
        <f>landbouw!E8</f>
        <v>0.99768324555018906</v>
      </c>
      <c r="F7" s="447">
        <f>landbouw!F8</f>
        <v>407.82601971815313</v>
      </c>
      <c r="G7" s="447">
        <f>landbouw!G8</f>
        <v>0</v>
      </c>
      <c r="H7" s="447">
        <f>landbouw!H8</f>
        <v>0</v>
      </c>
      <c r="I7" s="447">
        <f>landbouw!I8</f>
        <v>0</v>
      </c>
      <c r="J7" s="447">
        <f>landbouw!J8</f>
        <v>8.5084238174632976</v>
      </c>
      <c r="K7" s="447">
        <f>landbouw!K8</f>
        <v>0</v>
      </c>
      <c r="L7" s="447">
        <f>landbouw!L8</f>
        <v>0</v>
      </c>
      <c r="M7" s="447">
        <f>landbouw!M8</f>
        <v>0</v>
      </c>
      <c r="N7" s="447">
        <f>landbouw!N8</f>
        <v>0</v>
      </c>
      <c r="O7" s="447">
        <f>landbouw!O8</f>
        <v>0</v>
      </c>
      <c r="P7" s="448">
        <f>landbouw!P8</f>
        <v>0</v>
      </c>
      <c r="Q7" s="446">
        <f t="shared" si="0"/>
        <v>526.01529546572749</v>
      </c>
    </row>
    <row r="8" spans="1:17">
      <c r="A8" s="446" t="s">
        <v>637</v>
      </c>
      <c r="B8" s="447">
        <f>industrie!B18</f>
        <v>1562.7426054737391</v>
      </c>
      <c r="C8" s="447">
        <f>industrie!C18</f>
        <v>0</v>
      </c>
      <c r="D8" s="447">
        <f>industrie!D18</f>
        <v>1413.2533201699398</v>
      </c>
      <c r="E8" s="447">
        <f>industrie!E18</f>
        <v>16.220064184084194</v>
      </c>
      <c r="F8" s="447">
        <f>industrie!F18</f>
        <v>465.24132176988002</v>
      </c>
      <c r="G8" s="447">
        <f>industrie!G18</f>
        <v>0</v>
      </c>
      <c r="H8" s="447">
        <f>industrie!H18</f>
        <v>0</v>
      </c>
      <c r="I8" s="447">
        <f>industrie!I18</f>
        <v>0</v>
      </c>
      <c r="J8" s="447">
        <f>industrie!J18</f>
        <v>8.4029767818515477</v>
      </c>
      <c r="K8" s="447">
        <f>industrie!K18</f>
        <v>0</v>
      </c>
      <c r="L8" s="447">
        <f>industrie!L18</f>
        <v>0</v>
      </c>
      <c r="M8" s="447">
        <f>industrie!M18</f>
        <v>0</v>
      </c>
      <c r="N8" s="447">
        <f>industrie!N18</f>
        <v>42.907973487720405</v>
      </c>
      <c r="O8" s="447">
        <f>industrie!O18</f>
        <v>0</v>
      </c>
      <c r="P8" s="448">
        <f>industrie!P18</f>
        <v>0</v>
      </c>
      <c r="Q8" s="446">
        <f t="shared" si="0"/>
        <v>3508.7682618672147</v>
      </c>
    </row>
    <row r="9" spans="1:17" s="452" customFormat="1">
      <c r="A9" s="450" t="s">
        <v>556</v>
      </c>
      <c r="B9" s="451">
        <f>transport!B14</f>
        <v>0.66282924945079669</v>
      </c>
      <c r="C9" s="451">
        <f>transport!C14</f>
        <v>0</v>
      </c>
      <c r="D9" s="451">
        <f>transport!D14</f>
        <v>2.0218572316744625</v>
      </c>
      <c r="E9" s="451">
        <f>transport!E14</f>
        <v>209.89476725467736</v>
      </c>
      <c r="F9" s="451">
        <f>transport!F14</f>
        <v>0</v>
      </c>
      <c r="G9" s="451">
        <f>transport!G14</f>
        <v>50068.110210855266</v>
      </c>
      <c r="H9" s="451">
        <f>transport!H14</f>
        <v>6701.2399853604584</v>
      </c>
      <c r="I9" s="451">
        <f>transport!I14</f>
        <v>0</v>
      </c>
      <c r="J9" s="451">
        <f>transport!J14</f>
        <v>0</v>
      </c>
      <c r="K9" s="451">
        <f>transport!K14</f>
        <v>0</v>
      </c>
      <c r="L9" s="451">
        <f>transport!L14</f>
        <v>0</v>
      </c>
      <c r="M9" s="451">
        <f>transport!M14</f>
        <v>2465.3178880741348</v>
      </c>
      <c r="N9" s="451">
        <f>transport!N14</f>
        <v>0</v>
      </c>
      <c r="O9" s="451">
        <f>transport!O14</f>
        <v>0</v>
      </c>
      <c r="P9" s="451">
        <f>transport!P14</f>
        <v>0</v>
      </c>
      <c r="Q9" s="450">
        <f>SUM(B9:P9)</f>
        <v>59447.247538025658</v>
      </c>
    </row>
    <row r="10" spans="1:17">
      <c r="A10" s="446" t="s">
        <v>546</v>
      </c>
      <c r="B10" s="447">
        <f>transport!B54</f>
        <v>3.373493255314663</v>
      </c>
      <c r="C10" s="447">
        <f>transport!C54</f>
        <v>0</v>
      </c>
      <c r="D10" s="447">
        <f>transport!D54</f>
        <v>0</v>
      </c>
      <c r="E10" s="447">
        <f>transport!E54</f>
        <v>0</v>
      </c>
      <c r="F10" s="447">
        <f>transport!F54</f>
        <v>0</v>
      </c>
      <c r="G10" s="447">
        <f>transport!G54</f>
        <v>731.84549234607368</v>
      </c>
      <c r="H10" s="447">
        <f>transport!H54</f>
        <v>0</v>
      </c>
      <c r="I10" s="447">
        <f>transport!I54</f>
        <v>0</v>
      </c>
      <c r="J10" s="447">
        <f>transport!J54</f>
        <v>0</v>
      </c>
      <c r="K10" s="447">
        <f>transport!K54</f>
        <v>0</v>
      </c>
      <c r="L10" s="447">
        <f>transport!L54</f>
        <v>0</v>
      </c>
      <c r="M10" s="447">
        <f>transport!M54</f>
        <v>31.334812781472959</v>
      </c>
      <c r="N10" s="447">
        <f>transport!N54</f>
        <v>0</v>
      </c>
      <c r="O10" s="447">
        <f>transport!O54</f>
        <v>0</v>
      </c>
      <c r="P10" s="448">
        <f>transport!P54</f>
        <v>0</v>
      </c>
      <c r="Q10" s="446">
        <f t="shared" si="0"/>
        <v>766.55379838286126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1011.9448587123701</v>
      </c>
      <c r="C14" s="454"/>
      <c r="D14" s="454">
        <f>'SEAP template'!E25</f>
        <v>2022.9886168052501</v>
      </c>
      <c r="E14" s="454"/>
      <c r="F14" s="454"/>
      <c r="G14" s="454"/>
      <c r="H14" s="454"/>
      <c r="I14" s="454"/>
      <c r="J14" s="454"/>
      <c r="K14" s="454"/>
      <c r="L14" s="454"/>
      <c r="M14" s="454"/>
      <c r="N14" s="454"/>
      <c r="O14" s="454"/>
      <c r="P14" s="455"/>
      <c r="Q14" s="446">
        <f t="shared" si="0"/>
        <v>3034.9334755176201</v>
      </c>
    </row>
    <row r="15" spans="1:17" s="459" customFormat="1">
      <c r="A15" s="456" t="s">
        <v>550</v>
      </c>
      <c r="B15" s="457">
        <f ca="1">SUM(B4:B14)</f>
        <v>32005.008054756279</v>
      </c>
      <c r="C15" s="457">
        <f t="shared" ref="C15:Q15" ca="1" si="1">SUM(C4:C14)</f>
        <v>0</v>
      </c>
      <c r="D15" s="457">
        <f t="shared" ca="1" si="1"/>
        <v>54764.050766616507</v>
      </c>
      <c r="E15" s="457">
        <f t="shared" si="1"/>
        <v>873.60699267515645</v>
      </c>
      <c r="F15" s="457">
        <f t="shared" ca="1" si="1"/>
        <v>16947.208413200515</v>
      </c>
      <c r="G15" s="457">
        <f t="shared" si="1"/>
        <v>50799.95570320134</v>
      </c>
      <c r="H15" s="457">
        <f t="shared" si="1"/>
        <v>6701.2399853604584</v>
      </c>
      <c r="I15" s="457">
        <f t="shared" si="1"/>
        <v>0</v>
      </c>
      <c r="J15" s="457">
        <f t="shared" si="1"/>
        <v>321.37254727067256</v>
      </c>
      <c r="K15" s="457">
        <f t="shared" si="1"/>
        <v>0</v>
      </c>
      <c r="L15" s="457">
        <f t="shared" ca="1" si="1"/>
        <v>0</v>
      </c>
      <c r="M15" s="457">
        <f t="shared" si="1"/>
        <v>2496.6527008556077</v>
      </c>
      <c r="N15" s="457">
        <f t="shared" ca="1" si="1"/>
        <v>4363.5344884348187</v>
      </c>
      <c r="O15" s="457">
        <f t="shared" si="1"/>
        <v>51.589999999999996</v>
      </c>
      <c r="P15" s="457">
        <f t="shared" si="1"/>
        <v>38.133333333333333</v>
      </c>
      <c r="Q15" s="457">
        <f t="shared" ca="1" si="1"/>
        <v>169362.35298570467</v>
      </c>
    </row>
    <row r="17" spans="1:17">
      <c r="A17" s="460" t="s">
        <v>551</v>
      </c>
      <c r="B17" s="764">
        <f ca="1">huishoudens!B10</f>
        <v>0.16366284421736993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2522.249307549509</v>
      </c>
      <c r="C22" s="447">
        <f t="shared" ref="C22:C32" ca="1" si="3">C4*$C$17</f>
        <v>0</v>
      </c>
      <c r="D22" s="447">
        <f t="shared" ref="D22:D32" si="4">D4*$D$17</f>
        <v>7726.3183919861904</v>
      </c>
      <c r="E22" s="447">
        <f t="shared" ref="E22:E32" si="5">E4*$E$17</f>
        <v>89.917873405469962</v>
      </c>
      <c r="F22" s="447">
        <f t="shared" ref="F22:F32" si="6">F4*$F$17</f>
        <v>3610.1367182328177</v>
      </c>
      <c r="G22" s="447">
        <f t="shared" ref="G22:G32" si="7">G4*$G$17</f>
        <v>0</v>
      </c>
      <c r="H22" s="447">
        <f t="shared" ref="H22:H32" si="8">H4*$H$17</f>
        <v>0</v>
      </c>
      <c r="I22" s="447">
        <f t="shared" ref="I22:I32" si="9">I4*$I$17</f>
        <v>0</v>
      </c>
      <c r="J22" s="447">
        <f t="shared" ref="J22:J32" si="10">J4*$J$17</f>
        <v>107.77924592166062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14056.401537095646</v>
      </c>
    </row>
    <row r="23" spans="1:17">
      <c r="A23" s="446" t="s">
        <v>149</v>
      </c>
      <c r="B23" s="447">
        <f t="shared" ca="1" si="2"/>
        <v>2209.9531163982278</v>
      </c>
      <c r="C23" s="447">
        <f t="shared" ca="1" si="3"/>
        <v>0</v>
      </c>
      <c r="D23" s="447">
        <f t="shared" ca="1" si="4"/>
        <v>2638.7810234010612</v>
      </c>
      <c r="E23" s="447">
        <f t="shared" si="5"/>
        <v>56.836373098451787</v>
      </c>
      <c r="F23" s="447">
        <f t="shared" ca="1" si="6"/>
        <v>681.65894791441542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5587.2294608121574</v>
      </c>
    </row>
    <row r="24" spans="1:17">
      <c r="A24" s="446" t="s">
        <v>187</v>
      </c>
      <c r="B24" s="447">
        <f t="shared" ca="1" si="2"/>
        <v>68.194870265649485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68.194870265649485</v>
      </c>
    </row>
    <row r="25" spans="1:17">
      <c r="A25" s="446" t="s">
        <v>105</v>
      </c>
      <c r="B25" s="447">
        <f t="shared" ca="1" si="2"/>
        <v>15.592083847045627</v>
      </c>
      <c r="C25" s="447">
        <f t="shared" ca="1" si="3"/>
        <v>0</v>
      </c>
      <c r="D25" s="447">
        <f t="shared" si="4"/>
        <v>2.7095530394976848</v>
      </c>
      <c r="E25" s="447">
        <f t="shared" si="5"/>
        <v>0.22647409673989291</v>
      </c>
      <c r="F25" s="447">
        <f t="shared" si="6"/>
        <v>108.88954726474689</v>
      </c>
      <c r="G25" s="447">
        <f t="shared" si="7"/>
        <v>0</v>
      </c>
      <c r="H25" s="447">
        <f t="shared" si="8"/>
        <v>0</v>
      </c>
      <c r="I25" s="447">
        <f t="shared" si="9"/>
        <v>0</v>
      </c>
      <c r="J25" s="447">
        <f t="shared" si="10"/>
        <v>3.0119820313820074</v>
      </c>
      <c r="K25" s="447">
        <f t="shared" si="11"/>
        <v>0</v>
      </c>
      <c r="L25" s="447">
        <f t="shared" si="12"/>
        <v>0</v>
      </c>
      <c r="M25" s="447">
        <f t="shared" si="13"/>
        <v>0</v>
      </c>
      <c r="N25" s="447">
        <f t="shared" si="14"/>
        <v>0</v>
      </c>
      <c r="O25" s="447">
        <f t="shared" si="15"/>
        <v>0</v>
      </c>
      <c r="P25" s="448">
        <f t="shared" si="16"/>
        <v>0</v>
      </c>
      <c r="Q25" s="446">
        <f t="shared" ca="1" si="17"/>
        <v>130.42964027941213</v>
      </c>
    </row>
    <row r="26" spans="1:17">
      <c r="A26" s="446" t="s">
        <v>637</v>
      </c>
      <c r="B26" s="447">
        <f t="shared" ca="1" si="2"/>
        <v>255.76289959149537</v>
      </c>
      <c r="C26" s="447">
        <f t="shared" ca="1" si="3"/>
        <v>0</v>
      </c>
      <c r="D26" s="447">
        <f t="shared" si="4"/>
        <v>285.47717067432785</v>
      </c>
      <c r="E26" s="447">
        <f t="shared" si="5"/>
        <v>3.6819545697871123</v>
      </c>
      <c r="F26" s="447">
        <f t="shared" si="6"/>
        <v>124.21943291255798</v>
      </c>
      <c r="G26" s="447">
        <f t="shared" si="7"/>
        <v>0</v>
      </c>
      <c r="H26" s="447">
        <f t="shared" si="8"/>
        <v>0</v>
      </c>
      <c r="I26" s="447">
        <f t="shared" si="9"/>
        <v>0</v>
      </c>
      <c r="J26" s="447">
        <f t="shared" si="10"/>
        <v>2.9746537807754478</v>
      </c>
      <c r="K26" s="447">
        <f t="shared" si="11"/>
        <v>0</v>
      </c>
      <c r="L26" s="447">
        <f t="shared" si="12"/>
        <v>0</v>
      </c>
      <c r="M26" s="447">
        <f t="shared" si="13"/>
        <v>0</v>
      </c>
      <c r="N26" s="447">
        <f t="shared" si="14"/>
        <v>0</v>
      </c>
      <c r="O26" s="447">
        <f t="shared" si="15"/>
        <v>0</v>
      </c>
      <c r="P26" s="448">
        <f t="shared" si="16"/>
        <v>0</v>
      </c>
      <c r="Q26" s="446">
        <f t="shared" ca="1" si="17"/>
        <v>672.11611152894375</v>
      </c>
    </row>
    <row r="27" spans="1:17" s="452" customFormat="1">
      <c r="A27" s="450" t="s">
        <v>556</v>
      </c>
      <c r="B27" s="758">
        <f t="shared" ca="1" si="2"/>
        <v>0.10848052019558196</v>
      </c>
      <c r="C27" s="451">
        <f t="shared" ca="1" si="3"/>
        <v>0</v>
      </c>
      <c r="D27" s="451">
        <f t="shared" si="4"/>
        <v>0.40841516079824147</v>
      </c>
      <c r="E27" s="451">
        <f t="shared" si="5"/>
        <v>47.646112166811761</v>
      </c>
      <c r="F27" s="451">
        <f t="shared" si="6"/>
        <v>0</v>
      </c>
      <c r="G27" s="451">
        <f t="shared" si="7"/>
        <v>13368.185426298356</v>
      </c>
      <c r="H27" s="451">
        <f t="shared" si="8"/>
        <v>1668.6087563547542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15084.957190500914</v>
      </c>
    </row>
    <row r="28" spans="1:17">
      <c r="A28" s="446" t="s">
        <v>546</v>
      </c>
      <c r="B28" s="447">
        <f t="shared" ca="1" si="2"/>
        <v>0.55211550111291186</v>
      </c>
      <c r="C28" s="447">
        <f t="shared" ca="1" si="3"/>
        <v>0</v>
      </c>
      <c r="D28" s="447">
        <f t="shared" si="4"/>
        <v>0</v>
      </c>
      <c r="E28" s="447">
        <f t="shared" si="5"/>
        <v>0</v>
      </c>
      <c r="F28" s="447">
        <f t="shared" si="6"/>
        <v>0</v>
      </c>
      <c r="G28" s="447">
        <f t="shared" si="7"/>
        <v>195.40274645640167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195.95486195751459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165.61777376801106</v>
      </c>
      <c r="C32" s="447">
        <f t="shared" ca="1" si="3"/>
        <v>0</v>
      </c>
      <c r="D32" s="447">
        <f t="shared" si="4"/>
        <v>408.64370059466057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574.26147436267161</v>
      </c>
    </row>
    <row r="33" spans="1:17" s="459" customFormat="1">
      <c r="A33" s="456" t="s">
        <v>550</v>
      </c>
      <c r="B33" s="457">
        <f ca="1">SUM(B22:B32)</f>
        <v>5238.0306474412464</v>
      </c>
      <c r="C33" s="457">
        <f t="shared" ref="C33:Q33" ca="1" si="19">SUM(C22:C32)</f>
        <v>0</v>
      </c>
      <c r="D33" s="457">
        <f t="shared" ca="1" si="19"/>
        <v>11062.338254856539</v>
      </c>
      <c r="E33" s="457">
        <f t="shared" si="19"/>
        <v>198.30878733726053</v>
      </c>
      <c r="F33" s="457">
        <f t="shared" ca="1" si="19"/>
        <v>4524.9046463245377</v>
      </c>
      <c r="G33" s="457">
        <f t="shared" si="19"/>
        <v>13563.588172754758</v>
      </c>
      <c r="H33" s="457">
        <f t="shared" si="19"/>
        <v>1668.6087563547542</v>
      </c>
      <c r="I33" s="457">
        <f t="shared" si="19"/>
        <v>0</v>
      </c>
      <c r="J33" s="457">
        <f t="shared" si="19"/>
        <v>113.76588173381808</v>
      </c>
      <c r="K33" s="457">
        <f t="shared" si="19"/>
        <v>0</v>
      </c>
      <c r="L33" s="457">
        <f t="shared" ca="1" si="19"/>
        <v>0</v>
      </c>
      <c r="M33" s="457">
        <f t="shared" si="19"/>
        <v>0</v>
      </c>
      <c r="N33" s="457">
        <f t="shared" ca="1" si="19"/>
        <v>0</v>
      </c>
      <c r="O33" s="457">
        <f t="shared" si="19"/>
        <v>0</v>
      </c>
      <c r="P33" s="457">
        <f t="shared" si="19"/>
        <v>0</v>
      </c>
      <c r="Q33" s="457">
        <f t="shared" ca="1" si="19"/>
        <v>36369.545146802906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7433.4089660953277</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870.10294639287031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8303.5119124881985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0.16366284421736993</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0.16366284421736993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0.16366284421736993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0.16366284421736993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3286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283</v>
      </c>
      <c r="C14" s="326"/>
      <c r="D14" s="326"/>
      <c r="E14" s="326"/>
      <c r="F14" s="326"/>
    </row>
    <row r="15" spans="1:6">
      <c r="A15" s="1280" t="s">
        <v>177</v>
      </c>
      <c r="B15" s="1281">
        <v>5</v>
      </c>
      <c r="C15" s="326"/>
      <c r="D15" s="326"/>
      <c r="E15" s="326"/>
      <c r="F15" s="326"/>
    </row>
    <row r="16" spans="1:6">
      <c r="A16" s="1280" t="s">
        <v>6</v>
      </c>
      <c r="B16" s="1281">
        <v>174</v>
      </c>
      <c r="C16" s="326"/>
      <c r="D16" s="326"/>
      <c r="E16" s="326"/>
      <c r="F16" s="326"/>
    </row>
    <row r="17" spans="1:6">
      <c r="A17" s="1280" t="s">
        <v>7</v>
      </c>
      <c r="B17" s="1281">
        <v>8</v>
      </c>
      <c r="C17" s="326"/>
      <c r="D17" s="326"/>
      <c r="E17" s="326"/>
      <c r="F17" s="326"/>
    </row>
    <row r="18" spans="1:6">
      <c r="A18" s="1280" t="s">
        <v>8</v>
      </c>
      <c r="B18" s="1281">
        <v>40</v>
      </c>
      <c r="C18" s="326"/>
      <c r="D18" s="326"/>
      <c r="E18" s="326"/>
      <c r="F18" s="326"/>
    </row>
    <row r="19" spans="1:6">
      <c r="A19" s="1280" t="s">
        <v>9</v>
      </c>
      <c r="B19" s="1281">
        <v>45</v>
      </c>
      <c r="C19" s="326"/>
      <c r="D19" s="326"/>
      <c r="E19" s="326"/>
      <c r="F19" s="326"/>
    </row>
    <row r="20" spans="1:6">
      <c r="A20" s="1280" t="s">
        <v>10</v>
      </c>
      <c r="B20" s="1281">
        <v>68</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150</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13</v>
      </c>
      <c r="C29" s="326"/>
      <c r="D29" s="326"/>
      <c r="E29" s="326"/>
      <c r="F29" s="326"/>
    </row>
    <row r="30" spans="1:6">
      <c r="A30" s="1275" t="s">
        <v>973</v>
      </c>
      <c r="B30" s="1283">
        <v>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7</v>
      </c>
      <c r="F36" s="1281">
        <v>610287.67714978999</v>
      </c>
    </row>
    <row r="37" spans="1:6">
      <c r="A37" s="1280" t="s">
        <v>24</v>
      </c>
      <c r="B37" s="1280" t="s">
        <v>27</v>
      </c>
      <c r="C37" s="1281">
        <v>0</v>
      </c>
      <c r="D37" s="1281">
        <v>0</v>
      </c>
      <c r="E37" s="1281">
        <v>0</v>
      </c>
      <c r="F37" s="1281">
        <v>0</v>
      </c>
    </row>
    <row r="38" spans="1:6">
      <c r="A38" s="1280" t="s">
        <v>24</v>
      </c>
      <c r="B38" s="1280" t="s">
        <v>28</v>
      </c>
      <c r="C38" s="1281">
        <v>2</v>
      </c>
      <c r="D38" s="1281">
        <v>1114660.14160399</v>
      </c>
      <c r="E38" s="1281">
        <v>3</v>
      </c>
      <c r="F38" s="1281">
        <v>27342.713971667999</v>
      </c>
    </row>
    <row r="39" spans="1:6">
      <c r="A39" s="1280" t="s">
        <v>29</v>
      </c>
      <c r="B39" s="1280" t="s">
        <v>30</v>
      </c>
      <c r="C39" s="1281">
        <v>2593</v>
      </c>
      <c r="D39" s="1281">
        <v>42404768.237723596</v>
      </c>
      <c r="E39" s="1281">
        <v>3272</v>
      </c>
      <c r="F39" s="1281">
        <v>14705891.0043252</v>
      </c>
    </row>
    <row r="40" spans="1:6">
      <c r="A40" s="1280" t="s">
        <v>29</v>
      </c>
      <c r="B40" s="1280" t="s">
        <v>28</v>
      </c>
      <c r="C40" s="1281">
        <v>0</v>
      </c>
      <c r="D40" s="1281">
        <v>0</v>
      </c>
      <c r="E40" s="1281">
        <v>0</v>
      </c>
      <c r="F40" s="1281">
        <v>0</v>
      </c>
    </row>
    <row r="41" spans="1:6">
      <c r="A41" s="1280" t="s">
        <v>31</v>
      </c>
      <c r="B41" s="1280" t="s">
        <v>32</v>
      </c>
      <c r="C41" s="1281">
        <v>13</v>
      </c>
      <c r="D41" s="1281">
        <v>226676.396744464</v>
      </c>
      <c r="E41" s="1281">
        <v>24</v>
      </c>
      <c r="F41" s="1281">
        <v>270807.30122226902</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16</v>
      </c>
      <c r="D48" s="1281">
        <v>1237794.89255479</v>
      </c>
      <c r="E48" s="1281">
        <v>27</v>
      </c>
      <c r="F48" s="1281">
        <v>1169357.7554828301</v>
      </c>
    </row>
    <row r="49" spans="1:6">
      <c r="A49" s="1280" t="s">
        <v>31</v>
      </c>
      <c r="B49" s="1280" t="s">
        <v>39</v>
      </c>
      <c r="C49" s="1281">
        <v>0</v>
      </c>
      <c r="D49" s="1281">
        <v>0</v>
      </c>
      <c r="E49" s="1281">
        <v>0</v>
      </c>
      <c r="F49" s="1281">
        <v>0</v>
      </c>
    </row>
    <row r="50" spans="1:6">
      <c r="A50" s="1280" t="s">
        <v>31</v>
      </c>
      <c r="B50" s="1280" t="s">
        <v>40</v>
      </c>
      <c r="C50" s="1281">
        <v>3</v>
      </c>
      <c r="D50" s="1281">
        <v>102328.400467863</v>
      </c>
      <c r="E50" s="1281">
        <v>5</v>
      </c>
      <c r="F50" s="1281">
        <v>122577.54876864</v>
      </c>
    </row>
    <row r="51" spans="1:6">
      <c r="A51" s="1280" t="s">
        <v>41</v>
      </c>
      <c r="B51" s="1280" t="s">
        <v>42</v>
      </c>
      <c r="C51" s="1281">
        <v>0</v>
      </c>
      <c r="D51" s="1281">
        <v>0</v>
      </c>
      <c r="E51" s="1281">
        <v>6</v>
      </c>
      <c r="F51" s="1281">
        <v>60229.058262379498</v>
      </c>
    </row>
    <row r="52" spans="1:6">
      <c r="A52" s="1280" t="s">
        <v>41</v>
      </c>
      <c r="B52" s="1280" t="s">
        <v>28</v>
      </c>
      <c r="C52" s="1281">
        <v>1</v>
      </c>
      <c r="D52" s="1281">
        <v>14870.985486035899</v>
      </c>
      <c r="E52" s="1281">
        <v>2</v>
      </c>
      <c r="F52" s="1281">
        <v>35040.481513776998</v>
      </c>
    </row>
    <row r="53" spans="1:6">
      <c r="A53" s="1280" t="s">
        <v>43</v>
      </c>
      <c r="B53" s="1280" t="s">
        <v>44</v>
      </c>
      <c r="C53" s="1281">
        <v>96</v>
      </c>
      <c r="D53" s="1281">
        <v>2022988.6168052501</v>
      </c>
      <c r="E53" s="1281">
        <v>136</v>
      </c>
      <c r="F53" s="1281">
        <v>1011944.85871237</v>
      </c>
    </row>
    <row r="54" spans="1:6">
      <c r="A54" s="1280" t="s">
        <v>45</v>
      </c>
      <c r="B54" s="1280" t="s">
        <v>46</v>
      </c>
      <c r="C54" s="1281">
        <v>0</v>
      </c>
      <c r="D54" s="1281">
        <v>0</v>
      </c>
      <c r="E54" s="1281">
        <v>1</v>
      </c>
      <c r="F54" s="1281">
        <v>416679</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22</v>
      </c>
      <c r="D57" s="1281">
        <v>1993703.52557056</v>
      </c>
      <c r="E57" s="1281">
        <v>53</v>
      </c>
      <c r="F57" s="1281">
        <v>1661750.89004695</v>
      </c>
    </row>
    <row r="58" spans="1:6">
      <c r="A58" s="1280" t="s">
        <v>48</v>
      </c>
      <c r="B58" s="1280" t="s">
        <v>50</v>
      </c>
      <c r="C58" s="1281">
        <v>7</v>
      </c>
      <c r="D58" s="1281">
        <v>989005.50747138495</v>
      </c>
      <c r="E58" s="1281">
        <v>11</v>
      </c>
      <c r="F58" s="1281">
        <v>317796.86907237698</v>
      </c>
    </row>
    <row r="59" spans="1:6">
      <c r="A59" s="1280" t="s">
        <v>48</v>
      </c>
      <c r="B59" s="1280" t="s">
        <v>51</v>
      </c>
      <c r="C59" s="1281">
        <v>43</v>
      </c>
      <c r="D59" s="1281">
        <v>3266772.1896225899</v>
      </c>
      <c r="E59" s="1281">
        <v>65</v>
      </c>
      <c r="F59" s="1281">
        <v>3657416.3816618798</v>
      </c>
    </row>
    <row r="60" spans="1:6">
      <c r="A60" s="1280" t="s">
        <v>48</v>
      </c>
      <c r="B60" s="1280" t="s">
        <v>52</v>
      </c>
      <c r="C60" s="1281">
        <v>14</v>
      </c>
      <c r="D60" s="1281">
        <v>1359255.8555942299</v>
      </c>
      <c r="E60" s="1281">
        <v>18</v>
      </c>
      <c r="F60" s="1281">
        <v>852299.27457766002</v>
      </c>
    </row>
    <row r="61" spans="1:6">
      <c r="A61" s="1280" t="s">
        <v>48</v>
      </c>
      <c r="B61" s="1280" t="s">
        <v>53</v>
      </c>
      <c r="C61" s="1281">
        <v>59</v>
      </c>
      <c r="D61" s="1281">
        <v>2143897.6199955102</v>
      </c>
      <c r="E61" s="1281">
        <v>103</v>
      </c>
      <c r="F61" s="1281">
        <v>1733963.07550452</v>
      </c>
    </row>
    <row r="62" spans="1:6">
      <c r="A62" s="1280" t="s">
        <v>48</v>
      </c>
      <c r="B62" s="1280" t="s">
        <v>54</v>
      </c>
      <c r="C62" s="1281">
        <v>0</v>
      </c>
      <c r="D62" s="1281">
        <v>0</v>
      </c>
      <c r="E62" s="1281">
        <v>3</v>
      </c>
      <c r="F62" s="1281">
        <v>32488.786195317</v>
      </c>
    </row>
    <row r="63" spans="1:6">
      <c r="A63" s="1280" t="s">
        <v>48</v>
      </c>
      <c r="B63" s="1280" t="s">
        <v>28</v>
      </c>
      <c r="C63" s="1281">
        <v>66</v>
      </c>
      <c r="D63" s="1281">
        <v>4729928.9304314898</v>
      </c>
      <c r="E63" s="1281">
        <v>87</v>
      </c>
      <c r="F63" s="1281">
        <v>5247368.6206099903</v>
      </c>
    </row>
    <row r="64" spans="1:6">
      <c r="A64" s="1280" t="s">
        <v>55</v>
      </c>
      <c r="B64" s="1280" t="s">
        <v>56</v>
      </c>
      <c r="C64" s="1281">
        <v>0</v>
      </c>
      <c r="D64" s="1281">
        <v>0</v>
      </c>
      <c r="E64" s="1281">
        <v>0</v>
      </c>
      <c r="F64" s="1281">
        <v>0</v>
      </c>
    </row>
    <row r="65" spans="1:6">
      <c r="A65" s="1280" t="s">
        <v>55</v>
      </c>
      <c r="B65" s="1280" t="s">
        <v>28</v>
      </c>
      <c r="C65" s="1281">
        <v>1</v>
      </c>
      <c r="D65" s="1281">
        <v>39694.922861929597</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8</v>
      </c>
      <c r="F68" s="1283">
        <v>264942.89024330297</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54299811</v>
      </c>
      <c r="E73" s="445"/>
      <c r="F73" s="326"/>
    </row>
    <row r="74" spans="1:6">
      <c r="A74" s="1280" t="s">
        <v>63</v>
      </c>
      <c r="B74" s="1280" t="s">
        <v>754</v>
      </c>
      <c r="C74" s="1293" t="s">
        <v>755</v>
      </c>
      <c r="D74" s="1281">
        <v>8442688.8199121878</v>
      </c>
      <c r="E74" s="445"/>
      <c r="F74" s="326"/>
    </row>
    <row r="75" spans="1:6">
      <c r="A75" s="1280" t="s">
        <v>64</v>
      </c>
      <c r="B75" s="1280" t="s">
        <v>752</v>
      </c>
      <c r="C75" s="1293" t="s">
        <v>756</v>
      </c>
      <c r="D75" s="1281">
        <v>3399169</v>
      </c>
      <c r="E75" s="445"/>
      <c r="F75" s="326"/>
    </row>
    <row r="76" spans="1:6">
      <c r="A76" s="1280" t="s">
        <v>64</v>
      </c>
      <c r="B76" s="1280" t="s">
        <v>754</v>
      </c>
      <c r="C76" s="1293" t="s">
        <v>757</v>
      </c>
      <c r="D76" s="1281">
        <v>43152.819912188061</v>
      </c>
      <c r="E76" s="445"/>
      <c r="F76" s="326"/>
    </row>
    <row r="77" spans="1:6">
      <c r="A77" s="1280" t="s">
        <v>65</v>
      </c>
      <c r="B77" s="1280" t="s">
        <v>752</v>
      </c>
      <c r="C77" s="1293" t="s">
        <v>758</v>
      </c>
      <c r="D77" s="1281">
        <v>423220</v>
      </c>
      <c r="E77" s="445"/>
      <c r="F77" s="326"/>
    </row>
    <row r="78" spans="1:6">
      <c r="A78" s="1275" t="s">
        <v>65</v>
      </c>
      <c r="B78" s="1275" t="s">
        <v>754</v>
      </c>
      <c r="C78" s="1275" t="s">
        <v>759</v>
      </c>
      <c r="D78" s="1283">
        <v>47448</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200724.36017562388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7433.4089660953277</v>
      </c>
      <c r="C90" s="326"/>
      <c r="D90" s="326"/>
      <c r="E90" s="326"/>
      <c r="F90" s="326"/>
    </row>
    <row r="91" spans="1:6">
      <c r="A91" s="1280" t="s">
        <v>67</v>
      </c>
      <c r="B91" s="1281">
        <v>705.3608262953544</v>
      </c>
      <c r="C91" s="326"/>
      <c r="D91" s="326"/>
      <c r="E91" s="326"/>
      <c r="F91" s="326"/>
    </row>
    <row r="92" spans="1:6">
      <c r="A92" s="1275" t="s">
        <v>68</v>
      </c>
      <c r="B92" s="1276">
        <v>164.74212009751596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2045</v>
      </c>
      <c r="C97" s="326"/>
      <c r="D97" s="326"/>
      <c r="E97" s="326"/>
      <c r="F97" s="326"/>
    </row>
    <row r="98" spans="1:6">
      <c r="A98" s="1280" t="s">
        <v>71</v>
      </c>
      <c r="B98" s="1281">
        <v>5</v>
      </c>
      <c r="C98" s="326"/>
      <c r="D98" s="326"/>
      <c r="E98" s="326"/>
      <c r="F98" s="326"/>
    </row>
    <row r="99" spans="1:6">
      <c r="A99" s="1280" t="s">
        <v>72</v>
      </c>
      <c r="B99" s="1281">
        <v>12</v>
      </c>
      <c r="C99" s="326"/>
      <c r="D99" s="326"/>
      <c r="E99" s="326"/>
      <c r="F99" s="326"/>
    </row>
    <row r="100" spans="1:6">
      <c r="A100" s="1280" t="s">
        <v>73</v>
      </c>
      <c r="B100" s="1281">
        <v>386</v>
      </c>
      <c r="C100" s="326"/>
      <c r="D100" s="326"/>
      <c r="E100" s="326"/>
      <c r="F100" s="326"/>
    </row>
    <row r="101" spans="1:6">
      <c r="A101" s="1280" t="s">
        <v>74</v>
      </c>
      <c r="B101" s="1281">
        <v>32</v>
      </c>
      <c r="C101" s="326"/>
      <c r="D101" s="326"/>
      <c r="E101" s="326"/>
      <c r="F101" s="326"/>
    </row>
    <row r="102" spans="1:6">
      <c r="A102" s="1280" t="s">
        <v>75</v>
      </c>
      <c r="B102" s="1281">
        <v>51</v>
      </c>
      <c r="C102" s="326"/>
      <c r="D102" s="326"/>
      <c r="E102" s="326"/>
      <c r="F102" s="326"/>
    </row>
    <row r="103" spans="1:6">
      <c r="A103" s="1280" t="s">
        <v>76</v>
      </c>
      <c r="B103" s="1281">
        <v>72</v>
      </c>
      <c r="C103" s="326"/>
      <c r="D103" s="326"/>
      <c r="E103" s="326"/>
      <c r="F103" s="326"/>
    </row>
    <row r="104" spans="1:6">
      <c r="A104" s="1280" t="s">
        <v>77</v>
      </c>
      <c r="B104" s="1281">
        <v>379</v>
      </c>
      <c r="C104" s="326"/>
      <c r="D104" s="326"/>
      <c r="E104" s="326"/>
      <c r="F104" s="326"/>
    </row>
    <row r="105" spans="1:6">
      <c r="A105" s="1275" t="s">
        <v>78</v>
      </c>
      <c r="B105" s="128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v>
      </c>
      <c r="C123" s="1281">
        <v>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31</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32005.008054756283</v>
      </c>
      <c r="C3" s="43" t="s">
        <v>163</v>
      </c>
      <c r="D3" s="43"/>
      <c r="E3" s="156"/>
      <c r="F3" s="43"/>
      <c r="G3" s="43"/>
      <c r="H3" s="43"/>
      <c r="I3" s="43"/>
      <c r="J3" s="43"/>
      <c r="K3" s="96"/>
    </row>
    <row r="4" spans="1:11">
      <c r="A4" s="352" t="s">
        <v>164</v>
      </c>
      <c r="B4" s="49">
        <f>IF(ISERROR('SEAP template'!B78+'SEAP template'!C78),0,'SEAP template'!B78+'SEAP template'!C78)</f>
        <v>8303.5119124881985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0.16366284421736993</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416.67899999999997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416.67899999999997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0.16366284421736993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68.194870265649485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14705.8910043252</v>
      </c>
      <c r="C5" s="17">
        <f>IF(ISERROR('Eigen informatie GS &amp; warmtenet'!B57),0,'Eigen informatie GS &amp; warmtenet'!B57)</f>
        <v>0</v>
      </c>
      <c r="D5" s="30">
        <f>(SUM(HH_hh_gas_kWh,HH_rest_gas_kWh)/1000)*0.902</f>
        <v>38249.100950426684</v>
      </c>
      <c r="E5" s="17">
        <f>B32*B41</f>
        <v>396.11397975977957</v>
      </c>
      <c r="F5" s="17">
        <f>B36*B45</f>
        <v>13521.111304242762</v>
      </c>
      <c r="G5" s="18"/>
      <c r="H5" s="17"/>
      <c r="I5" s="17"/>
      <c r="J5" s="17">
        <f>B35*B44+C35*C44</f>
        <v>304.46114667135771</v>
      </c>
      <c r="K5" s="17"/>
      <c r="L5" s="17"/>
      <c r="M5" s="17"/>
      <c r="N5" s="17">
        <f>B34*B43+C34*C43</f>
        <v>3770.843258074593</v>
      </c>
      <c r="O5" s="17">
        <f>B52*B53*B54</f>
        <v>51.589999999999996</v>
      </c>
      <c r="P5" s="17">
        <f>B60*B61*B62/1000-B60*B61*B62/1000/B63</f>
        <v>38.133333333333333</v>
      </c>
    </row>
    <row r="6" spans="1:16">
      <c r="A6" s="16" t="s">
        <v>615</v>
      </c>
      <c r="B6" s="766">
        <f>kWh_PV_kleiner_dan_10kW</f>
        <v>705.3608262953544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15411.251830620555</v>
      </c>
      <c r="C8" s="21">
        <f>C5</f>
        <v>0</v>
      </c>
      <c r="D8" s="21">
        <f>D5</f>
        <v>38249.100950426684</v>
      </c>
      <c r="E8" s="21">
        <f>E5</f>
        <v>396.11397975977957</v>
      </c>
      <c r="F8" s="21">
        <f>F5</f>
        <v>13521.111304242762</v>
      </c>
      <c r="G8" s="21"/>
      <c r="H8" s="21"/>
      <c r="I8" s="21"/>
      <c r="J8" s="21">
        <f>J5</f>
        <v>304.46114667135771</v>
      </c>
      <c r="K8" s="21"/>
      <c r="L8" s="21">
        <f>L5</f>
        <v>0</v>
      </c>
      <c r="M8" s="21">
        <f>M5</f>
        <v>0</v>
      </c>
      <c r="N8" s="21">
        <f>N5</f>
        <v>3770.843258074593</v>
      </c>
      <c r="O8" s="21">
        <f>O5</f>
        <v>51.589999999999996</v>
      </c>
      <c r="P8" s="21">
        <f>P5</f>
        <v>38.133333333333333</v>
      </c>
    </row>
    <row r="9" spans="1:16">
      <c r="B9" s="19"/>
      <c r="C9" s="19"/>
      <c r="D9" s="256"/>
      <c r="E9" s="19"/>
      <c r="F9" s="19"/>
      <c r="G9" s="19"/>
      <c r="H9" s="19"/>
      <c r="I9" s="19"/>
      <c r="J9" s="19"/>
      <c r="K9" s="19"/>
      <c r="L9" s="19"/>
      <c r="M9" s="19"/>
      <c r="N9" s="19"/>
      <c r="O9" s="19"/>
      <c r="P9" s="19"/>
    </row>
    <row r="10" spans="1:16">
      <c r="A10" s="24" t="s">
        <v>207</v>
      </c>
      <c r="B10" s="25">
        <f ca="1">'EF ele_warmte'!B12</f>
        <v>0.16366284421736993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2522.249307549509</v>
      </c>
      <c r="C12" s="23">
        <f ca="1">C10*C8</f>
        <v>0</v>
      </c>
      <c r="D12" s="23">
        <f>D8*D10</f>
        <v>7726.3183919861904</v>
      </c>
      <c r="E12" s="23">
        <f>E10*E8</f>
        <v>89.917873405469962</v>
      </c>
      <c r="F12" s="23">
        <f>F10*F8</f>
        <v>3610.1367182328177</v>
      </c>
      <c r="G12" s="23"/>
      <c r="H12" s="23"/>
      <c r="I12" s="23"/>
      <c r="J12" s="23">
        <f>J10*J8</f>
        <v>107.77924592166062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3286</v>
      </c>
      <c r="C26" s="36"/>
      <c r="D26" s="226"/>
    </row>
    <row r="27" spans="1:5" s="15" customFormat="1">
      <c r="A27" s="228" t="s">
        <v>695</v>
      </c>
      <c r="B27" s="37">
        <f>SUM(HH_hh_gas_aantal,HH_rest_gas_aantal)</f>
        <v>2593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2463.35</v>
      </c>
      <c r="C31" s="34" t="s">
        <v>104</v>
      </c>
      <c r="D31" s="172"/>
    </row>
    <row r="32" spans="1:5">
      <c r="A32" s="169" t="s">
        <v>72</v>
      </c>
      <c r="B32" s="33">
        <f>IF((B21*($B$26-($B$27-0.05*$B$27)-$B$60))&lt;0,0,B21*($B$26-($B$27-0.05*$B$27)-$B$60))</f>
        <v>5.8180545137040056</v>
      </c>
      <c r="C32" s="34" t="s">
        <v>104</v>
      </c>
      <c r="D32" s="172"/>
    </row>
    <row r="33" spans="1:6">
      <c r="A33" s="169" t="s">
        <v>73</v>
      </c>
      <c r="B33" s="33">
        <f>IF((B22*($B$26-($B$27-0.05*$B$27)-$B$60))&lt;0,0,B22*($B$26-($B$27-0.05*$B$27)-$B$60))</f>
        <v>166.74465079071416</v>
      </c>
      <c r="C33" s="34" t="s">
        <v>104</v>
      </c>
      <c r="D33" s="172"/>
    </row>
    <row r="34" spans="1:6">
      <c r="A34" s="169" t="s">
        <v>74</v>
      </c>
      <c r="B34" s="33">
        <f>IF((B24*($B$26-($B$27-0.05*$B$27)-$B$60))&lt;0,0,B24*($B$26-($B$27-0.05*$B$27)-$B$60))</f>
        <v>33.250645578346855</v>
      </c>
      <c r="C34" s="33">
        <f>B26*C24</f>
        <v>671.91344200277751</v>
      </c>
      <c r="D34" s="231"/>
    </row>
    <row r="35" spans="1:6">
      <c r="A35" s="169" t="s">
        <v>76</v>
      </c>
      <c r="B35" s="33">
        <f>IF((B19*($B$26-($B$27-0.05*$B$27)-$B$60))&lt;0,0,B19*($B$26-($B$27-0.05*$B$27)-$B$60))</f>
        <v>17.315638433642878</v>
      </c>
      <c r="C35" s="33">
        <f>B35/2</f>
        <v>8.657819216821439</v>
      </c>
      <c r="D35" s="231"/>
    </row>
    <row r="36" spans="1:6">
      <c r="A36" s="169" t="s">
        <v>77</v>
      </c>
      <c r="B36" s="33">
        <f>IF((B18*($B$26-($B$27-0.05*$B$27)-$B$60))&lt;0,0,B18*($B$26-($B$27-0.05*$B$27)-$B$60))</f>
        <v>597.52101068359218</v>
      </c>
      <c r="C36" s="34" t="s">
        <v>104</v>
      </c>
      <c r="D36" s="172"/>
    </row>
    <row r="37" spans="1:6">
      <c r="A37" s="169" t="s">
        <v>78</v>
      </c>
      <c r="B37" s="33">
        <f>B60</f>
        <v>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13503.083897668694</v>
      </c>
      <c r="C5" s="17">
        <f>IF(ISERROR('Eigen informatie GS &amp; warmtenet'!B58),0,'Eigen informatie GS &amp; warmtenet'!B58)</f>
        <v>0</v>
      </c>
      <c r="D5" s="30">
        <f>SUM(D6:D12)</f>
        <v>13063.27239307456</v>
      </c>
      <c r="E5" s="17">
        <f>SUM(E6:E12)</f>
        <v>250.38049823106513</v>
      </c>
      <c r="F5" s="17">
        <f>SUM(F6:F12)</f>
        <v>2553.0297674697204</v>
      </c>
      <c r="G5" s="18"/>
      <c r="H5" s="17"/>
      <c r="I5" s="17"/>
      <c r="J5" s="17">
        <f>SUM(J6:J12)</f>
        <v>0</v>
      </c>
      <c r="K5" s="17"/>
      <c r="L5" s="17"/>
      <c r="M5" s="17"/>
      <c r="N5" s="17">
        <f>SUM(N6:N12)</f>
        <v>549.78325687250549</v>
      </c>
      <c r="O5" s="17">
        <f>B38*B39*B40</f>
        <v>0</v>
      </c>
      <c r="P5" s="17">
        <f>B46*B47*B48/1000-B46*B47*B48/1000/B49</f>
        <v>0</v>
      </c>
      <c r="R5" s="32"/>
    </row>
    <row r="6" spans="1:18">
      <c r="A6" s="32" t="s">
        <v>53</v>
      </c>
      <c r="B6" s="37">
        <f>B26</f>
        <v>1733.96307550452</v>
      </c>
      <c r="C6" s="33"/>
      <c r="D6" s="37">
        <f>IF(ISERROR(TER_kantoor_gas_kWh/1000),0,TER_kantoor_gas_kWh/1000)*0.902</f>
        <v>1933.7956532359501</v>
      </c>
      <c r="E6" s="33">
        <f>$C$26*'E Balans VL '!I12/100/3.6*1000000</f>
        <v>60.695528614072096</v>
      </c>
      <c r="F6" s="33">
        <f>$C$26*('E Balans VL '!L12+'E Balans VL '!N12)/100/3.6*1000000</f>
        <v>262.90603006891712</v>
      </c>
      <c r="G6" s="34"/>
      <c r="H6" s="33"/>
      <c r="I6" s="33"/>
      <c r="J6" s="33">
        <f>$C$26*('E Balans VL '!D12+'E Balans VL '!E12)/100/3.6*1000000</f>
        <v>0</v>
      </c>
      <c r="K6" s="33"/>
      <c r="L6" s="33"/>
      <c r="M6" s="33"/>
      <c r="N6" s="33">
        <f>$C$26*'E Balans VL '!Y12/100/3.6*1000000</f>
        <v>13.402991858143508</v>
      </c>
      <c r="O6" s="33"/>
      <c r="P6" s="33"/>
      <c r="R6" s="32"/>
    </row>
    <row r="7" spans="1:18">
      <c r="A7" s="32" t="s">
        <v>52</v>
      </c>
      <c r="B7" s="37">
        <f t="shared" ref="B7:B12" si="0">B27</f>
        <v>852.29927457766007</v>
      </c>
      <c r="C7" s="33"/>
      <c r="D7" s="37">
        <f>IF(ISERROR(TER_horeca_gas_kWh/1000),0,TER_horeca_gas_kWh/1000)*0.902</f>
        <v>1226.0487817459953</v>
      </c>
      <c r="E7" s="33">
        <f>$C$27*'E Balans VL '!I9/100/3.6*1000000</f>
        <v>48.081011906522512</v>
      </c>
      <c r="F7" s="33">
        <f>$C$27*('E Balans VL '!L9+'E Balans VL '!N9)/100/3.6*1000000</f>
        <v>148.47525031617326</v>
      </c>
      <c r="G7" s="34"/>
      <c r="H7" s="33"/>
      <c r="I7" s="33"/>
      <c r="J7" s="33">
        <f>$C$27*('E Balans VL '!D9+'E Balans VL '!E9)/100/3.6*1000000</f>
        <v>0</v>
      </c>
      <c r="K7" s="33"/>
      <c r="L7" s="33"/>
      <c r="M7" s="33"/>
      <c r="N7" s="33">
        <f>$C$27*'E Balans VL '!Y9/100/3.6*1000000</f>
        <v>0</v>
      </c>
      <c r="O7" s="33"/>
      <c r="P7" s="33"/>
      <c r="R7" s="32"/>
    </row>
    <row r="8" spans="1:18">
      <c r="A8" s="6" t="s">
        <v>51</v>
      </c>
      <c r="B8" s="37">
        <f t="shared" si="0"/>
        <v>3657.4163816618798</v>
      </c>
      <c r="C8" s="33"/>
      <c r="D8" s="37">
        <f>IF(ISERROR(TER_handel_gas_kWh/1000),0,TER_handel_gas_kWh/1000)*0.902</f>
        <v>2946.6285150395761</v>
      </c>
      <c r="E8" s="33">
        <f>$C$28*'E Balans VL '!I13/100/3.6*1000000</f>
        <v>18.776804115336994</v>
      </c>
      <c r="F8" s="33">
        <f>$C$28*('E Balans VL '!L13+'E Balans VL '!N13)/100/3.6*1000000</f>
        <v>563.91709316786444</v>
      </c>
      <c r="G8" s="34"/>
      <c r="H8" s="33"/>
      <c r="I8" s="33"/>
      <c r="J8" s="33">
        <f>$C$28*('E Balans VL '!D13+'E Balans VL '!E13)/100/3.6*1000000</f>
        <v>0</v>
      </c>
      <c r="K8" s="33"/>
      <c r="L8" s="33"/>
      <c r="M8" s="33"/>
      <c r="N8" s="33">
        <f>$C$28*'E Balans VL '!Y13/100/3.6*1000000</f>
        <v>1.7106182864795538</v>
      </c>
      <c r="O8" s="33"/>
      <c r="P8" s="33"/>
      <c r="R8" s="32"/>
    </row>
    <row r="9" spans="1:18">
      <c r="A9" s="32" t="s">
        <v>50</v>
      </c>
      <c r="B9" s="37">
        <f t="shared" si="0"/>
        <v>317.79686907237698</v>
      </c>
      <c r="C9" s="33"/>
      <c r="D9" s="37">
        <f>IF(ISERROR(TER_gezond_gas_kWh/1000),0,TER_gezond_gas_kWh/1000)*0.902</f>
        <v>892.08296773918926</v>
      </c>
      <c r="E9" s="33">
        <f>$C$29*'E Balans VL '!I10/100/3.6*1000000</f>
        <v>0.13172453896231376</v>
      </c>
      <c r="F9" s="33">
        <f>$C$29*('E Balans VL '!L10+'E Balans VL '!N10)/100/3.6*1000000</f>
        <v>78.268811037445474</v>
      </c>
      <c r="G9" s="34"/>
      <c r="H9" s="33"/>
      <c r="I9" s="33"/>
      <c r="J9" s="33">
        <f>$C$29*('E Balans VL '!D10+'E Balans VL '!E10)/100/3.6*1000000</f>
        <v>0</v>
      </c>
      <c r="K9" s="33"/>
      <c r="L9" s="33"/>
      <c r="M9" s="33"/>
      <c r="N9" s="33">
        <f>$C$29*'E Balans VL '!Y10/100/3.6*1000000</f>
        <v>2.7465515357983503</v>
      </c>
      <c r="O9" s="33"/>
      <c r="P9" s="33"/>
      <c r="R9" s="32"/>
    </row>
    <row r="10" spans="1:18">
      <c r="A10" s="32" t="s">
        <v>49</v>
      </c>
      <c r="B10" s="37">
        <f t="shared" si="0"/>
        <v>1661.75089004695</v>
      </c>
      <c r="C10" s="33"/>
      <c r="D10" s="37">
        <f>IF(ISERROR(TER_ander_gas_kWh/1000),0,TER_ander_gas_kWh/1000)*0.902</f>
        <v>1798.3205800646451</v>
      </c>
      <c r="E10" s="33">
        <f>$C$30*'E Balans VL '!I14/100/3.6*1000000</f>
        <v>10.130074425603157</v>
      </c>
      <c r="F10" s="33">
        <f>$C$30*('E Balans VL '!L14+'E Balans VL '!N14)/100/3.6*1000000</f>
        <v>440.55292435647493</v>
      </c>
      <c r="G10" s="34"/>
      <c r="H10" s="33"/>
      <c r="I10" s="33"/>
      <c r="J10" s="33">
        <f>$C$30*('E Balans VL '!D14+'E Balans VL '!E14)/100/3.6*1000000</f>
        <v>0</v>
      </c>
      <c r="K10" s="33"/>
      <c r="L10" s="33"/>
      <c r="M10" s="33"/>
      <c r="N10" s="33">
        <f>$C$30*'E Balans VL '!Y14/100/3.6*1000000</f>
        <v>382.99767236205321</v>
      </c>
      <c r="O10" s="33"/>
      <c r="P10" s="33"/>
      <c r="R10" s="32"/>
    </row>
    <row r="11" spans="1:18">
      <c r="A11" s="32" t="s">
        <v>54</v>
      </c>
      <c r="B11" s="37">
        <f t="shared" si="0"/>
        <v>32.488786195316997</v>
      </c>
      <c r="C11" s="33"/>
      <c r="D11" s="37">
        <f>IF(ISERROR(TER_onderwijs_gas_kWh/1000),0,TER_onderwijs_gas_kWh/1000)*0.902</f>
        <v>0</v>
      </c>
      <c r="E11" s="33">
        <f>$C$31*'E Balans VL '!I11/100/3.6*1000000</f>
        <v>2.4758146789800522E-2</v>
      </c>
      <c r="F11" s="33">
        <f>$C$31*('E Balans VL '!L11+'E Balans VL '!N11)/100/3.6*1000000</f>
        <v>23.510666150495936</v>
      </c>
      <c r="G11" s="34"/>
      <c r="H11" s="33"/>
      <c r="I11" s="33"/>
      <c r="J11" s="33">
        <f>$C$31*('E Balans VL '!D11+'E Balans VL '!E11)/100/3.6*1000000</f>
        <v>0</v>
      </c>
      <c r="K11" s="33"/>
      <c r="L11" s="33"/>
      <c r="M11" s="33"/>
      <c r="N11" s="33">
        <f>$C$31*'E Balans VL '!Y11/100/3.6*1000000</f>
        <v>9.5752217596012171E-2</v>
      </c>
      <c r="O11" s="33"/>
      <c r="P11" s="33"/>
      <c r="R11" s="32"/>
    </row>
    <row r="12" spans="1:18">
      <c r="A12" s="32" t="s">
        <v>249</v>
      </c>
      <c r="B12" s="37">
        <f t="shared" si="0"/>
        <v>5247.3686206099901</v>
      </c>
      <c r="C12" s="33"/>
      <c r="D12" s="37">
        <f>IF(ISERROR(TER_rest_gas_kWh/1000),0,TER_rest_gas_kWh/1000)*0.902</f>
        <v>4266.3958952492039</v>
      </c>
      <c r="E12" s="33">
        <f>$C$32*'E Balans VL '!I8/100/3.6*1000000</f>
        <v>112.54059648377826</v>
      </c>
      <c r="F12" s="33">
        <f>$C$32*('E Balans VL '!L8+'E Balans VL '!N8)/100/3.6*1000000</f>
        <v>1035.3989923723493</v>
      </c>
      <c r="G12" s="34"/>
      <c r="H12" s="33"/>
      <c r="I12" s="33"/>
      <c r="J12" s="33">
        <f>$C$32*('E Balans VL '!D8+'E Balans VL '!E8)/100/3.6*1000000</f>
        <v>0</v>
      </c>
      <c r="K12" s="33"/>
      <c r="L12" s="33"/>
      <c r="M12" s="33"/>
      <c r="N12" s="33">
        <f>$C$32*'E Balans VL '!Y8/100/3.6*1000000</f>
        <v>148.82967061243482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13503.083897668694</v>
      </c>
      <c r="C16" s="21">
        <f ca="1">C5+C13+C14</f>
        <v>0</v>
      </c>
      <c r="D16" s="21">
        <f t="shared" ref="D16:N16" ca="1" si="1">MAX((D5+D13+D14),0)</f>
        <v>13063.27239307456</v>
      </c>
      <c r="E16" s="21">
        <f t="shared" si="1"/>
        <v>250.38049823106513</v>
      </c>
      <c r="F16" s="21">
        <f t="shared" ca="1" si="1"/>
        <v>2553.0297674697204</v>
      </c>
      <c r="G16" s="21">
        <f t="shared" si="1"/>
        <v>0</v>
      </c>
      <c r="H16" s="21">
        <f t="shared" si="1"/>
        <v>0</v>
      </c>
      <c r="I16" s="21">
        <f t="shared" si="1"/>
        <v>0</v>
      </c>
      <c r="J16" s="21">
        <f t="shared" si="1"/>
        <v>0</v>
      </c>
      <c r="K16" s="21">
        <f t="shared" si="1"/>
        <v>0</v>
      </c>
      <c r="L16" s="21">
        <f t="shared" ca="1" si="1"/>
        <v>0</v>
      </c>
      <c r="M16" s="21">
        <f t="shared" si="1"/>
        <v>0</v>
      </c>
      <c r="N16" s="21">
        <f t="shared" ca="1" si="1"/>
        <v>549.78325687250549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0.16366284421736993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2209.9531163982278</v>
      </c>
      <c r="C20" s="23">
        <f t="shared" ref="C20:P20" ca="1" si="2">C16*C18</f>
        <v>0</v>
      </c>
      <c r="D20" s="23">
        <f t="shared" ca="1" si="2"/>
        <v>2638.7810234010612</v>
      </c>
      <c r="E20" s="23">
        <f t="shared" si="2"/>
        <v>56.836373098451787</v>
      </c>
      <c r="F20" s="23">
        <f t="shared" ca="1" si="2"/>
        <v>681.65894791441542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1733.96307550452</v>
      </c>
      <c r="C26" s="39">
        <f>IF(ISERROR(B26*3.6/1000000/'E Balans VL '!Z12*100),0,B26*3.6/1000000/'E Balans VL '!Z12*100)</f>
        <v>3.6488377362682345E-2</v>
      </c>
      <c r="D26" s="234" t="s">
        <v>700</v>
      </c>
      <c r="F26" s="6"/>
    </row>
    <row r="27" spans="1:18">
      <c r="A27" s="229" t="s">
        <v>52</v>
      </c>
      <c r="B27" s="33">
        <f>IF(ISERROR(TER_horeca_ele_kWh/1000),0,TER_horeca_ele_kWh/1000)</f>
        <v>852.29927457766007</v>
      </c>
      <c r="C27" s="39">
        <f>IF(ISERROR(B27*3.6/1000000/'E Balans VL '!Z9*100),0,B27*3.6/1000000/'E Balans VL '!Z9*100)</f>
        <v>7.2161784639707557E-2</v>
      </c>
      <c r="D27" s="234" t="s">
        <v>700</v>
      </c>
      <c r="F27" s="6"/>
    </row>
    <row r="28" spans="1:18">
      <c r="A28" s="169" t="s">
        <v>51</v>
      </c>
      <c r="B28" s="33">
        <f>IF(ISERROR(TER_handel_ele_kWh/1000),0,TER_handel_ele_kWh/1000)</f>
        <v>3657.4163816618798</v>
      </c>
      <c r="C28" s="39">
        <f>IF(ISERROR(B28*3.6/1000000/'E Balans VL '!Z13*100),0,B28*3.6/1000000/'E Balans VL '!Z13*100)</f>
        <v>0.10125506678226213</v>
      </c>
      <c r="D28" s="234" t="s">
        <v>700</v>
      </c>
      <c r="F28" s="6"/>
    </row>
    <row r="29" spans="1:18">
      <c r="A29" s="229" t="s">
        <v>50</v>
      </c>
      <c r="B29" s="33">
        <f>IF(ISERROR(TER_gezond_ele_kWh/1000),0,TER_gezond_ele_kWh/1000)</f>
        <v>317.79686907237698</v>
      </c>
      <c r="C29" s="39">
        <f>IF(ISERROR(B29*3.6/1000000/'E Balans VL '!Z10*100),0,B29*3.6/1000000/'E Balans VL '!Z10*100)</f>
        <v>4.1310069790347709E-2</v>
      </c>
      <c r="D29" s="234" t="s">
        <v>700</v>
      </c>
      <c r="F29" s="6"/>
    </row>
    <row r="30" spans="1:18">
      <c r="A30" s="229" t="s">
        <v>49</v>
      </c>
      <c r="B30" s="33">
        <f>IF(ISERROR(TER_ander_ele_kWh/1000),0,TER_ander_ele_kWh/1000)</f>
        <v>1661.75089004695</v>
      </c>
      <c r="C30" s="39">
        <f>IF(ISERROR(B30*3.6/1000000/'E Balans VL '!Z14*100),0,B30*3.6/1000000/'E Balans VL '!Z14*100)</f>
        <v>0.12880093339845516</v>
      </c>
      <c r="D30" s="234" t="s">
        <v>700</v>
      </c>
      <c r="F30" s="6"/>
    </row>
    <row r="31" spans="1:18">
      <c r="A31" s="229" t="s">
        <v>54</v>
      </c>
      <c r="B31" s="33">
        <f>IF(ISERROR(TER_onderwijs_ele_kWh/1000),0,TER_onderwijs_ele_kWh/1000)</f>
        <v>32.488786195316997</v>
      </c>
      <c r="C31" s="39">
        <f>IF(ISERROR(B31*3.6/1000000/'E Balans VL '!Z11*100),0,B31*3.6/1000000/'E Balans VL '!Z11*100)</f>
        <v>6.2156583963656068E-3</v>
      </c>
      <c r="D31" s="234" t="s">
        <v>700</v>
      </c>
    </row>
    <row r="32" spans="1:18">
      <c r="A32" s="229" t="s">
        <v>249</v>
      </c>
      <c r="B32" s="33">
        <f>IF(ISERROR(TER_rest_ele_kWh/1000),0,TER_rest_ele_kWh/1000)</f>
        <v>5247.3686206099901</v>
      </c>
      <c r="C32" s="39">
        <f>IF(ISERROR(B32*3.6/1000000/'E Balans VL '!Z8*100),0,B32*3.6/1000000/'E Balans VL '!Z8*100)</f>
        <v>4.3268583812959213E-2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1562.7426054737391</v>
      </c>
      <c r="C5" s="17">
        <f>IF(ISERROR('Eigen informatie GS &amp; warmtenet'!B59),0,'Eigen informatie GS &amp; warmtenet'!B59)</f>
        <v>0</v>
      </c>
      <c r="D5" s="30">
        <f>SUM(D6:D15)</f>
        <v>1413.2533201699398</v>
      </c>
      <c r="E5" s="17">
        <f>SUM(E6:E15)</f>
        <v>16.220064184084194</v>
      </c>
      <c r="F5" s="17">
        <f>SUM(F6:F15)</f>
        <v>465.24132176988002</v>
      </c>
      <c r="G5" s="18"/>
      <c r="H5" s="17"/>
      <c r="I5" s="17"/>
      <c r="J5" s="17">
        <f>SUM(J6:J15)</f>
        <v>8.4029767818515477</v>
      </c>
      <c r="K5" s="17"/>
      <c r="L5" s="17"/>
      <c r="M5" s="17"/>
      <c r="N5" s="17">
        <f>SUM(N6:N15)</f>
        <v>42.907973487720405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270.80730122226902</v>
      </c>
      <c r="C9" s="33"/>
      <c r="D9" s="37">
        <f>IF( ISERROR(IND_andere_gas_kWh/1000),0,IND_andere_gas_kWh/1000)*0.902</f>
        <v>204.46210986350653</v>
      </c>
      <c r="E9" s="33">
        <f>C31*'E Balans VL '!I19/100/3.6*1000000</f>
        <v>4.5485403735641787</v>
      </c>
      <c r="F9" s="33">
        <f>C31*'E Balans VL '!L19/100/3.6*1000000+C31*'E Balans VL '!N19/100/3.6*1000000</f>
        <v>211.70172406336741</v>
      </c>
      <c r="G9" s="34"/>
      <c r="H9" s="33"/>
      <c r="I9" s="33"/>
      <c r="J9" s="40">
        <f>C31*'E Balans VL '!D19/100/3.6*1000000+C31*'E Balans VL '!E19/100/3.6*1000000</f>
        <v>2.442442804996333E-2</v>
      </c>
      <c r="K9" s="33"/>
      <c r="L9" s="33"/>
      <c r="M9" s="33"/>
      <c r="N9" s="33">
        <f>C31*'E Balans VL '!Y19/100/3.6*1000000</f>
        <v>20.071165741220913</v>
      </c>
      <c r="O9" s="33"/>
      <c r="P9" s="33"/>
      <c r="R9" s="32"/>
    </row>
    <row r="10" spans="1:18">
      <c r="A10" s="6" t="s">
        <v>40</v>
      </c>
      <c r="B10" s="37">
        <f t="shared" si="0"/>
        <v>122.57754876864</v>
      </c>
      <c r="C10" s="33"/>
      <c r="D10" s="37">
        <f>IF( ISERROR(IND_voed_gas_kWh/1000),0,IND_voed_gas_kWh/1000)*0.902</f>
        <v>92.300217222012435</v>
      </c>
      <c r="E10" s="33">
        <f>C32*'E Balans VL '!I20/100/3.6*1000000</f>
        <v>1.1183466178671295</v>
      </c>
      <c r="F10" s="33">
        <f>C32*'E Balans VL '!L20/100/3.6*1000000+C32*'E Balans VL '!N20/100/3.6*1000000</f>
        <v>19.775592617733547</v>
      </c>
      <c r="G10" s="34"/>
      <c r="H10" s="33"/>
      <c r="I10" s="33"/>
      <c r="J10" s="40">
        <f>C32*'E Balans VL '!D20/100/3.6*1000000+C32*'E Balans VL '!E20/100/3.6*1000000</f>
        <v>0.5048547115603419</v>
      </c>
      <c r="K10" s="33"/>
      <c r="L10" s="33"/>
      <c r="M10" s="33"/>
      <c r="N10" s="33">
        <f>C32*'E Balans VL '!Y20/100/3.6*1000000</f>
        <v>1.7932128833752705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1169.35775548283</v>
      </c>
      <c r="C15" s="33"/>
      <c r="D15" s="37">
        <f>IF( ISERROR(IND_rest_gas_kWh/1000),0,IND_rest_gas_kWh/1000)*0.902</f>
        <v>1116.4909930844208</v>
      </c>
      <c r="E15" s="33">
        <f>C37*'E Balans VL '!I15/100/3.6*1000000</f>
        <v>10.553177192652885</v>
      </c>
      <c r="F15" s="33">
        <f>C37*'E Balans VL '!L15/100/3.6*1000000+C37*'E Balans VL '!N15/100/3.6*1000000</f>
        <v>233.76400508877907</v>
      </c>
      <c r="G15" s="34"/>
      <c r="H15" s="33"/>
      <c r="I15" s="33"/>
      <c r="J15" s="40">
        <f>C37*'E Balans VL '!D15/100/3.6*1000000+C37*'E Balans VL '!E15/100/3.6*1000000</f>
        <v>7.8736976422412424</v>
      </c>
      <c r="K15" s="33"/>
      <c r="L15" s="33"/>
      <c r="M15" s="33"/>
      <c r="N15" s="33">
        <f>C37*'E Balans VL '!Y15/100/3.6*1000000</f>
        <v>21.04359486312422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1562.7426054737391</v>
      </c>
      <c r="C18" s="21">
        <f>C5+C16</f>
        <v>0</v>
      </c>
      <c r="D18" s="21">
        <f>MAX((D5+D16),0)</f>
        <v>1413.2533201699398</v>
      </c>
      <c r="E18" s="21">
        <f>MAX((E5+E16),0)</f>
        <v>16.220064184084194</v>
      </c>
      <c r="F18" s="21">
        <f>MAX((F5+F16),0)</f>
        <v>465.24132176988002</v>
      </c>
      <c r="G18" s="21"/>
      <c r="H18" s="21"/>
      <c r="I18" s="21"/>
      <c r="J18" s="21">
        <f>MAX((J5+J16),0)</f>
        <v>8.4029767818515477</v>
      </c>
      <c r="K18" s="21"/>
      <c r="L18" s="21">
        <f>MAX((L5+L16),0)</f>
        <v>0</v>
      </c>
      <c r="M18" s="21"/>
      <c r="N18" s="21">
        <f>MAX((N5+N16),0)</f>
        <v>42.907973487720405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0.16366284421736993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255.76289959149537</v>
      </c>
      <c r="C22" s="23">
        <f ca="1">C18*C20</f>
        <v>0</v>
      </c>
      <c r="D22" s="23">
        <f>D18*D20</f>
        <v>285.47717067432785</v>
      </c>
      <c r="E22" s="23">
        <f>E18*E20</f>
        <v>3.6819545697871123</v>
      </c>
      <c r="F22" s="23">
        <f>F18*F20</f>
        <v>124.21943291255798</v>
      </c>
      <c r="G22" s="23"/>
      <c r="H22" s="23"/>
      <c r="I22" s="23"/>
      <c r="J22" s="23">
        <f>J18*J20</f>
        <v>2.9746537807754478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270.80730122226902</v>
      </c>
      <c r="C31" s="39">
        <f>IF(ISERROR(B31*3.6/1000000/'E Balans VL '!Z19*100),0,B31*3.6/1000000/'E Balans VL '!Z19*100)</f>
        <v>1.2003814468241366E-2</v>
      </c>
      <c r="D31" s="234" t="s">
        <v>700</v>
      </c>
    </row>
    <row r="32" spans="1:18">
      <c r="A32" s="169" t="s">
        <v>40</v>
      </c>
      <c r="B32" s="37">
        <f>IF( ISERROR(IND_voed_ele_kWh/1000),0,IND_voed_ele_kWh/1000)</f>
        <v>122.57754876864</v>
      </c>
      <c r="C32" s="39">
        <f>IF(ISERROR(B32*3.6/1000000/'E Balans VL '!Z20*100),0,B32*3.6/1000000/'E Balans VL '!Z20*100)</f>
        <v>4.0944417583502453E-3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1169.35775548283</v>
      </c>
      <c r="C37" s="39">
        <f>IF(ISERROR(B37*3.6/1000000/'E Balans VL '!Z15*100),0,B37*3.6/1000000/'E Balans VL '!Z15*100)</f>
        <v>8.6981166540523163E-3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95.269539776156492</v>
      </c>
      <c r="C5" s="17">
        <f>'Eigen informatie GS &amp; warmtenet'!B60</f>
        <v>0</v>
      </c>
      <c r="D5" s="30">
        <f>IF(ISERROR(SUM(LB_lb_gas_kWh,LB_rest_gas_kWh)/1000),0,SUM(LB_lb_gas_kWh,LB_rest_gas_kWh)/1000)*0.902</f>
        <v>13.41362890840438</v>
      </c>
      <c r="E5" s="17">
        <f>B17*'E Balans VL '!I25/3.6*1000000/100</f>
        <v>0.99768324555018906</v>
      </c>
      <c r="F5" s="17">
        <f>B17*('E Balans VL '!L25/3.6*1000000+'E Balans VL '!N25/3.6*1000000)/100</f>
        <v>407.82601971815313</v>
      </c>
      <c r="G5" s="18"/>
      <c r="H5" s="17"/>
      <c r="I5" s="17"/>
      <c r="J5" s="17">
        <f>('E Balans VL '!D25+'E Balans VL '!E25)/3.6*1000000*landbouw!B17/100</f>
        <v>8.5084238174632976</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95.269539776156492</v>
      </c>
      <c r="C8" s="21">
        <f>C5+C6</f>
        <v>0</v>
      </c>
      <c r="D8" s="21">
        <f>MAX((D5+D6),0)</f>
        <v>13.41362890840438</v>
      </c>
      <c r="E8" s="21">
        <f>MAX((E5+E6),0)</f>
        <v>0.99768324555018906</v>
      </c>
      <c r="F8" s="21">
        <f>MAX((F5+F6),0)</f>
        <v>407.82601971815313</v>
      </c>
      <c r="G8" s="21"/>
      <c r="H8" s="21"/>
      <c r="I8" s="21"/>
      <c r="J8" s="21">
        <f>MAX((J5+J6),0)</f>
        <v>8.5084238174632976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0.16366284421736993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15.592083847045627</v>
      </c>
      <c r="C12" s="23">
        <f ca="1">C8*C10</f>
        <v>0</v>
      </c>
      <c r="D12" s="23">
        <f>D8*D10</f>
        <v>2.7095530394976848</v>
      </c>
      <c r="E12" s="23">
        <f>E8*E10</f>
        <v>0.22647409673989291</v>
      </c>
      <c r="F12" s="23">
        <f>F8*F10</f>
        <v>108.88954726474689</v>
      </c>
      <c r="G12" s="23"/>
      <c r="H12" s="23"/>
      <c r="I12" s="23"/>
      <c r="J12" s="23">
        <f>J8*J10</f>
        <v>3.0119820313820074</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1.4663821213520249E-2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29.693839030760753</v>
      </c>
      <c r="C26" s="244">
        <f>B26*'GWP N2O_CH4'!B5</f>
        <v>623.57061964597585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5.9056285524820922</v>
      </c>
      <c r="C27" s="244">
        <f>B27*'GWP N2O_CH4'!B5</f>
        <v>124.01819960212393</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0.3119794718242645</v>
      </c>
      <c r="C28" s="244">
        <f>B28*'GWP N2O_CH4'!B4</f>
        <v>96.713636265521998</v>
      </c>
      <c r="D28" s="50"/>
    </row>
    <row r="29" spans="1:4">
      <c r="A29" s="41" t="s">
        <v>266</v>
      </c>
      <c r="B29" s="244">
        <f>B34*'ha_N2O bodem landbouw'!B4</f>
        <v>2.5461686495238998</v>
      </c>
      <c r="C29" s="244">
        <f>B29*'GWP N2O_CH4'!B4</f>
        <v>789.31228135240895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4.207878099407031E-4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2.3861852980228681E-6</v>
      </c>
      <c r="C5" s="433" t="s">
        <v>204</v>
      </c>
      <c r="D5" s="418">
        <f>SUM(D6:D11)</f>
        <v>7.2786860340280641E-6</v>
      </c>
      <c r="E5" s="418">
        <f>SUM(E6:E11)</f>
        <v>7.5562116211683856E-4</v>
      </c>
      <c r="F5" s="431" t="s">
        <v>204</v>
      </c>
      <c r="G5" s="418">
        <f>SUM(G6:G11)</f>
        <v>0.18024519675907894</v>
      </c>
      <c r="H5" s="418">
        <f>SUM(H6:H11)</f>
        <v>2.4124463947297652E-2</v>
      </c>
      <c r="I5" s="433" t="s">
        <v>204</v>
      </c>
      <c r="J5" s="433" t="s">
        <v>204</v>
      </c>
      <c r="K5" s="433" t="s">
        <v>204</v>
      </c>
      <c r="L5" s="433" t="s">
        <v>204</v>
      </c>
      <c r="M5" s="418">
        <f>SUM(M6:M11)</f>
        <v>8.8751443970668861E-3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2.0634742333445275E-6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6.5334153956761585E-6</v>
      </c>
      <c r="E6" s="421">
        <f>vkm_GW_PW*SUMIFS(TableVerdeelsleutelVkm[LPG],TableVerdeelsleutelVkm[Voertuigtype],"Lichte voertuigen")*SUMIFS(TableECFTransport[EnergieConsumptieFactor (PJ per km)],TableECFTransport[Index],CONCATENATE($A6,"_LPG_LPG"))</f>
        <v>6.8083869638551665E-4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9.0687884086504675E-2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2.1755827573863577E-2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4.9080729889121764E-3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1.7557045657062827E-7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7.9143152362836464E-2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2.1427993718892262E-6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3.4095199145075996E-3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1.2917351860181401E-7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6.9507657405902704E-7</v>
      </c>
      <c r="E8" s="421">
        <f>vkm_NGW_PW*SUMIFS(TableVerdeelsleutelVkm[LPG],TableVerdeelsleutelVkm[Voertuigtype],"Lichte voertuigen")*SUMIFS(TableECFTransport[EnergieConsumptieFactor (PJ per km)],TableECFTransport[Index],CONCATENATE($A8,"_LPG_LPG"))</f>
        <v>6.8356355235743633E-5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8.6208255759110241E-3</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2.188604572316049E-3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4.7210876239057298E-4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8.9738713055774542E-10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5.6032598015583342E-4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1.3219844755493147E-8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2.4138986436221919E-5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1.6082994562100243E-8</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5.0194064292877934E-8</v>
      </c>
      <c r="E10" s="421">
        <f>vkm_SW_PW*SUMIFS(TableVerdeelsleutelVkm[LPG],TableVerdeelsleutelVkm[Voertuigtype],"Lichte voertuigen")*SUMIFS(TableECFTransport[EnergieConsumptieFactor (PJ per km)],TableECFTransport[Index],CONCATENATE($A10,"_LPG_LPG"))</f>
        <v>6.4261104955782989E-6</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8.0382797370996467E-4</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1.7786338682868212E-4</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4.2814422680024689E-5</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9.8670781324021531E-10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4.2918077996098033E-4</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1.239507270166699E-8</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1.8489322140289516E-5</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0.66282924945079669</v>
      </c>
      <c r="C14" s="21"/>
      <c r="D14" s="21">
        <f t="shared" ref="D14:M14" si="0">((D5)*10^9/3600)+D12</f>
        <v>2.0218572316744625</v>
      </c>
      <c r="E14" s="21">
        <f t="shared" si="0"/>
        <v>209.89476725467736</v>
      </c>
      <c r="F14" s="21"/>
      <c r="G14" s="21">
        <f t="shared" si="0"/>
        <v>50068.110210855266</v>
      </c>
      <c r="H14" s="21">
        <f t="shared" si="0"/>
        <v>6701.2399853604584</v>
      </c>
      <c r="I14" s="21"/>
      <c r="J14" s="21"/>
      <c r="K14" s="21"/>
      <c r="L14" s="21"/>
      <c r="M14" s="21">
        <f t="shared" si="0"/>
        <v>2465.3178880741348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0.16366284421736993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0.10848052019558196</v>
      </c>
      <c r="C18" s="23"/>
      <c r="D18" s="23">
        <f t="shared" ref="D18:M18" si="1">D14*D16</f>
        <v>0.40841516079824147</v>
      </c>
      <c r="E18" s="23">
        <f t="shared" si="1"/>
        <v>47.646112166811761</v>
      </c>
      <c r="F18" s="23"/>
      <c r="G18" s="23">
        <f t="shared" si="1"/>
        <v>13368.185426298356</v>
      </c>
      <c r="H18" s="23">
        <f t="shared" si="1"/>
        <v>1668.6087563547542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1.2144575719132787E-5</v>
      </c>
      <c r="C50" s="315">
        <f t="shared" ref="C50:P50" si="2">SUM(C51:C52)</f>
        <v>0</v>
      </c>
      <c r="D50" s="315">
        <f t="shared" si="2"/>
        <v>0</v>
      </c>
      <c r="E50" s="315">
        <f t="shared" si="2"/>
        <v>0</v>
      </c>
      <c r="F50" s="315">
        <f t="shared" si="2"/>
        <v>0</v>
      </c>
      <c r="G50" s="315">
        <f t="shared" si="2"/>
        <v>2.6346437724458654E-3</v>
      </c>
      <c r="H50" s="315">
        <f t="shared" si="2"/>
        <v>0</v>
      </c>
      <c r="I50" s="315">
        <f t="shared" si="2"/>
        <v>0</v>
      </c>
      <c r="J50" s="315">
        <f t="shared" si="2"/>
        <v>0</v>
      </c>
      <c r="K50" s="315">
        <f t="shared" si="2"/>
        <v>0</v>
      </c>
      <c r="L50" s="315">
        <f t="shared" si="2"/>
        <v>0</v>
      </c>
      <c r="M50" s="315">
        <f t="shared" si="2"/>
        <v>1.1280532601330265E-4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1.2144575719132787E-5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2.6346437724458654E-3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1.1280532601330265E-4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3.373493255314663</v>
      </c>
      <c r="C54" s="21">
        <f t="shared" ref="C54:P54" si="3">(C50)*10^9/3600</f>
        <v>0</v>
      </c>
      <c r="D54" s="21">
        <f t="shared" si="3"/>
        <v>0</v>
      </c>
      <c r="E54" s="21">
        <f t="shared" si="3"/>
        <v>0</v>
      </c>
      <c r="F54" s="21">
        <f t="shared" si="3"/>
        <v>0</v>
      </c>
      <c r="G54" s="21">
        <f t="shared" si="3"/>
        <v>731.84549234607368</v>
      </c>
      <c r="H54" s="21">
        <f t="shared" si="3"/>
        <v>0</v>
      </c>
      <c r="I54" s="21">
        <f t="shared" si="3"/>
        <v>0</v>
      </c>
      <c r="J54" s="21">
        <f t="shared" si="3"/>
        <v>0</v>
      </c>
      <c r="K54" s="21">
        <f t="shared" si="3"/>
        <v>0</v>
      </c>
      <c r="L54" s="21">
        <f t="shared" si="3"/>
        <v>0</v>
      </c>
      <c r="M54" s="21">
        <f t="shared" si="3"/>
        <v>31.334812781472959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0.16366284421736993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0.55211550111291186</v>
      </c>
      <c r="C58" s="23">
        <f t="shared" ref="C58:P58" ca="1" si="4">C54*C56</f>
        <v>0</v>
      </c>
      <c r="D58" s="23">
        <f t="shared" si="4"/>
        <v>0</v>
      </c>
      <c r="E58" s="23">
        <f t="shared" si="4"/>
        <v>0</v>
      </c>
      <c r="F58" s="23">
        <f t="shared" si="4"/>
        <v>0</v>
      </c>
      <c r="G58" s="23">
        <f t="shared" si="4"/>
        <v>195.40274645640167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7433.4089660953277</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870.10294639287031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8303.5119124881985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2021-11-11T13:40:14Z</dcterms:modified>
</cp:coreProperties>
</file>