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86B92EC-416C-4356-B4B3-50598F6C85D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F20" i="18" l="1"/>
  <c r="I9" i="18"/>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J10" i="18"/>
  <c r="Q87" i="14"/>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<sst xmlns="http://schemas.openxmlformats.org/spreadsheetml/2006/main" count="2589" uniqueCount="980">
  <si>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</si>
  <si>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</si>
  <si>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</si>
  <si>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</si>
  <si>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</si>
  <si>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</si>
  <si>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</si>
  <si>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</si>
  <si>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</si>
  <si>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</si>
  <si>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</si>
  <si>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</si>
  <si>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</si>
  <si>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</si>
  <si>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</si>
  <si>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</si>
  <si>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</si>
  <si>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</si>
  <si>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</si>
  <si>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</si>
  <si>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</si>
  <si>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</si>
  <si>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</si>
  <si>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</si>
  <si>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</si>
  <si>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</si>
  <si>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</si>
  <si>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</si>
  <si>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</si>
  <si>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</si>
  <si>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</si>
  <si>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</si>
  <si>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</si>
  <si>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</si>
  <si>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</si>
  <si>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</si>
  <si>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</si>
  <si>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</si>
  <si>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</si>
  <si>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</si>
  <si>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</si>
  <si>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</si>
  <si>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</si>
  <si>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</si>
  <si>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</si>
  <si>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</si>
  <si>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</si>
  <si>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</si>
  <si>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</si>
  <si>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</si>
  <si>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</si>
  <si>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</si>
  <si>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</si>
  <si>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</si>
  <si>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</si>
  <si>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</si>
  <si>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</si>
  <si>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</si>
  <si>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</si>
  <si>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</si>
  <si>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</si>
  <si>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</si>
  <si>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</si>
  <si>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</si>
  <si>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</si>
  <si>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</si>
  <si>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</si>
  <si>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</si>
  <si>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</si>
  <si>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</si>
  <si>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</si>
  <si>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</si>
  <si>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</si>
  <si>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</si>
  <si>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</si>
  <si>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</si>
  <si>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</si>
  <si>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</si>
  <si>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</si>
  <si>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</si>
  <si>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</si>
  <si>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</si>
  <si>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</si>
  <si>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</si>
  <si>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</si>
  <si>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</si>
  <si>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</si>
  <si>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</si>
  <si>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</si>
  <si>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</si>
  <si>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</si>
  <si>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</si>
  <si>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</si>
  <si>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</si>
  <si>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</si>
  <si>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</si>
  <si>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</si>
  <si>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</si>
  <si>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</si>
  <si>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</si>
  <si>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</si>
  <si>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</si>
  <si>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</si>
  <si>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</si>
  <si>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</si>
  <si>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</si>
  <si>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</si>
  <si>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</si>
  <si>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</si>
  <si>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</si>
  <si>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</si>
  <si>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</si>
  <si>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</si>
  <si>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</si>
  <si>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</si>
  <si>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</si>
  <si>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</si>
  <si>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</si>
  <si>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</si>
  <si>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</si>
  <si>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</si>
  <si>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</si>
  <si>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</si>
  <si>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</si>
  <si>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</si>
  <si>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</si>
  <si>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</si>
  <si>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</si>
  <si>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</si>
  <si>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</si>
  <si>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</si>
  <si>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</si>
  <si>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</si>
  <si>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</si>
  <si>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</si>
  <si>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</si>
  <si>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</si>
  <si>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</si>
  <si>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</si>
  <si>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</si>
  <si>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</si>
  <si>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</si>
  <si>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</si>
  <si>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</si>
  <si>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</si>
  <si>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</si>
  <si>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</si>
  <si>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</si>
  <si>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</si>
  <si>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</si>
  <si>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</si>
  <si>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</si>
  <si>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</si>
  <si>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</si>
  <si>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</si>
  <si>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</si>
  <si>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</si>
  <si>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</si>
  <si>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</si>
  <si>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</si>
  <si>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</si>
  <si>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</si>
  <si>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</si>
  <si>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</si>
  <si>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</si>
  <si>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</si>
  <si>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</si>
  <si>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</si>
  <si>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</si>
  <si>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</si>
  <si>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</si>
  <si>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</si>
  <si>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</si>
  <si>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</si>
  <si>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</si>
  <si>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</si>
  <si>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</si>
  <si>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</si>
  <si>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</si>
  <si>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</si>
  <si>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</si>
  <si>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</si>
  <si>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</si>
  <si>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</si>
  <si>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</si>
  <si>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</si>
  <si>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</si>
  <si>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</si>
  <si>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</si>
  <si>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</si>
  <si>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</si>
  <si>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</si>
  <si>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</si>
  <si>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</si>
  <si>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</si>
  <si>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</si>
  <si>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</si>
  <si>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</si>
  <si>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</si>
  <si>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</si>
  <si>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</si>
  <si>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</si>
  <si>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</si>
  <si>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</si>
  <si>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</si>
  <si>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</si>
  <si>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</si>
  <si>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</si>
  <si>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</si>
  <si>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</si>
  <si>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</si>
  <si>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</si>
  <si>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</si>
  <si>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</si>
  <si>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</si>
  <si>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</si>
  <si>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</si>
  <si>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</si>
  <si>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</si>
  <si>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</si>
  <si>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</si>
  <si>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</si>
  <si>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</si>
  <si>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</si>
  <si>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</si>
  <si>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</si>
  <si>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</si>
  <si>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</si>
  <si>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</si>
  <si>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</si>
  <si>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</si>
  <si>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</si>
  <si>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</si>
  <si>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</si>
  <si>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</si>
  <si>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</si>
  <si>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</si>
  <si>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</si>
  <si>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</si>
  <si>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</si>
  <si>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</si>
  <si>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</si>
  <si>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</si>
  <si>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</si>
  <si>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</si>
  <si>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</si>
  <si>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</si>
  <si>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</si>
  <si>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</si>
  <si>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</si>
  <si>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</si>
  <si>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</si>
  <si>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</si>
  <si>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</si>
  <si>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</si>
  <si>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</si>
  <si>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</si>
  <si>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</si>
  <si>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</si>
  <si>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</si>
  <si>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</si>
  <si>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</si>
  <si>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</si>
  <si>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</si>
  <si>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</si>
  <si>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</si>
  <si>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</si>
  <si>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</si>
  <si>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</si>
  <si>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</si>
  <si>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</si>
  <si>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</si>
  <si>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</si>
  <si>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</si>
  <si>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</si>
  <si>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</si>
  <si>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</si>
  <si>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</si>
  <si>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</si>
  <si>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</si>
  <si>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</si>
  <si>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</si>
  <si>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</si>
  <si>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</si>
  <si>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</si>
  <si>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</si>
  <si>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</si>
  <si>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</si>
  <si>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</si>
  <si>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</si>
  <si>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</si>
  <si>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</si>
  <si>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</si>
  <si>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</si>
  <si>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</si>
  <si>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</si>
  <si>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</si>
  <si>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</si>
  <si>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</si>
  <si>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</si>
  <si>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</si>
  <si>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</si>
  <si>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</si>
  <si>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</si>
  <si>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</si>
  <si>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</si>
  <si>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</si>
  <si>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</si>
  <si>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</si>
  <si>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</si>
  <si>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</si>
  <si>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</si>
  <si>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</si>
  <si>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</si>
  <si>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</si>
  <si>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</si>
  <si>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</si>
  <si>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</si>
  <si>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</si>
  <si>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</si>
  <si>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</si>
  <si>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</si>
  <si>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</si>
  <si>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</si>
  <si>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</si>
  <si>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</si>
  <si>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</si>
  <si>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</si>
  <si>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</si>
  <si>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</si>
  <si>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</si>
  <si>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</si>
  <si>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</si>
  <si>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</si>
  <si>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</si>
  <si>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</si>
  <si>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</si>
  <si>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</si>
  <si>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</si>
  <si>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</si>
  <si>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</si>
  <si>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</si>
  <si>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</si>
  <si>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</si>
  <si>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</si>
  <si>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</si>
  <si>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</si>
  <si>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</si>
  <si>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</si>
  <si>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</si>
  <si>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</si>
  <si>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</si>
  <si>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</si>
  <si>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</si>
  <si>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</si>
  <si>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</si>
  <si>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</si>
  <si>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</si>
  <si>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</si>
  <si>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</si>
  <si>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</si>
  <si>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</si>
  <si>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</si>
  <si>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</si>
  <si>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</si>
  <si>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</si>
  <si>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</si>
  <si>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</si>
  <si>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</si>
  <si>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</si>
  <si>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</si>
  <si>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</si>
  <si>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</si>
  <si>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</si>
  <si>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</si>
  <si>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</si>
  <si>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</si>
  <si>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</si>
  <si>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</si>
  <si>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</si>
  <si>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</si>
  <si>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</si>
  <si>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</si>
  <si>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</si>
  <si>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</si>
  <si>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</si>
  <si>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</si>
  <si>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</si>
  <si>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</si>
  <si>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</si>
  <si>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</si>
  <si>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</si>
  <si>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</si>
  <si>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</si>
  <si>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</si>
  <si>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</si>
  <si>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</si>
  <si>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</si>
  <si>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</si>
  <si>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</si>
  <si>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</si>
  <si>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</si>
  <si>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</si>
  <si>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</si>
  <si>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</si>
  <si>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</si>
  <si>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</si>
  <si>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</si>
  <si>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</si>
  <si>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</si>
  <si>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</si>
  <si>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</si>
  <si>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</si>
  <si>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</si>
  <si>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</si>
  <si>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</si>
  <si>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</si>
  <si>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</si>
  <si>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</si>
  <si>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</si>
  <si>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</si>
  <si>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</si>
  <si>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</si>
  <si>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</si>
  <si>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</si>
  <si>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</si>
  <si>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</si>
  <si>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</si>
  <si>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</si>
  <si>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</si>
  <si>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</si>
  <si>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</si>
  <si>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</si>
  <si>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</si>
  <si>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</si>
  <si>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</si>
  <si>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</si>
  <si>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</si>
  <si>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</si>
  <si>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</si>
  <si>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</si>
  <si>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</si>
  <si>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</si>
  <si>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</si>
  <si>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</si>
  <si>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</si>
  <si>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</si>
  <si>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</si>
  <si>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</si>
  <si>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</si>
  <si>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</si>
  <si>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</si>
  <si>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</si>
  <si>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</si>
  <si>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</si>
  <si>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</si>
  <si>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</si>
  <si>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</si>
  <si>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</si>
  <si>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</si>
  <si>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</si>
  <si>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</si>
  <si>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</si>
  <si>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</si>
  <si>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</si>
  <si>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</si>
  <si>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</si>
  <si>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</si>
  <si>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</si>
  <si>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</si>
  <si>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</si>
  <si>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</si>
  <si>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</si>
  <si>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</si>
  <si>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</si>
  <si>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</si>
  <si>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</si>
  <si>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</si>
  <si>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</si>
  <si>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</si>
  <si>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</si>
  <si>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</si>
  <si>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</si>
  <si>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</si>
  <si>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</si>
  <si>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</si>
  <si>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</si>
  <si>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</si>
  <si>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</si>
  <si>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</si>
  <si>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</si>
  <si>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</si>
  <si>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</si>
  <si>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</si>
  <si>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</si>
  <si>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</si>
  <si>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</si>
  <si>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</si>
  <si>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</si>
  <si>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</si>
  <si>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</si>
  <si>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</si>
  <si>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</si>
  <si>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</si>
  <si>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</si>
  <si>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</si>
  <si>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</si>
  <si>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</si>
  <si>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</si>
  <si>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</si>
  <si>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</si>
  <si>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</si>
  <si>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</si>
  <si>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</si>
  <si>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</si>
  <si>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</si>
  <si>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</si>
  <si>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</si>
  <si>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</si>
  <si>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</si>
  <si>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</si>
  <si>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</si>
  <si>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</si>
  <si>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</si>
  <si>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</si>
  <si>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</si>
  <si>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</si>
  <si>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</si>
  <si>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</si>
  <si>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</si>
  <si>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</si>
  <si>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</si>
  <si>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</si>
  <si>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</si>
  <si>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</si>
  <si>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</si>
  <si>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</si>
  <si>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</si>
  <si>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</si>
  <si>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</si>
  <si>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</si>
  <si>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</si>
  <si>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</si>
  <si>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</si>
  <si>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</si>
  <si>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</si>
  <si>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</si>
  <si>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</si>
  <si>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</si>
  <si>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</si>
  <si>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</si>
  <si>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</si>
  <si>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</si>
  <si>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</si>
  <si>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</si>
  <si>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</si>
  <si>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</si>
  <si>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</si>
  <si>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</si>
  <si>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</si>
  <si>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</si>
  <si>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</si>
  <si>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</si>
  <si>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</si>
  <si>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</si>
  <si>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</si>
  <si>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</si>
  <si>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</si>
  <si>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</si>
  <si>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</si>
  <si>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</si>
  <si>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</si>
  <si>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</si>
  <si>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</si>
  <si>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</si>
  <si>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</si>
  <si>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</si>
  <si>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</si>
  <si>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</si>
  <si>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</si>
  <si>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</si>
  <si>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</si>
  <si>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</si>
  <si>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</si>
  <si>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</si>
  <si>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</si>
  <si>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</si>
  <si>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</si>
  <si>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</si>
  <si>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</si>
  <si>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</si>
  <si>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</si>
  <si>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</si>
  <si>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</si>
  <si>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</si>
  <si>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</si>
  <si>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</si>
  <si>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</si>
  <si>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</si>
  <si>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</si>
  <si>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</si>
  <si>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</si>
  <si>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</si>
  <si>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</si>
  <si>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</si>
  <si>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</si>
  <si>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</si>
  <si>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</si>
  <si>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</si>
  <si>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</si>
  <si>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</si>
  <si>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</si>
  <si>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</si>
  <si>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</si>
  <si>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</si>
  <si>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</si>
  <si>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</si>
  <si>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</si>
  <si>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</si>
  <si>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</si>
  <si>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</si>
  <si>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</si>
  <si>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</si>
  <si>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</si>
  <si>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</si>
  <si>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</si>
  <si>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</si>
  <si>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</si>
  <si>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</si>
  <si>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</si>
  <si>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</si>
  <si>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</si>
  <si>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</si>
  <si>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</si>
  <si>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</si>
  <si>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</si>
  <si>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</si>
  <si>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</si>
  <si>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</si>
  <si>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</si>
  <si>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</si>
  <si>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</si>
  <si>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</si>
  <si>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</si>
  <si>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</si>
  <si>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</si>
  <si>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</si>
  <si>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</si>
  <si>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</si>
  <si>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</si>
  <si>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</si>
  <si>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</si>
  <si>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</si>
  <si>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</si>
  <si>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</si>
  <si>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</si>
  <si>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</si>
  <si>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</si>
  <si>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</si>
  <si>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</si>
  <si>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</si>
  <si>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</si>
  <si>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</si>
  <si>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</si>
  <si>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</si>
  <si>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</si>
  <si>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</si>
  <si>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</si>
  <si>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</si>
  <si>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</si>
  <si>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</si>
  <si>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</si>
  <si>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</si>
  <si>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</si>
  <si>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</si>
  <si>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</si>
  <si>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</si>
  <si>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</si>
  <si>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</si>
  <si>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</si>
  <si>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</si>
  <si>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</si>
  <si>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</si>
  <si>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</si>
  <si>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</si>
  <si>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</si>
  <si>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</si>
  <si>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</si>
  <si>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</si>
  <si>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</si>
  <si>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</si>
  <si>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</si>
  <si>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</si>
  <si>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</si>
  <si>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</si>
  <si>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</si>
  <si>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</si>
  <si>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</si>
  <si>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</si>
  <si>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</si>
  <si>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</si>
  <si>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</si>
  <si>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</si>
  <si>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</si>
  <si>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</si>
  <si>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</si>
  <si>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</si>
  <si>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</si>
  <si>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</si>
  <si>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</si>
  <si>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</si>
  <si>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</si>
  <si>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</si>
  <si>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</si>
  <si>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</si>
  <si>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</si>
  <si>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</si>
  <si>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</si>
  <si>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</si>
  <si>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</si>
  <si>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</si>
  <si>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</si>
  <si>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</si>
  <si>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</si>
  <si>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</si>
  <si>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</si>
  <si>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</si>
  <si>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</si>
  <si>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</si>
  <si>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</si>
  <si>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</si>
  <si>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</si>
  <si>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</si>
  <si>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</si>
  <si>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</si>
  <si>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</si>
  <si>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</si>
  <si>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</si>
  <si>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</si>
  <si>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</si>
  <si>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</si>
  <si>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</si>
  <si>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</si>
  <si>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</si>
  <si>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</si>
  <si>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</si>
  <si>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</si>
  <si>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</si>
  <si>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</si>
  <si>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</si>
  <si>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</si>
  <si>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</si>
  <si>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</si>
  <si>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</si>
  <si>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</si>
  <si>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</si>
  <si>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</si>
  <si>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</si>
  <si>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</si>
  <si>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</si>
  <si>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</si>
  <si>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</si>
  <si>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</si>
  <si>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</si>
  <si>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</si>
  <si>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</si>
  <si>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</si>
  <si>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</si>
  <si>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</si>
  <si>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</si>
  <si>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</si>
  <si>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</si>
  <si>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</si>
  <si>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</si>
  <si>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</si>
  <si>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</si>
  <si>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</si>
  <si>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</si>
  <si>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</si>
  <si>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</si>
  <si>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</si>
  <si>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</si>
  <si>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</si>
  <si>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</si>
  <si>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</si>
  <si>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</si>
  <si>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</si>
  <si>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</si>
  <si>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</si>
  <si>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</si>
  <si>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</si>
  <si>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</si>
  <si>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</si>
  <si>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</si>
  <si>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</si>
  <si>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</si>
  <si>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</si>
  <si>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</si>
  <si>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</si>
  <si>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</si>
  <si>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</si>
  <si>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</si>
  <si>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</si>
  <si>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</si>
  <si>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</si>
  <si>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</si>
  <si>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</si>
  <si>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</si>
  <si>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</si>
  <si>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</si>
  <si>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</si>
  <si>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</si>
  <si>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</si>
  <si>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</si>
  <si>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</si>
  <si>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</si>
  <si>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</si>
  <si>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</si>
  <si>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</si>
  <si>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</si>
  <si>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</si>
  <si>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</si>
  <si>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</si>
  <si>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</si>
  <si>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</si>
  <si>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</si>
  <si>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</si>
  <si>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</si>
  <si>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</si>
  <si>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</si>
  <si>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</si>
  <si>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</si>
  <si>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</si>
  <si>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</si>
  <si>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</si>
  <si>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</si>
  <si>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</si>
  <si>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</si>
  <si>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</si>
  <si>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</si>
  <si>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</si>
  <si>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</si>
  <si>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</si>
  <si>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</si>
  <si>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</si>
  <si>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</si>
  <si>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</si>
  <si>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</si>
  <si>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</si>
  <si>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</si>
  <si>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</si>
  <si>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</si>
  <si>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</si>
  <si>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</si>
  <si>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</si>
  <si>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</si>
  <si>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</si>
  <si>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</si>
  <si>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</si>
  <si>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</si>
  <si>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</si>
  <si>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</si>
  <si>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</si>
  <si>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</si>
  <si>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</si>
  <si>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</si>
  <si>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</si>
  <si>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</si>
  <si>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</si>
  <si>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</si>
  <si>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</si>
  <si>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</si>
  <si>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</si>
  <si>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</si>
  <si>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</si>
  <si>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</si>
  <si>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</si>
  <si>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</si>
  <si>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</si>
  <si>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</si>
  <si>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</si>
  <si>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</si>
  <si>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</si>
  <si>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</si>
  <si>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</si>
  <si>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</si>
  <si>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</si>
  <si>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</si>
  <si>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</si>
  <si>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</si>
  <si>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</si>
  <si>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</si>
  <si>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</si>
  <si>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</si>
  <si>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</si>
  <si>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</si>
  <si>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</si>
  <si>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</si>
  <si>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</si>
  <si>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</si>
  <si>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</si>
  <si>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</si>
  <si>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</si>
  <si>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</si>
  <si>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</si>
  <si>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</si>
  <si>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</si>
  <si>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</si>
  <si>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</si>
  <si>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</si>
  <si>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</si>
  <si>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</si>
  <si>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</si>
  <si>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</si>
  <si>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</si>
  <si>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</si>
  <si>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</si>
  <si>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</si>
  <si>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</si>
  <si>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</si>
  <si>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</si>
  <si>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</si>
  <si>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</si>
  <si>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</si>
  <si>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</si>
  <si>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</si>
  <si>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</si>
  <si>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</si>
  <si>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</si>
  <si>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</si>
  <si>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</si>
  <si>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</si>
  <si>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</si>
  <si>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</si>
  <si>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</si>
  <si>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</si>
  <si>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</si>
  <si>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</si>
  <si>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</si>
  <si>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</si>
  <si>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</si>
  <si>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</si>
  <si>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</si>
  <si>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</si>
  <si>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</si>
  <si>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</si>
  <si>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</si>
  <si>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</si>
  <si>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</si>
  <si>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</si>
  <si>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</si>
  <si>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</si>
  <si>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</si>
  <si>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</si>
  <si>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</si>
  <si>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</si>
  <si>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</si>
  <si>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</si>
  <si>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</si>
  <si>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</si>
  <si>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</si>
  <si>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</si>
  <si>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</si>
  <si>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</si>
  <si>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</si>
  <si>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</si>
  <si>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</si>
  <si>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</si>
  <si>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</si>
  <si>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</si>
  <si>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11024</t>
  </si>
  <si>
    <t>KONTICH</t>
  </si>
  <si>
    <t>Paarden&amp;pony's 200 - 600 kg</t>
  </si>
  <si>
    <t>Paarden&amp;pony's &lt; 200 kg</t>
  </si>
  <si>
    <t>Fluvius</t>
  </si>
  <si>
    <t xml:space="preserve">Bron: </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</si>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</sst>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0258F98-ABBA-405F-B0B1-CB3DFE0214F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11024</v>
      </c>
      <c r="B6" s="384"/>
      <c r="C6" s="385"/>
    </row>
    <row r="7" spans="1:7" s="382" customFormat="1" ht="15.75" customHeight="1">
      <c r="A7" s="386" t="str">
        <f>txtMunicipality</f>
        <v>KONTICH</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54232.253953471343</v>
      </c>
      <c r="D10" s="674">
        <f ca="1">tertiair!C16</f>
        <v>13037.142857142857</v>
      </c>
      <c r="E10" s="674">
        <f ca="1">tertiair!D16</f>
        <v>30909.715589476698</v>
      </c>
      <c r="F10" s="674">
        <f>tertiair!E16</f>
        <v>881.98365358372007</v>
      </c>
      <c r="G10" s="674">
        <f ca="1">tertiair!F16</f>
        <v>7720.4976750944143</v>
      </c>
      <c r="H10" s="674">
        <f>tertiair!G16</f>
        <v>0</v>
      </c>
      <c r="I10" s="674">
        <f>tertiair!H16</f>
        <v>0</v>
      </c>
      <c r="J10" s="674">
        <f>tertiair!I16</f>
        <v>0</v>
      </c>
      <c r="K10" s="674">
        <f>tertiair!J16</f>
        <v>0</v>
      </c>
      <c r="L10" s="674">
        <f>tertiair!K16</f>
        <v>0</v>
      </c>
      <c r="M10" s="674">
        <f ca="1">tertiair!L16</f>
        <v>0</v>
      </c>
      <c r="N10" s="674">
        <f>tertiair!M16</f>
        <v>0</v>
      </c>
      <c r="O10" s="674">
        <f ca="1">tertiair!N16</f>
        <v>739.2012474406863</v>
      </c>
      <c r="P10" s="674">
        <f>tertiair!O16</f>
        <v>0</v>
      </c>
      <c r="Q10" s="675">
        <f>tertiair!P16</f>
        <v>38.133333333333333</v>
      </c>
      <c r="R10" s="677">
        <f ca="1">SUM(C10:Q10)</f>
        <v>107558.92830954306</v>
      </c>
      <c r="S10" s="67"/>
    </row>
    <row r="11" spans="1:19" s="443" customFormat="1">
      <c r="A11" s="789" t="s">
        <v>214</v>
      </c>
      <c r="B11" s="794"/>
      <c r="C11" s="674">
        <f>huishoudens!B8</f>
        <v>39063.149005230764</v>
      </c>
      <c r="D11" s="674">
        <f>huishoudens!C8</f>
        <v>0</v>
      </c>
      <c r="E11" s="674">
        <f>huishoudens!D8</f>
        <v>102510.31194779839</v>
      </c>
      <c r="F11" s="674">
        <f>huishoudens!E8</f>
        <v>998.55089944317797</v>
      </c>
      <c r="G11" s="674">
        <f>huishoudens!F8</f>
        <v>34084.931469752279</v>
      </c>
      <c r="H11" s="674">
        <f>huishoudens!G8</f>
        <v>0</v>
      </c>
      <c r="I11" s="674">
        <f>huishoudens!H8</f>
        <v>0</v>
      </c>
      <c r="J11" s="674">
        <f>huishoudens!I8</f>
        <v>0</v>
      </c>
      <c r="K11" s="674">
        <f>huishoudens!J8</f>
        <v>767.50624160893335</v>
      </c>
      <c r="L11" s="674">
        <f>huishoudens!K8</f>
        <v>0</v>
      </c>
      <c r="M11" s="674">
        <f>huishoudens!L8</f>
        <v>0</v>
      </c>
      <c r="N11" s="674">
        <f>huishoudens!M8</f>
        <v>0</v>
      </c>
      <c r="O11" s="674">
        <f>huishoudens!N8</f>
        <v>9505.191832325876</v>
      </c>
      <c r="P11" s="674">
        <f>huishoudens!O8</f>
        <v>100.05333333333334</v>
      </c>
      <c r="Q11" s="675">
        <f>huishoudens!P8</f>
        <v>114.4</v>
      </c>
      <c r="R11" s="677">
        <f>SUM(C11:Q11)</f>
        <v>187144.09472949279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13720.967749474376</v>
      </c>
      <c r="D13" s="674">
        <f>industrie!C18</f>
        <v>0</v>
      </c>
      <c r="E13" s="674">
        <f>industrie!D18</f>
        <v>11314.095548567215</v>
      </c>
      <c r="F13" s="674">
        <f>industrie!E18</f>
        <v>196.42094874699103</v>
      </c>
      <c r="G13" s="674">
        <f>industrie!F18</f>
        <v>4829.3232670982379</v>
      </c>
      <c r="H13" s="674">
        <f>industrie!G18</f>
        <v>0</v>
      </c>
      <c r="I13" s="674">
        <f>industrie!H18</f>
        <v>0</v>
      </c>
      <c r="J13" s="674">
        <f>industrie!I18</f>
        <v>0</v>
      </c>
      <c r="K13" s="674">
        <f>industrie!J18</f>
        <v>51.154608830118001</v>
      </c>
      <c r="L13" s="674">
        <f>industrie!K18</f>
        <v>0</v>
      </c>
      <c r="M13" s="674">
        <f>industrie!L18</f>
        <v>0</v>
      </c>
      <c r="N13" s="674">
        <f>industrie!M18</f>
        <v>0</v>
      </c>
      <c r="O13" s="674">
        <f>industrie!N18</f>
        <v>408.97856361967297</v>
      </c>
      <c r="P13" s="674">
        <f>industrie!O18</f>
        <v>0</v>
      </c>
      <c r="Q13" s="675">
        <f>industrie!P18</f>
        <v>0</v>
      </c>
      <c r="R13" s="677">
        <f>SUM(C13:Q13)</f>
        <v>30520.940686336613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107016.37070817649</v>
      </c>
      <c r="D16" s="707">
        <f t="shared" ref="D16:R16" ca="1" si="0">SUM(D9:D15)</f>
        <v>13037.142857142857</v>
      </c>
      <c r="E16" s="707">
        <f t="shared" ca="1" si="0"/>
        <v>144734.12308584229</v>
      </c>
      <c r="F16" s="707">
        <f t="shared" si="0"/>
        <v>2076.955501773889</v>
      </c>
      <c r="G16" s="707">
        <f t="shared" ca="1" si="0"/>
        <v>46634.75241194493</v>
      </c>
      <c r="H16" s="707">
        <f t="shared" si="0"/>
        <v>0</v>
      </c>
      <c r="I16" s="707">
        <f t="shared" si="0"/>
        <v>0</v>
      </c>
      <c r="J16" s="707">
        <f t="shared" si="0"/>
        <v>0</v>
      </c>
      <c r="K16" s="707">
        <f t="shared" si="0"/>
        <v>818.66085043905139</v>
      </c>
      <c r="L16" s="707">
        <f t="shared" si="0"/>
        <v>0</v>
      </c>
      <c r="M16" s="707">
        <f t="shared" ca="1" si="0"/>
        <v>0</v>
      </c>
      <c r="N16" s="707">
        <f t="shared" si="0"/>
        <v>0</v>
      </c>
      <c r="O16" s="707">
        <f t="shared" ca="1" si="0"/>
        <v>10653.371643386236</v>
      </c>
      <c r="P16" s="707">
        <f t="shared" si="0"/>
        <v>100.05333333333334</v>
      </c>
      <c r="Q16" s="707">
        <f t="shared" si="0"/>
        <v>152.53333333333333</v>
      </c>
      <c r="R16" s="707">
        <f t="shared" ca="1" si="0"/>
        <v>325223.96372537245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9.9866636693121453</v>
      </c>
      <c r="D19" s="674">
        <f>transport!C54</f>
        <v>0</v>
      </c>
      <c r="E19" s="674">
        <f>transport!D54</f>
        <v>0</v>
      </c>
      <c r="F19" s="674">
        <f>transport!E54</f>
        <v>0</v>
      </c>
      <c r="G19" s="674">
        <f>transport!F54</f>
        <v>0</v>
      </c>
      <c r="H19" s="674">
        <f>transport!G54</f>
        <v>2166.5064183685986</v>
      </c>
      <c r="I19" s="674">
        <f>transport!H54</f>
        <v>0</v>
      </c>
      <c r="J19" s="674">
        <f>transport!I54</f>
        <v>0</v>
      </c>
      <c r="K19" s="674">
        <f>transport!J54</f>
        <v>0</v>
      </c>
      <c r="L19" s="674">
        <f>transport!K54</f>
        <v>0</v>
      </c>
      <c r="M19" s="674">
        <f>transport!L54</f>
        <v>0</v>
      </c>
      <c r="N19" s="674">
        <f>transport!M54</f>
        <v>92.76148274387026</v>
      </c>
      <c r="O19" s="674">
        <f>transport!N54</f>
        <v>0</v>
      </c>
      <c r="P19" s="674">
        <f>transport!O54</f>
        <v>0</v>
      </c>
      <c r="Q19" s="675">
        <f>transport!P54</f>
        <v>0</v>
      </c>
      <c r="R19" s="677">
        <f>SUM(C19:Q19)</f>
        <v>2269.254564781781</v>
      </c>
      <c r="S19" s="67"/>
    </row>
    <row r="20" spans="1:19" s="443" customFormat="1">
      <c r="A20" s="789" t="s">
        <v>296</v>
      </c>
      <c r="B20" s="794"/>
      <c r="C20" s="674">
        <f>transport!B14</f>
        <v>4.0919028231343422</v>
      </c>
      <c r="D20" s="674">
        <f>transport!C14</f>
        <v>0</v>
      </c>
      <c r="E20" s="674">
        <f>transport!D14</f>
        <v>12.760250758219206</v>
      </c>
      <c r="F20" s="674">
        <f>transport!E14</f>
        <v>1472.2096666421628</v>
      </c>
      <c r="G20" s="674">
        <f>transport!F14</f>
        <v>0</v>
      </c>
      <c r="H20" s="674">
        <f>transport!G14</f>
        <v>311827.61161597312</v>
      </c>
      <c r="I20" s="674">
        <f>transport!H14</f>
        <v>43535.851300852446</v>
      </c>
      <c r="J20" s="674">
        <f>transport!I14</f>
        <v>0</v>
      </c>
      <c r="K20" s="674">
        <f>transport!J14</f>
        <v>0</v>
      </c>
      <c r="L20" s="674">
        <f>transport!K14</f>
        <v>0</v>
      </c>
      <c r="M20" s="674">
        <f>transport!L14</f>
        <v>0</v>
      </c>
      <c r="N20" s="674">
        <f>transport!M14</f>
        <v>15437.016710831769</v>
      </c>
      <c r="O20" s="674">
        <f>transport!N14</f>
        <v>0</v>
      </c>
      <c r="P20" s="674">
        <f>transport!O14</f>
        <v>0</v>
      </c>
      <c r="Q20" s="675">
        <f>transport!P14</f>
        <v>0</v>
      </c>
      <c r="R20" s="677">
        <f>SUM(C20:Q20)</f>
        <v>372289.54144788085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14.078566492446488</v>
      </c>
      <c r="D22" s="792">
        <f t="shared" ref="D22:R22" si="1">SUM(D18:D21)</f>
        <v>0</v>
      </c>
      <c r="E22" s="792">
        <f t="shared" si="1"/>
        <v>12.760250758219206</v>
      </c>
      <c r="F22" s="792">
        <f t="shared" si="1"/>
        <v>1472.2096666421628</v>
      </c>
      <c r="G22" s="792">
        <f t="shared" si="1"/>
        <v>0</v>
      </c>
      <c r="H22" s="792">
        <f t="shared" si="1"/>
        <v>313994.11803434172</v>
      </c>
      <c r="I22" s="792">
        <f t="shared" si="1"/>
        <v>43535.851300852446</v>
      </c>
      <c r="J22" s="792">
        <f t="shared" si="1"/>
        <v>0</v>
      </c>
      <c r="K22" s="792">
        <f t="shared" si="1"/>
        <v>0</v>
      </c>
      <c r="L22" s="792">
        <f t="shared" si="1"/>
        <v>0</v>
      </c>
      <c r="M22" s="792">
        <f t="shared" si="1"/>
        <v>0</v>
      </c>
      <c r="N22" s="792">
        <f t="shared" si="1"/>
        <v>15529.778193575639</v>
      </c>
      <c r="O22" s="792">
        <f t="shared" si="1"/>
        <v>0</v>
      </c>
      <c r="P22" s="792">
        <f t="shared" si="1"/>
        <v>0</v>
      </c>
      <c r="Q22" s="792">
        <f t="shared" si="1"/>
        <v>0</v>
      </c>
      <c r="R22" s="792">
        <f t="shared" si="1"/>
        <v>374558.79601266264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1504.943795103926</v>
      </c>
      <c r="D24" s="674">
        <f>+landbouw!C8</f>
        <v>54527.142857142855</v>
      </c>
      <c r="E24" s="674">
        <f>+landbouw!D8</f>
        <v>0</v>
      </c>
      <c r="F24" s="674">
        <f>+landbouw!E8</f>
        <v>15.760097229373619</v>
      </c>
      <c r="G24" s="674">
        <f>+landbouw!F8</f>
        <v>6442.3029574702841</v>
      </c>
      <c r="H24" s="674">
        <f>+landbouw!G8</f>
        <v>0</v>
      </c>
      <c r="I24" s="674">
        <f>+landbouw!H8</f>
        <v>0</v>
      </c>
      <c r="J24" s="674">
        <f>+landbouw!I8</f>
        <v>0</v>
      </c>
      <c r="K24" s="674">
        <f>+landbouw!J8</f>
        <v>134.40496994413456</v>
      </c>
      <c r="L24" s="674">
        <f>+landbouw!K8</f>
        <v>0</v>
      </c>
      <c r="M24" s="674">
        <f>+landbouw!L8</f>
        <v>0</v>
      </c>
      <c r="N24" s="674">
        <f>+landbouw!M8</f>
        <v>0</v>
      </c>
      <c r="O24" s="674">
        <f>+landbouw!N8</f>
        <v>0</v>
      </c>
      <c r="P24" s="674">
        <f>+landbouw!O8</f>
        <v>0</v>
      </c>
      <c r="Q24" s="675">
        <f>+landbouw!P8</f>
        <v>0</v>
      </c>
      <c r="R24" s="677">
        <f>SUM(C24:Q24)</f>
        <v>62624.55467689057</v>
      </c>
      <c r="S24" s="67"/>
    </row>
    <row r="25" spans="1:19" s="443" customFormat="1" ht="15" thickBot="1">
      <c r="A25" s="811" t="s">
        <v>889</v>
      </c>
      <c r="B25" s="966"/>
      <c r="C25" s="967">
        <f>IF(Onbekend_ele_kWh="---",0,Onbekend_ele_kWh)/1000+IF(REST_rest_ele_kWh="---",0,REST_rest_ele_kWh)/1000</f>
        <v>2804.6379410197301</v>
      </c>
      <c r="D25" s="967"/>
      <c r="E25" s="967">
        <f>IF(onbekend_gas_kWh="---",0,onbekend_gas_kWh)/1000+IF(REST_rest_gas_kWh="---",0,REST_rest_gas_kWh)/1000</f>
        <v>5194.9806022456596</v>
      </c>
      <c r="F25" s="967"/>
      <c r="G25" s="967"/>
      <c r="H25" s="967"/>
      <c r="I25" s="967"/>
      <c r="J25" s="967"/>
      <c r="K25" s="967"/>
      <c r="L25" s="967"/>
      <c r="M25" s="967"/>
      <c r="N25" s="967"/>
      <c r="O25" s="967"/>
      <c r="P25" s="967"/>
      <c r="Q25" s="968"/>
      <c r="R25" s="677">
        <f>SUM(C25:Q25)</f>
        <v>7999.6185432653892</v>
      </c>
      <c r="S25" s="67"/>
    </row>
    <row r="26" spans="1:19" s="443" customFormat="1" ht="15.75" thickBot="1">
      <c r="A26" s="680" t="s">
        <v>890</v>
      </c>
      <c r="B26" s="797"/>
      <c r="C26" s="792">
        <f>SUM(C24:C25)</f>
        <v>4309.5817361236559</v>
      </c>
      <c r="D26" s="792">
        <f t="shared" ref="D26:R26" si="2">SUM(D24:D25)</f>
        <v>54527.142857142855</v>
      </c>
      <c r="E26" s="792">
        <f t="shared" si="2"/>
        <v>5194.9806022456596</v>
      </c>
      <c r="F26" s="792">
        <f t="shared" si="2"/>
        <v>15.760097229373619</v>
      </c>
      <c r="G26" s="792">
        <f t="shared" si="2"/>
        <v>6442.3029574702841</v>
      </c>
      <c r="H26" s="792">
        <f t="shared" si="2"/>
        <v>0</v>
      </c>
      <c r="I26" s="792">
        <f t="shared" si="2"/>
        <v>0</v>
      </c>
      <c r="J26" s="792">
        <f t="shared" si="2"/>
        <v>0</v>
      </c>
      <c r="K26" s="792">
        <f t="shared" si="2"/>
        <v>134.40496994413456</v>
      </c>
      <c r="L26" s="792">
        <f t="shared" si="2"/>
        <v>0</v>
      </c>
      <c r="M26" s="792">
        <f t="shared" si="2"/>
        <v>0</v>
      </c>
      <c r="N26" s="792">
        <f t="shared" si="2"/>
        <v>0</v>
      </c>
      <c r="O26" s="792">
        <f t="shared" si="2"/>
        <v>0</v>
      </c>
      <c r="P26" s="792">
        <f t="shared" si="2"/>
        <v>0</v>
      </c>
      <c r="Q26" s="792">
        <f t="shared" si="2"/>
        <v>0</v>
      </c>
      <c r="R26" s="792">
        <f t="shared" si="2"/>
        <v>70624.173220155964</v>
      </c>
      <c r="S26" s="67"/>
    </row>
    <row r="27" spans="1:19" s="443" customFormat="1" ht="17.25" thickTop="1" thickBot="1">
      <c r="A27" s="681" t="s">
        <v>109</v>
      </c>
      <c r="B27" s="784"/>
      <c r="C27" s="682">
        <f ca="1">C22+C16+C26</f>
        <v>111340.03101079259</v>
      </c>
      <c r="D27" s="682">
        <f t="shared" ref="D27:R27" ca="1" si="3">D22+D16+D26</f>
        <v>67564.28571428571</v>
      </c>
      <c r="E27" s="682">
        <f t="shared" ca="1" si="3"/>
        <v>149941.86393884616</v>
      </c>
      <c r="F27" s="682">
        <f t="shared" si="3"/>
        <v>3564.925265645425</v>
      </c>
      <c r="G27" s="682">
        <f t="shared" ca="1" si="3"/>
        <v>53077.055369415211</v>
      </c>
      <c r="H27" s="682">
        <f t="shared" si="3"/>
        <v>313994.11803434172</v>
      </c>
      <c r="I27" s="682">
        <f t="shared" si="3"/>
        <v>43535.851300852446</v>
      </c>
      <c r="J27" s="682">
        <f t="shared" si="3"/>
        <v>0</v>
      </c>
      <c r="K27" s="682">
        <f t="shared" si="3"/>
        <v>953.06582038318595</v>
      </c>
      <c r="L27" s="682">
        <f t="shared" si="3"/>
        <v>0</v>
      </c>
      <c r="M27" s="682">
        <f t="shared" ca="1" si="3"/>
        <v>0</v>
      </c>
      <c r="N27" s="682">
        <f t="shared" si="3"/>
        <v>15529.778193575639</v>
      </c>
      <c r="O27" s="682">
        <f t="shared" ca="1" si="3"/>
        <v>10653.371643386236</v>
      </c>
      <c r="P27" s="682">
        <f t="shared" si="3"/>
        <v>100.05333333333334</v>
      </c>
      <c r="Q27" s="682">
        <f t="shared" si="3"/>
        <v>152.53333333333333</v>
      </c>
      <c r="R27" s="682">
        <f t="shared" ca="1" si="3"/>
        <v>770406.93295819103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11920.795502702804</v>
      </c>
      <c r="D40" s="674">
        <f ca="1">tertiair!C20</f>
        <v>3098.2386554621858</v>
      </c>
      <c r="E40" s="674">
        <f ca="1">tertiair!D20</f>
        <v>6243.762549074293</v>
      </c>
      <c r="F40" s="674">
        <f>tertiair!E20</f>
        <v>200.21028936350447</v>
      </c>
      <c r="G40" s="674">
        <f ca="1">tertiair!F20</f>
        <v>2061.3728792502088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23524.379875852996</v>
      </c>
    </row>
    <row r="41" spans="1:18">
      <c r="A41" s="802" t="s">
        <v>214</v>
      </c>
      <c r="B41" s="809"/>
      <c r="C41" s="674">
        <f ca="1">huishoudens!B12</f>
        <v>8586.4734920012997</v>
      </c>
      <c r="D41" s="674">
        <f ca="1">huishoudens!C12</f>
        <v>0</v>
      </c>
      <c r="E41" s="674">
        <f>huishoudens!D12</f>
        <v>20707.083013455274</v>
      </c>
      <c r="F41" s="674">
        <f>huishoudens!E12</f>
        <v>226.67105417360142</v>
      </c>
      <c r="G41" s="674">
        <f>huishoudens!F12</f>
        <v>9100.6767024238598</v>
      </c>
      <c r="H41" s="674">
        <f>huishoudens!G12</f>
        <v>0</v>
      </c>
      <c r="I41" s="674">
        <f>huishoudens!H12</f>
        <v>0</v>
      </c>
      <c r="J41" s="674">
        <f>huishoudens!I12</f>
        <v>0</v>
      </c>
      <c r="K41" s="674">
        <f>huishoudens!J12</f>
        <v>271.69720952956237</v>
      </c>
      <c r="L41" s="674">
        <f>huishoudens!K12</f>
        <v>0</v>
      </c>
      <c r="M41" s="674">
        <f>huishoudens!L12</f>
        <v>0</v>
      </c>
      <c r="N41" s="674">
        <f>huishoudens!M12</f>
        <v>0</v>
      </c>
      <c r="O41" s="674">
        <f>huishoudens!N12</f>
        <v>0</v>
      </c>
      <c r="P41" s="674">
        <f>huishoudens!O12</f>
        <v>0</v>
      </c>
      <c r="Q41" s="749">
        <f>huishoudens!P12</f>
        <v>0</v>
      </c>
      <c r="R41" s="830">
        <f t="shared" ca="1" si="4"/>
        <v>38892.601471583599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3016.006872607491</v>
      </c>
      <c r="D43" s="674">
        <f ca="1">industrie!C22</f>
        <v>0</v>
      </c>
      <c r="E43" s="674">
        <f>industrie!D22</f>
        <v>2285.4473008105774</v>
      </c>
      <c r="F43" s="674">
        <f>industrie!E22</f>
        <v>44.587555365566963</v>
      </c>
      <c r="G43" s="674">
        <f>industrie!F22</f>
        <v>1289.4293123152297</v>
      </c>
      <c r="H43" s="674">
        <f>industrie!G22</f>
        <v>0</v>
      </c>
      <c r="I43" s="674">
        <f>industrie!H22</f>
        <v>0</v>
      </c>
      <c r="J43" s="674">
        <f>industrie!I22</f>
        <v>0</v>
      </c>
      <c r="K43" s="674">
        <f>industrie!J22</f>
        <v>18.108731525861771</v>
      </c>
      <c r="L43" s="674">
        <f>industrie!K22</f>
        <v>0</v>
      </c>
      <c r="M43" s="674">
        <f>industrie!L22</f>
        <v>0</v>
      </c>
      <c r="N43" s="674">
        <f>industrie!M22</f>
        <v>0</v>
      </c>
      <c r="O43" s="674">
        <f>industrie!N22</f>
        <v>0</v>
      </c>
      <c r="P43" s="674">
        <f>industrie!O22</f>
        <v>0</v>
      </c>
      <c r="Q43" s="749">
        <f>industrie!P22</f>
        <v>0</v>
      </c>
      <c r="R43" s="829">
        <f t="shared" ca="1" si="4"/>
        <v>6653.5797726247265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23523.275867311593</v>
      </c>
      <c r="D46" s="707">
        <f t="shared" ref="D46:Q46" ca="1" si="5">SUM(D39:D45)</f>
        <v>3098.2386554621858</v>
      </c>
      <c r="E46" s="707">
        <f t="shared" ca="1" si="5"/>
        <v>29236.292863340146</v>
      </c>
      <c r="F46" s="707">
        <f t="shared" si="5"/>
        <v>471.46889890267283</v>
      </c>
      <c r="G46" s="707">
        <f t="shared" ca="1" si="5"/>
        <v>12451.478893989299</v>
      </c>
      <c r="H46" s="707">
        <f t="shared" si="5"/>
        <v>0</v>
      </c>
      <c r="I46" s="707">
        <f t="shared" si="5"/>
        <v>0</v>
      </c>
      <c r="J46" s="707">
        <f t="shared" si="5"/>
        <v>0</v>
      </c>
      <c r="K46" s="707">
        <f t="shared" si="5"/>
        <v>289.80594105542411</v>
      </c>
      <c r="L46" s="707">
        <f t="shared" si="5"/>
        <v>0</v>
      </c>
      <c r="M46" s="707">
        <f t="shared" ca="1" si="5"/>
        <v>0</v>
      </c>
      <c r="N46" s="707">
        <f t="shared" si="5"/>
        <v>0</v>
      </c>
      <c r="O46" s="707">
        <f t="shared" ca="1" si="5"/>
        <v>0</v>
      </c>
      <c r="P46" s="707">
        <f t="shared" si="5"/>
        <v>0</v>
      </c>
      <c r="Q46" s="707">
        <f t="shared" si="5"/>
        <v>0</v>
      </c>
      <c r="R46" s="707">
        <f ca="1">SUM(R39:R45)</f>
        <v>69070.56112006132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2.195169233760411</v>
      </c>
      <c r="D49" s="674">
        <f ca="1">transport!C58</f>
        <v>0</v>
      </c>
      <c r="E49" s="674">
        <f>transport!D58</f>
        <v>0</v>
      </c>
      <c r="F49" s="674">
        <f>transport!E58</f>
        <v>0</v>
      </c>
      <c r="G49" s="674">
        <f>transport!F58</f>
        <v>0</v>
      </c>
      <c r="H49" s="674">
        <f>transport!G58</f>
        <v>578.45721370441584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580.65238293817629</v>
      </c>
    </row>
    <row r="50" spans="1:18">
      <c r="A50" s="805" t="s">
        <v>296</v>
      </c>
      <c r="B50" s="815"/>
      <c r="C50" s="973">
        <f ca="1">transport!B18</f>
        <v>0.89944144334046261</v>
      </c>
      <c r="D50" s="973">
        <f>transport!C18</f>
        <v>0</v>
      </c>
      <c r="E50" s="973">
        <f>transport!D18</f>
        <v>2.5775706531602798</v>
      </c>
      <c r="F50" s="973">
        <f>transport!E18</f>
        <v>334.19159432777099</v>
      </c>
      <c r="G50" s="973">
        <f>transport!F18</f>
        <v>0</v>
      </c>
      <c r="H50" s="973">
        <f>transport!G18</f>
        <v>83257.972301464833</v>
      </c>
      <c r="I50" s="973">
        <f>transport!H18</f>
        <v>10840.426973912259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94436.067881801355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3.0946106771008735</v>
      </c>
      <c r="D52" s="707">
        <f t="shared" ref="D52:Q52" ca="1" si="6">SUM(D48:D51)</f>
        <v>0</v>
      </c>
      <c r="E52" s="707">
        <f t="shared" si="6"/>
        <v>2.5775706531602798</v>
      </c>
      <c r="F52" s="707">
        <f t="shared" si="6"/>
        <v>334.19159432777099</v>
      </c>
      <c r="G52" s="707">
        <f t="shared" si="6"/>
        <v>0</v>
      </c>
      <c r="H52" s="707">
        <f t="shared" si="6"/>
        <v>83836.429515169249</v>
      </c>
      <c r="I52" s="707">
        <f t="shared" si="6"/>
        <v>10840.426973912259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95016.720264739532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330.80179997473709</v>
      </c>
      <c r="D54" s="973">
        <f ca="1">+landbouw!C12</f>
        <v>12958.215126050423</v>
      </c>
      <c r="E54" s="973">
        <f>+landbouw!D12</f>
        <v>0</v>
      </c>
      <c r="F54" s="973">
        <f>+landbouw!E12</f>
        <v>3.5775420710678114</v>
      </c>
      <c r="G54" s="973">
        <f>+landbouw!F12</f>
        <v>1720.0948896445659</v>
      </c>
      <c r="H54" s="973">
        <f>+landbouw!G12</f>
        <v>0</v>
      </c>
      <c r="I54" s="973">
        <f>+landbouw!H12</f>
        <v>0</v>
      </c>
      <c r="J54" s="973">
        <f>+landbouw!I12</f>
        <v>0</v>
      </c>
      <c r="K54" s="973">
        <f>+landbouw!J12</f>
        <v>47.579359360223634</v>
      </c>
      <c r="L54" s="973">
        <f>+landbouw!K12</f>
        <v>0</v>
      </c>
      <c r="M54" s="973">
        <f>+landbouw!L12</f>
        <v>0</v>
      </c>
      <c r="N54" s="973">
        <f>+landbouw!M12</f>
        <v>0</v>
      </c>
      <c r="O54" s="973">
        <f>+landbouw!N12</f>
        <v>0</v>
      </c>
      <c r="P54" s="973">
        <f>+landbouw!O12</f>
        <v>0</v>
      </c>
      <c r="Q54" s="974">
        <f>+landbouw!P12</f>
        <v>0</v>
      </c>
      <c r="R54" s="706">
        <f ca="1">SUM(C54:Q54)</f>
        <v>15060.268717101017</v>
      </c>
    </row>
    <row r="55" spans="1:18" ht="15" thickBot="1">
      <c r="A55" s="805" t="s">
        <v>889</v>
      </c>
      <c r="B55" s="815"/>
      <c r="C55" s="973">
        <f ca="1">C25*'EF ele_warmte'!B12</f>
        <v>616.48766032667561</v>
      </c>
      <c r="D55" s="973"/>
      <c r="E55" s="973">
        <f>E25*EF_CO2_aardgas</f>
        <v>1049.3860816536233</v>
      </c>
      <c r="F55" s="973"/>
      <c r="G55" s="973"/>
      <c r="H55" s="973"/>
      <c r="I55" s="973"/>
      <c r="J55" s="973"/>
      <c r="K55" s="973"/>
      <c r="L55" s="973"/>
      <c r="M55" s="973"/>
      <c r="N55" s="973"/>
      <c r="O55" s="973"/>
      <c r="P55" s="973"/>
      <c r="Q55" s="974"/>
      <c r="R55" s="706">
        <f ca="1">SUM(C55:Q55)</f>
        <v>1665.8737419802987</v>
      </c>
    </row>
    <row r="56" spans="1:18" ht="15.75" thickBot="1">
      <c r="A56" s="803" t="s">
        <v>890</v>
      </c>
      <c r="B56" s="816"/>
      <c r="C56" s="707">
        <f ca="1">SUM(C54:C55)</f>
        <v>947.28946030141265</v>
      </c>
      <c r="D56" s="707">
        <f t="shared" ref="D56:Q56" ca="1" si="7">SUM(D54:D55)</f>
        <v>12958.215126050423</v>
      </c>
      <c r="E56" s="707">
        <f t="shared" si="7"/>
        <v>1049.3860816536233</v>
      </c>
      <c r="F56" s="707">
        <f t="shared" si="7"/>
        <v>3.5775420710678114</v>
      </c>
      <c r="G56" s="707">
        <f t="shared" si="7"/>
        <v>1720.0948896445659</v>
      </c>
      <c r="H56" s="707">
        <f t="shared" si="7"/>
        <v>0</v>
      </c>
      <c r="I56" s="707">
        <f t="shared" si="7"/>
        <v>0</v>
      </c>
      <c r="J56" s="707">
        <f t="shared" si="7"/>
        <v>0</v>
      </c>
      <c r="K56" s="707">
        <f t="shared" si="7"/>
        <v>47.579359360223634</v>
      </c>
      <c r="L56" s="707">
        <f t="shared" si="7"/>
        <v>0</v>
      </c>
      <c r="M56" s="707">
        <f t="shared" si="7"/>
        <v>0</v>
      </c>
      <c r="N56" s="707">
        <f t="shared" si="7"/>
        <v>0</v>
      </c>
      <c r="O56" s="707">
        <f t="shared" si="7"/>
        <v>0</v>
      </c>
      <c r="P56" s="707">
        <f t="shared" si="7"/>
        <v>0</v>
      </c>
      <c r="Q56" s="708">
        <f t="shared" si="7"/>
        <v>0</v>
      </c>
      <c r="R56" s="709">
        <f ca="1">SUM(R54:R55)</f>
        <v>16726.142459081315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24473.659938290108</v>
      </c>
      <c r="D61" s="715">
        <f t="shared" ref="D61:Q61" ca="1" si="8">D46+D52+D56</f>
        <v>16056.45378151261</v>
      </c>
      <c r="E61" s="715">
        <f t="shared" ca="1" si="8"/>
        <v>30288.256515646928</v>
      </c>
      <c r="F61" s="715">
        <f t="shared" si="8"/>
        <v>809.23803530151156</v>
      </c>
      <c r="G61" s="715">
        <f t="shared" ca="1" si="8"/>
        <v>14171.573783633865</v>
      </c>
      <c r="H61" s="715">
        <f t="shared" si="8"/>
        <v>83836.429515169249</v>
      </c>
      <c r="I61" s="715">
        <f t="shared" si="8"/>
        <v>10840.426973912259</v>
      </c>
      <c r="J61" s="715">
        <f t="shared" si="8"/>
        <v>0</v>
      </c>
      <c r="K61" s="715">
        <f t="shared" si="8"/>
        <v>337.38530041564775</v>
      </c>
      <c r="L61" s="715">
        <f t="shared" si="8"/>
        <v>0</v>
      </c>
      <c r="M61" s="715">
        <f t="shared" ca="1" si="8"/>
        <v>0</v>
      </c>
      <c r="N61" s="715">
        <f t="shared" si="8"/>
        <v>0</v>
      </c>
      <c r="O61" s="715">
        <f t="shared" ca="1" si="8"/>
        <v>0</v>
      </c>
      <c r="P61" s="715">
        <f t="shared" si="8"/>
        <v>0</v>
      </c>
      <c r="Q61" s="715">
        <f t="shared" si="8"/>
        <v>0</v>
      </c>
      <c r="R61" s="715">
        <f ca="1">R46+R52+R56</f>
        <v>180813.42384388216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0.21981006935338276</v>
      </c>
      <c r="D63" s="759">
        <f t="shared" ca="1" si="9"/>
        <v>0.23764705882352949</v>
      </c>
      <c r="E63" s="975">
        <f t="shared" ca="1" si="9"/>
        <v>0.20200000000000001</v>
      </c>
      <c r="F63" s="759">
        <f t="shared" si="9"/>
        <v>0.22700000000000001</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4162.034217890845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47295</v>
      </c>
      <c r="D76" s="985">
        <f>'lokale energieproductie'!C8</f>
        <v>55641.176470588238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11239.517647058825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4162.034217890845</v>
      </c>
      <c r="C78" s="730">
        <f>SUM(C72:C77)</f>
        <v>47295</v>
      </c>
      <c r="D78" s="731">
        <f t="shared" ref="D78:H78" si="10">SUM(D76:D77)</f>
        <v>55641.176470588238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11239.517647058825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67564.285714285725</v>
      </c>
      <c r="D87" s="752">
        <f>'lokale energieproductie'!C17</f>
        <v>79487.394957983211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16056.45378151261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67564.285714285725</v>
      </c>
      <c r="D90" s="730">
        <f t="shared" ref="D90:H90" si="12">SUM(D87:D89)</f>
        <v>79487.394957983211</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16056.45378151261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39063.149005230764</v>
      </c>
      <c r="C4" s="447">
        <f>huishoudens!C8</f>
        <v>0</v>
      </c>
      <c r="D4" s="447">
        <f>huishoudens!D8</f>
        <v>102510.31194779839</v>
      </c>
      <c r="E4" s="447">
        <f>huishoudens!E8</f>
        <v>998.55089944317797</v>
      </c>
      <c r="F4" s="447">
        <f>huishoudens!F8</f>
        <v>34084.931469752279</v>
      </c>
      <c r="G4" s="447">
        <f>huishoudens!G8</f>
        <v>0</v>
      </c>
      <c r="H4" s="447">
        <f>huishoudens!H8</f>
        <v>0</v>
      </c>
      <c r="I4" s="447">
        <f>huishoudens!I8</f>
        <v>0</v>
      </c>
      <c r="J4" s="447">
        <f>huishoudens!J8</f>
        <v>767.50624160893335</v>
      </c>
      <c r="K4" s="447">
        <f>huishoudens!K8</f>
        <v>0</v>
      </c>
      <c r="L4" s="447">
        <f>huishoudens!L8</f>
        <v>0</v>
      </c>
      <c r="M4" s="447">
        <f>huishoudens!M8</f>
        <v>0</v>
      </c>
      <c r="N4" s="447">
        <f>huishoudens!N8</f>
        <v>9505.191832325876</v>
      </c>
      <c r="O4" s="447">
        <f>huishoudens!O8</f>
        <v>100.05333333333334</v>
      </c>
      <c r="P4" s="448">
        <f>huishoudens!P8</f>
        <v>114.4</v>
      </c>
      <c r="Q4" s="449">
        <f>SUM(B4:P4)</f>
        <v>187144.09472949279</v>
      </c>
    </row>
    <row r="5" spans="1:17">
      <c r="A5" s="446" t="s">
        <v>149</v>
      </c>
      <c r="B5" s="447">
        <f ca="1">tertiair!B16</f>
        <v>52908.635953471341</v>
      </c>
      <c r="C5" s="447">
        <f ca="1">tertiair!C16</f>
        <v>13037.142857142857</v>
      </c>
      <c r="D5" s="447">
        <f ca="1">tertiair!D16</f>
        <v>30909.715589476698</v>
      </c>
      <c r="E5" s="447">
        <f>tertiair!E16</f>
        <v>881.98365358372007</v>
      </c>
      <c r="F5" s="447">
        <f ca="1">tertiair!F16</f>
        <v>7720.4976750944143</v>
      </c>
      <c r="G5" s="447">
        <f>tertiair!G16</f>
        <v>0</v>
      </c>
      <c r="H5" s="447">
        <f>tertiair!H16</f>
        <v>0</v>
      </c>
      <c r="I5" s="447">
        <f>tertiair!I16</f>
        <v>0</v>
      </c>
      <c r="J5" s="447">
        <f>tertiair!J16</f>
        <v>0</v>
      </c>
      <c r="K5" s="447">
        <f>tertiair!K16</f>
        <v>0</v>
      </c>
      <c r="L5" s="447">
        <f ca="1">tertiair!L16</f>
        <v>0</v>
      </c>
      <c r="M5" s="447">
        <f>tertiair!M16</f>
        <v>0</v>
      </c>
      <c r="N5" s="447">
        <f ca="1">tertiair!N16</f>
        <v>739.2012474406863</v>
      </c>
      <c r="O5" s="447">
        <f>tertiair!O16</f>
        <v>0</v>
      </c>
      <c r="P5" s="448">
        <f>tertiair!P16</f>
        <v>38.133333333333333</v>
      </c>
      <c r="Q5" s="446">
        <f t="shared" ref="Q5:Q14" ca="1" si="0">SUM(B5:P5)</f>
        <v>106235.31030954304</v>
      </c>
    </row>
    <row r="6" spans="1:17">
      <c r="A6" s="446" t="s">
        <v>187</v>
      </c>
      <c r="B6" s="447">
        <f>'openbare verlichting'!B8</f>
        <v>1323.6179999999999</v>
      </c>
      <c r="C6" s="447"/>
      <c r="D6" s="447"/>
      <c r="E6" s="447"/>
      <c r="F6" s="447"/>
      <c r="G6" s="447"/>
      <c r="H6" s="447"/>
      <c r="I6" s="447"/>
      <c r="J6" s="447"/>
      <c r="K6" s="447"/>
      <c r="L6" s="447"/>
      <c r="M6" s="447"/>
      <c r="N6" s="447"/>
      <c r="O6" s="447"/>
      <c r="P6" s="448"/>
      <c r="Q6" s="446">
        <f t="shared" si="0"/>
        <v>1323.6179999999999</v>
      </c>
    </row>
    <row r="7" spans="1:17">
      <c r="A7" s="446" t="s">
        <v>105</v>
      </c>
      <c r="B7" s="447">
        <f>landbouw!B8</f>
        <v>1504.943795103926</v>
      </c>
      <c r="C7" s="447">
        <f>landbouw!C8</f>
        <v>54527.142857142855</v>
      </c>
      <c r="D7" s="447">
        <f>landbouw!D8</f>
        <v>0</v>
      </c>
      <c r="E7" s="447">
        <f>landbouw!E8</f>
        <v>15.760097229373619</v>
      </c>
      <c r="F7" s="447">
        <f>landbouw!F8</f>
        <v>6442.3029574702841</v>
      </c>
      <c r="G7" s="447">
        <f>landbouw!G8</f>
        <v>0</v>
      </c>
      <c r="H7" s="447">
        <f>landbouw!H8</f>
        <v>0</v>
      </c>
      <c r="I7" s="447">
        <f>landbouw!I8</f>
        <v>0</v>
      </c>
      <c r="J7" s="447">
        <f>landbouw!J8</f>
        <v>134.40496994413456</v>
      </c>
      <c r="K7" s="447">
        <f>landbouw!K8</f>
        <v>0</v>
      </c>
      <c r="L7" s="447">
        <f>landbouw!L8</f>
        <v>0</v>
      </c>
      <c r="M7" s="447">
        <f>landbouw!M8</f>
        <v>0</v>
      </c>
      <c r="N7" s="447">
        <f>landbouw!N8</f>
        <v>0</v>
      </c>
      <c r="O7" s="447">
        <f>landbouw!O8</f>
        <v>0</v>
      </c>
      <c r="P7" s="448">
        <f>landbouw!P8</f>
        <v>0</v>
      </c>
      <c r="Q7" s="446">
        <f t="shared" si="0"/>
        <v>62624.55467689057</v>
      </c>
    </row>
    <row r="8" spans="1:17">
      <c r="A8" s="446" t="s">
        <v>637</v>
      </c>
      <c r="B8" s="447">
        <f>industrie!B18</f>
        <v>13720.967749474376</v>
      </c>
      <c r="C8" s="447">
        <f>industrie!C18</f>
        <v>0</v>
      </c>
      <c r="D8" s="447">
        <f>industrie!D18</f>
        <v>11314.095548567215</v>
      </c>
      <c r="E8" s="447">
        <f>industrie!E18</f>
        <v>196.42094874699103</v>
      </c>
      <c r="F8" s="447">
        <f>industrie!F18</f>
        <v>4829.3232670982379</v>
      </c>
      <c r="G8" s="447">
        <f>industrie!G18</f>
        <v>0</v>
      </c>
      <c r="H8" s="447">
        <f>industrie!H18</f>
        <v>0</v>
      </c>
      <c r="I8" s="447">
        <f>industrie!I18</f>
        <v>0</v>
      </c>
      <c r="J8" s="447">
        <f>industrie!J18</f>
        <v>51.154608830118001</v>
      </c>
      <c r="K8" s="447">
        <f>industrie!K18</f>
        <v>0</v>
      </c>
      <c r="L8" s="447">
        <f>industrie!L18</f>
        <v>0</v>
      </c>
      <c r="M8" s="447">
        <f>industrie!M18</f>
        <v>0</v>
      </c>
      <c r="N8" s="447">
        <f>industrie!N18</f>
        <v>408.97856361967297</v>
      </c>
      <c r="O8" s="447">
        <f>industrie!O18</f>
        <v>0</v>
      </c>
      <c r="P8" s="448">
        <f>industrie!P18</f>
        <v>0</v>
      </c>
      <c r="Q8" s="446">
        <f t="shared" si="0"/>
        <v>30520.940686336613</v>
      </c>
    </row>
    <row r="9" spans="1:17" s="452" customFormat="1">
      <c r="A9" s="450" t="s">
        <v>556</v>
      </c>
      <c r="B9" s="451">
        <f>transport!B14</f>
        <v>4.0919028231343422</v>
      </c>
      <c r="C9" s="451">
        <f>transport!C14</f>
        <v>0</v>
      </c>
      <c r="D9" s="451">
        <f>transport!D14</f>
        <v>12.760250758219206</v>
      </c>
      <c r="E9" s="451">
        <f>transport!E14</f>
        <v>1472.2096666421628</v>
      </c>
      <c r="F9" s="451">
        <f>transport!F14</f>
        <v>0</v>
      </c>
      <c r="G9" s="451">
        <f>transport!G14</f>
        <v>311827.61161597312</v>
      </c>
      <c r="H9" s="451">
        <f>transport!H14</f>
        <v>43535.851300852446</v>
      </c>
      <c r="I9" s="451">
        <f>transport!I14</f>
        <v>0</v>
      </c>
      <c r="J9" s="451">
        <f>transport!J14</f>
        <v>0</v>
      </c>
      <c r="K9" s="451">
        <f>transport!K14</f>
        <v>0</v>
      </c>
      <c r="L9" s="451">
        <f>transport!L14</f>
        <v>0</v>
      </c>
      <c r="M9" s="451">
        <f>transport!M14</f>
        <v>15437.016710831769</v>
      </c>
      <c r="N9" s="451">
        <f>transport!N14</f>
        <v>0</v>
      </c>
      <c r="O9" s="451">
        <f>transport!O14</f>
        <v>0</v>
      </c>
      <c r="P9" s="451">
        <f>transport!P14</f>
        <v>0</v>
      </c>
      <c r="Q9" s="450">
        <f>SUM(B9:P9)</f>
        <v>372289.54144788085</v>
      </c>
    </row>
    <row r="10" spans="1:17">
      <c r="A10" s="446" t="s">
        <v>546</v>
      </c>
      <c r="B10" s="447">
        <f>transport!B54</f>
        <v>9.9866636693121453</v>
      </c>
      <c r="C10" s="447">
        <f>transport!C54</f>
        <v>0</v>
      </c>
      <c r="D10" s="447">
        <f>transport!D54</f>
        <v>0</v>
      </c>
      <c r="E10" s="447">
        <f>transport!E54</f>
        <v>0</v>
      </c>
      <c r="F10" s="447">
        <f>transport!F54</f>
        <v>0</v>
      </c>
      <c r="G10" s="447">
        <f>transport!G54</f>
        <v>2166.5064183685986</v>
      </c>
      <c r="H10" s="447">
        <f>transport!H54</f>
        <v>0</v>
      </c>
      <c r="I10" s="447">
        <f>transport!I54</f>
        <v>0</v>
      </c>
      <c r="J10" s="447">
        <f>transport!J54</f>
        <v>0</v>
      </c>
      <c r="K10" s="447">
        <f>transport!K54</f>
        <v>0</v>
      </c>
      <c r="L10" s="447">
        <f>transport!L54</f>
        <v>0</v>
      </c>
      <c r="M10" s="447">
        <f>transport!M54</f>
        <v>92.76148274387026</v>
      </c>
      <c r="N10" s="447">
        <f>transport!N54</f>
        <v>0</v>
      </c>
      <c r="O10" s="447">
        <f>transport!O54</f>
        <v>0</v>
      </c>
      <c r="P10" s="448">
        <f>transport!P54</f>
        <v>0</v>
      </c>
      <c r="Q10" s="446">
        <f t="shared" si="0"/>
        <v>2269.254564781781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2804.6379410197301</v>
      </c>
      <c r="C14" s="454"/>
      <c r="D14" s="454">
        <f>'SEAP template'!E25</f>
        <v>5194.9806022456596</v>
      </c>
      <c r="E14" s="454"/>
      <c r="F14" s="454"/>
      <c r="G14" s="454"/>
      <c r="H14" s="454"/>
      <c r="I14" s="454"/>
      <c r="J14" s="454"/>
      <c r="K14" s="454"/>
      <c r="L14" s="454"/>
      <c r="M14" s="454"/>
      <c r="N14" s="454"/>
      <c r="O14" s="454"/>
      <c r="P14" s="455"/>
      <c r="Q14" s="446">
        <f t="shared" si="0"/>
        <v>7999.6185432653892</v>
      </c>
    </row>
    <row r="15" spans="1:17" s="459" customFormat="1">
      <c r="A15" s="456" t="s">
        <v>550</v>
      </c>
      <c r="B15" s="457">
        <f ca="1">SUM(B4:B14)</f>
        <v>111340.03101079259</v>
      </c>
      <c r="C15" s="457">
        <f t="shared" ref="C15:Q15" ca="1" si="1">SUM(C4:C14)</f>
        <v>67564.28571428571</v>
      </c>
      <c r="D15" s="457">
        <f t="shared" ca="1" si="1"/>
        <v>149941.86393884616</v>
      </c>
      <c r="E15" s="457">
        <f t="shared" si="1"/>
        <v>3564.9252656454255</v>
      </c>
      <c r="F15" s="457">
        <f t="shared" ca="1" si="1"/>
        <v>53077.055369415211</v>
      </c>
      <c r="G15" s="457">
        <f t="shared" si="1"/>
        <v>313994.11803434172</v>
      </c>
      <c r="H15" s="457">
        <f t="shared" si="1"/>
        <v>43535.851300852446</v>
      </c>
      <c r="I15" s="457">
        <f t="shared" si="1"/>
        <v>0</v>
      </c>
      <c r="J15" s="457">
        <f t="shared" si="1"/>
        <v>953.06582038318595</v>
      </c>
      <c r="K15" s="457">
        <f t="shared" si="1"/>
        <v>0</v>
      </c>
      <c r="L15" s="457">
        <f t="shared" ca="1" si="1"/>
        <v>0</v>
      </c>
      <c r="M15" s="457">
        <f t="shared" si="1"/>
        <v>15529.778193575639</v>
      </c>
      <c r="N15" s="457">
        <f t="shared" ca="1" si="1"/>
        <v>10653.371643386236</v>
      </c>
      <c r="O15" s="457">
        <f t="shared" si="1"/>
        <v>100.05333333333334</v>
      </c>
      <c r="P15" s="457">
        <f t="shared" si="1"/>
        <v>152.53333333333333</v>
      </c>
      <c r="Q15" s="457">
        <f t="shared" ca="1" si="1"/>
        <v>770406.93295819103</v>
      </c>
    </row>
    <row r="17" spans="1:17">
      <c r="A17" s="460" t="s">
        <v>551</v>
      </c>
      <c r="B17" s="764">
        <f ca="1">huishoudens!B10</f>
        <v>0.21981006935338279</v>
      </c>
      <c r="C17" s="764">
        <f ca="1">huishoudens!C10</f>
        <v>0.23764705882352949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8586.4734920012997</v>
      </c>
      <c r="C22" s="447">
        <f t="shared" ref="C22:C32" ca="1" si="3">C4*$C$17</f>
        <v>0</v>
      </c>
      <c r="D22" s="447">
        <f t="shared" ref="D22:D32" si="4">D4*$D$17</f>
        <v>20707.083013455274</v>
      </c>
      <c r="E22" s="447">
        <f t="shared" ref="E22:E32" si="5">E4*$E$17</f>
        <v>226.67105417360142</v>
      </c>
      <c r="F22" s="447">
        <f t="shared" ref="F22:F32" si="6">F4*$F$17</f>
        <v>9100.6767024238598</v>
      </c>
      <c r="G22" s="447">
        <f t="shared" ref="G22:G32" si="7">G4*$G$17</f>
        <v>0</v>
      </c>
      <c r="H22" s="447">
        <f t="shared" ref="H22:H32" si="8">H4*$H$17</f>
        <v>0</v>
      </c>
      <c r="I22" s="447">
        <f t="shared" ref="I22:I32" si="9">I4*$I$17</f>
        <v>0</v>
      </c>
      <c r="J22" s="447">
        <f t="shared" ref="J22:J32" si="10">J4*$J$17</f>
        <v>271.69720952956237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38892.601471583599</v>
      </c>
    </row>
    <row r="23" spans="1:17">
      <c r="A23" s="446" t="s">
        <v>149</v>
      </c>
      <c r="B23" s="447">
        <f t="shared" ca="1" si="2"/>
        <v>11629.850938325419</v>
      </c>
      <c r="C23" s="447">
        <f t="shared" ca="1" si="3"/>
        <v>3098.2386554621858</v>
      </c>
      <c r="D23" s="447">
        <f t="shared" ca="1" si="4"/>
        <v>6243.762549074293</v>
      </c>
      <c r="E23" s="447">
        <f t="shared" si="5"/>
        <v>200.21028936350447</v>
      </c>
      <c r="F23" s="447">
        <f t="shared" ca="1" si="6"/>
        <v>2061.3728792502088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23233.435311475612</v>
      </c>
    </row>
    <row r="24" spans="1:17">
      <c r="A24" s="446" t="s">
        <v>187</v>
      </c>
      <c r="B24" s="447">
        <f t="shared" ca="1" si="2"/>
        <v>290.9445643773858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290.9445643773858</v>
      </c>
    </row>
    <row r="25" spans="1:17">
      <c r="A25" s="446" t="s">
        <v>105</v>
      </c>
      <c r="B25" s="447">
        <f t="shared" ca="1" si="2"/>
        <v>330.80179997473709</v>
      </c>
      <c r="C25" s="447">
        <f t="shared" ca="1" si="3"/>
        <v>12958.215126050423</v>
      </c>
      <c r="D25" s="447">
        <f t="shared" si="4"/>
        <v>0</v>
      </c>
      <c r="E25" s="447">
        <f t="shared" si="5"/>
        <v>3.5775420710678114</v>
      </c>
      <c r="F25" s="447">
        <f t="shared" si="6"/>
        <v>1720.0948896445659</v>
      </c>
      <c r="G25" s="447">
        <f t="shared" si="7"/>
        <v>0</v>
      </c>
      <c r="H25" s="447">
        <f t="shared" si="8"/>
        <v>0</v>
      </c>
      <c r="I25" s="447">
        <f t="shared" si="9"/>
        <v>0</v>
      </c>
      <c r="J25" s="447">
        <f t="shared" si="10"/>
        <v>47.579359360223634</v>
      </c>
      <c r="K25" s="447">
        <f t="shared" si="11"/>
        <v>0</v>
      </c>
      <c r="L25" s="447">
        <f t="shared" si="12"/>
        <v>0</v>
      </c>
      <c r="M25" s="447">
        <f t="shared" si="13"/>
        <v>0</v>
      </c>
      <c r="N25" s="447">
        <f t="shared" si="14"/>
        <v>0</v>
      </c>
      <c r="O25" s="447">
        <f t="shared" si="15"/>
        <v>0</v>
      </c>
      <c r="P25" s="448">
        <f t="shared" si="16"/>
        <v>0</v>
      </c>
      <c r="Q25" s="446">
        <f t="shared" ca="1" si="17"/>
        <v>15060.268717101017</v>
      </c>
    </row>
    <row r="26" spans="1:17">
      <c r="A26" s="446" t="s">
        <v>637</v>
      </c>
      <c r="B26" s="447">
        <f t="shared" ca="1" si="2"/>
        <v>3016.006872607491</v>
      </c>
      <c r="C26" s="447">
        <f t="shared" ca="1" si="3"/>
        <v>0</v>
      </c>
      <c r="D26" s="447">
        <f t="shared" si="4"/>
        <v>2285.4473008105774</v>
      </c>
      <c r="E26" s="447">
        <f t="shared" si="5"/>
        <v>44.587555365566963</v>
      </c>
      <c r="F26" s="447">
        <f t="shared" si="6"/>
        <v>1289.4293123152297</v>
      </c>
      <c r="G26" s="447">
        <f t="shared" si="7"/>
        <v>0</v>
      </c>
      <c r="H26" s="447">
        <f t="shared" si="8"/>
        <v>0</v>
      </c>
      <c r="I26" s="447">
        <f t="shared" si="9"/>
        <v>0</v>
      </c>
      <c r="J26" s="447">
        <f t="shared" si="10"/>
        <v>18.108731525861771</v>
      </c>
      <c r="K26" s="447">
        <f t="shared" si="11"/>
        <v>0</v>
      </c>
      <c r="L26" s="447">
        <f t="shared" si="12"/>
        <v>0</v>
      </c>
      <c r="M26" s="447">
        <f t="shared" si="13"/>
        <v>0</v>
      </c>
      <c r="N26" s="447">
        <f t="shared" si="14"/>
        <v>0</v>
      </c>
      <c r="O26" s="447">
        <f t="shared" si="15"/>
        <v>0</v>
      </c>
      <c r="P26" s="448">
        <f t="shared" si="16"/>
        <v>0</v>
      </c>
      <c r="Q26" s="446">
        <f t="shared" ca="1" si="17"/>
        <v>6653.5797726247265</v>
      </c>
    </row>
    <row r="27" spans="1:17" s="452" customFormat="1">
      <c r="A27" s="450" t="s">
        <v>556</v>
      </c>
      <c r="B27" s="758">
        <f t="shared" ca="1" si="2"/>
        <v>0.89944144334046261</v>
      </c>
      <c r="C27" s="451">
        <f t="shared" ca="1" si="3"/>
        <v>0</v>
      </c>
      <c r="D27" s="451">
        <f t="shared" si="4"/>
        <v>2.5775706531602798</v>
      </c>
      <c r="E27" s="451">
        <f t="shared" si="5"/>
        <v>334.19159432777099</v>
      </c>
      <c r="F27" s="451">
        <f t="shared" si="6"/>
        <v>0</v>
      </c>
      <c r="G27" s="451">
        <f t="shared" si="7"/>
        <v>83257.972301464833</v>
      </c>
      <c r="H27" s="451">
        <f t="shared" si="8"/>
        <v>10840.426973912259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94436.067881801355</v>
      </c>
    </row>
    <row r="28" spans="1:17">
      <c r="A28" s="446" t="s">
        <v>546</v>
      </c>
      <c r="B28" s="447">
        <f t="shared" ca="1" si="2"/>
        <v>2.195169233760411</v>
      </c>
      <c r="C28" s="447">
        <f t="shared" ca="1" si="3"/>
        <v>0</v>
      </c>
      <c r="D28" s="447">
        <f t="shared" si="4"/>
        <v>0</v>
      </c>
      <c r="E28" s="447">
        <f t="shared" si="5"/>
        <v>0</v>
      </c>
      <c r="F28" s="447">
        <f t="shared" si="6"/>
        <v>0</v>
      </c>
      <c r="G28" s="447">
        <f t="shared" si="7"/>
        <v>578.45721370441584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580.65238293817629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616.48766032667561</v>
      </c>
      <c r="C32" s="447">
        <f t="shared" ca="1" si="3"/>
        <v>0</v>
      </c>
      <c r="D32" s="447">
        <f t="shared" si="4"/>
        <v>1049.3860816536233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1665.8737419802987</v>
      </c>
    </row>
    <row r="33" spans="1:17" s="459" customFormat="1">
      <c r="A33" s="456" t="s">
        <v>550</v>
      </c>
      <c r="B33" s="457">
        <f ca="1">SUM(B22:B32)</f>
        <v>24473.659938290108</v>
      </c>
      <c r="C33" s="457">
        <f t="shared" ref="C33:Q33" ca="1" si="19">SUM(C22:C32)</f>
        <v>16056.45378151261</v>
      </c>
      <c r="D33" s="457">
        <f t="shared" ca="1" si="19"/>
        <v>30288.256515646928</v>
      </c>
      <c r="E33" s="457">
        <f t="shared" si="19"/>
        <v>809.23803530151167</v>
      </c>
      <c r="F33" s="457">
        <f t="shared" ca="1" si="19"/>
        <v>14171.573783633865</v>
      </c>
      <c r="G33" s="457">
        <f t="shared" si="19"/>
        <v>83836.429515169249</v>
      </c>
      <c r="H33" s="457">
        <f t="shared" si="19"/>
        <v>10840.426973912259</v>
      </c>
      <c r="I33" s="457">
        <f t="shared" si="19"/>
        <v>0</v>
      </c>
      <c r="J33" s="457">
        <f t="shared" si="19"/>
        <v>337.38530041564775</v>
      </c>
      <c r="K33" s="457">
        <f t="shared" si="19"/>
        <v>0</v>
      </c>
      <c r="L33" s="457">
        <f t="shared" ca="1" si="19"/>
        <v>0</v>
      </c>
      <c r="M33" s="457">
        <f t="shared" si="19"/>
        <v>0</v>
      </c>
      <c r="N33" s="457">
        <f t="shared" ca="1" si="19"/>
        <v>0</v>
      </c>
      <c r="O33" s="457">
        <f t="shared" si="19"/>
        <v>0</v>
      </c>
      <c r="P33" s="457">
        <f t="shared" si="19"/>
        <v>0</v>
      </c>
      <c r="Q33" s="457">
        <f t="shared" ca="1" si="19"/>
        <v>180813.42384388213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4162.034217890845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47295</v>
      </c>
      <c r="D8" s="1006">
        <f>'SEAP template'!D76</f>
        <v>55641.176470588238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11239.517647058825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4162.034217890845</v>
      </c>
      <c r="C10" s="1010">
        <f>SUM(C4:C9)</f>
        <v>47295</v>
      </c>
      <c r="D10" s="1010">
        <f t="shared" ref="D10:H10" si="0">SUM(D8:D9)</f>
        <v>55641.176470588238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11239.517647058825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0.21981006935338279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67564.285714285725</v>
      </c>
      <c r="D17" s="1007">
        <f>'SEAP template'!D87</f>
        <v>79487.394957983211</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16056.45378151261</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67564.285714285725</v>
      </c>
      <c r="D20" s="1010">
        <f t="shared" ref="D20:H20" si="2">SUM(D17:D19)</f>
        <v>79487.394957983211</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16056.45378151261</v>
      </c>
    </row>
    <row r="22" spans="1:16">
      <c r="A22" s="460" t="s">
        <v>910</v>
      </c>
      <c r="B22" s="764" t="s">
        <v>904</v>
      </c>
      <c r="C22" s="764">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0.21981006935338279</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0.21981006935338279</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0.21981006935338279</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8283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893</v>
      </c>
      <c r="C14" s="326"/>
      <c r="D14" s="326"/>
      <c r="E14" s="326"/>
      <c r="F14" s="326"/>
    </row>
    <row r="15" spans="1:6">
      <c r="A15" s="1280" t="s">
        <v>177</v>
      </c>
      <c r="B15" s="1281">
        <v>249</v>
      </c>
      <c r="C15" s="326"/>
      <c r="D15" s="326"/>
      <c r="E15" s="326"/>
      <c r="F15" s="326"/>
    </row>
    <row r="16" spans="1:6">
      <c r="A16" s="1280" t="s">
        <v>6</v>
      </c>
      <c r="B16" s="1281">
        <v>748</v>
      </c>
      <c r="C16" s="326"/>
      <c r="D16" s="326"/>
      <c r="E16" s="326"/>
      <c r="F16" s="326"/>
    </row>
    <row r="17" spans="1:6">
      <c r="A17" s="1280" t="s">
        <v>7</v>
      </c>
      <c r="B17" s="1281">
        <v>75</v>
      </c>
      <c r="C17" s="326"/>
      <c r="D17" s="326"/>
      <c r="E17" s="326"/>
      <c r="F17" s="326"/>
    </row>
    <row r="18" spans="1:6">
      <c r="A18" s="1280" t="s">
        <v>8</v>
      </c>
      <c r="B18" s="1281">
        <v>504</v>
      </c>
      <c r="C18" s="326"/>
      <c r="D18" s="326"/>
      <c r="E18" s="326"/>
      <c r="F18" s="326"/>
    </row>
    <row r="19" spans="1:6">
      <c r="A19" s="1280" t="s">
        <v>9</v>
      </c>
      <c r="B19" s="1281">
        <v>514</v>
      </c>
      <c r="C19" s="326"/>
      <c r="D19" s="326"/>
      <c r="E19" s="326"/>
      <c r="F19" s="326"/>
    </row>
    <row r="20" spans="1:6">
      <c r="A20" s="1280" t="s">
        <v>10</v>
      </c>
      <c r="B20" s="1281">
        <v>447</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176</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71</v>
      </c>
      <c r="C29" s="326"/>
      <c r="D29" s="326"/>
      <c r="E29" s="326"/>
      <c r="F29" s="326"/>
    </row>
    <row r="30" spans="1:6">
      <c r="A30" s="1275" t="s">
        <v>973</v>
      </c>
      <c r="B30" s="1283">
        <v>26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22532017.019299999</v>
      </c>
      <c r="E38" s="1281">
        <v>3</v>
      </c>
      <c r="F38" s="1281">
        <v>128852.758644684</v>
      </c>
    </row>
    <row r="39" spans="1:6">
      <c r="A39" s="1280" t="s">
        <v>29</v>
      </c>
      <c r="B39" s="1280" t="s">
        <v>30</v>
      </c>
      <c r="C39" s="1281">
        <v>6535</v>
      </c>
      <c r="D39" s="1281">
        <v>113647795.950996</v>
      </c>
      <c r="E39" s="1281">
        <v>8175</v>
      </c>
      <c r="F39" s="1281">
        <v>37459184.755739197</v>
      </c>
    </row>
    <row r="40" spans="1:6">
      <c r="A40" s="1280" t="s">
        <v>29</v>
      </c>
      <c r="B40" s="1280" t="s">
        <v>28</v>
      </c>
      <c r="C40" s="1281">
        <v>0</v>
      </c>
      <c r="D40" s="1281">
        <v>0</v>
      </c>
      <c r="E40" s="1281">
        <v>2</v>
      </c>
      <c r="F40" s="1281">
        <v>7369.9450930569001</v>
      </c>
    </row>
    <row r="41" spans="1:6">
      <c r="A41" s="1280" t="s">
        <v>31</v>
      </c>
      <c r="B41" s="1280" t="s">
        <v>32</v>
      </c>
      <c r="C41" s="1281">
        <v>61</v>
      </c>
      <c r="D41" s="1281">
        <v>4387533.6987732695</v>
      </c>
      <c r="E41" s="1281">
        <v>135</v>
      </c>
      <c r="F41" s="1281">
        <v>3728621.1246416499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5</v>
      </c>
      <c r="D44" s="1281">
        <v>162865.43518156599</v>
      </c>
      <c r="E44" s="1281">
        <v>9</v>
      </c>
      <c r="F44" s="1281">
        <v>197839.01703141499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4</v>
      </c>
      <c r="D47" s="1281">
        <v>232572.27074266199</v>
      </c>
      <c r="E47" s="1281">
        <v>8</v>
      </c>
      <c r="F47" s="1281">
        <v>2066840.14958419</v>
      </c>
    </row>
    <row r="48" spans="1:6">
      <c r="A48" s="1280" t="s">
        <v>31</v>
      </c>
      <c r="B48" s="1280" t="s">
        <v>28</v>
      </c>
      <c r="C48" s="1281">
        <v>39</v>
      </c>
      <c r="D48" s="1281">
        <v>5682945.74480634</v>
      </c>
      <c r="E48" s="1281">
        <v>43</v>
      </c>
      <c r="F48" s="1281">
        <v>5955797.9711984899</v>
      </c>
    </row>
    <row r="49" spans="1:6">
      <c r="A49" s="1280" t="s">
        <v>31</v>
      </c>
      <c r="B49" s="1280" t="s">
        <v>39</v>
      </c>
      <c r="C49" s="1281">
        <v>0</v>
      </c>
      <c r="D49" s="1281">
        <v>0</v>
      </c>
      <c r="E49" s="1281">
        <v>4</v>
      </c>
      <c r="F49" s="1281">
        <v>161152.33526312999</v>
      </c>
    </row>
    <row r="50" spans="1:6">
      <c r="A50" s="1280" t="s">
        <v>31</v>
      </c>
      <c r="B50" s="1280" t="s">
        <v>40</v>
      </c>
      <c r="C50" s="1281">
        <v>14</v>
      </c>
      <c r="D50" s="1281">
        <v>2077426.0307258901</v>
      </c>
      <c r="E50" s="1281">
        <v>15</v>
      </c>
      <c r="F50" s="1281">
        <v>1610717.1517554999</v>
      </c>
    </row>
    <row r="51" spans="1:6">
      <c r="A51" s="1280" t="s">
        <v>41</v>
      </c>
      <c r="B51" s="1280" t="s">
        <v>42</v>
      </c>
      <c r="C51" s="1281">
        <v>5</v>
      </c>
      <c r="D51" s="1281">
        <v>44715745.733090498</v>
      </c>
      <c r="E51" s="1281">
        <v>56</v>
      </c>
      <c r="F51" s="1281">
        <v>1402206.33968483</v>
      </c>
    </row>
    <row r="52" spans="1:6">
      <c r="A52" s="1280" t="s">
        <v>41</v>
      </c>
      <c r="B52" s="1280" t="s">
        <v>28</v>
      </c>
      <c r="C52" s="1281">
        <v>5</v>
      </c>
      <c r="D52" s="1281">
        <v>29204043.4865514</v>
      </c>
      <c r="E52" s="1281">
        <v>5</v>
      </c>
      <c r="F52" s="1281">
        <v>102737.455419096</v>
      </c>
    </row>
    <row r="53" spans="1:6">
      <c r="A53" s="1280" t="s">
        <v>43</v>
      </c>
      <c r="B53" s="1280" t="s">
        <v>44</v>
      </c>
      <c r="C53" s="1281">
        <v>215</v>
      </c>
      <c r="D53" s="1281">
        <v>5194980.6022456596</v>
      </c>
      <c r="E53" s="1281">
        <v>327</v>
      </c>
      <c r="F53" s="1281">
        <v>2804637.9410197302</v>
      </c>
    </row>
    <row r="54" spans="1:6">
      <c r="A54" s="1280" t="s">
        <v>45</v>
      </c>
      <c r="B54" s="1280" t="s">
        <v>46</v>
      </c>
      <c r="C54" s="1281">
        <v>0</v>
      </c>
      <c r="D54" s="1281">
        <v>0</v>
      </c>
      <c r="E54" s="1281">
        <v>1</v>
      </c>
      <c r="F54" s="1281">
        <v>1323618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35</v>
      </c>
      <c r="D57" s="1281">
        <v>4362367.3349748896</v>
      </c>
      <c r="E57" s="1281">
        <v>57</v>
      </c>
      <c r="F57" s="1281">
        <v>2249414.3013087199</v>
      </c>
    </row>
    <row r="58" spans="1:6">
      <c r="A58" s="1280" t="s">
        <v>48</v>
      </c>
      <c r="B58" s="1280" t="s">
        <v>50</v>
      </c>
      <c r="C58" s="1281">
        <v>23</v>
      </c>
      <c r="D58" s="1281">
        <v>670870.88843169902</v>
      </c>
      <c r="E58" s="1281">
        <v>30</v>
      </c>
      <c r="F58" s="1281">
        <v>927247.03481103503</v>
      </c>
    </row>
    <row r="59" spans="1:6">
      <c r="A59" s="1280" t="s">
        <v>48</v>
      </c>
      <c r="B59" s="1280" t="s">
        <v>51</v>
      </c>
      <c r="C59" s="1281">
        <v>174</v>
      </c>
      <c r="D59" s="1281">
        <v>16306117.684677901</v>
      </c>
      <c r="E59" s="1281">
        <v>295</v>
      </c>
      <c r="F59" s="1281">
        <v>18024148.114503499</v>
      </c>
    </row>
    <row r="60" spans="1:6">
      <c r="A60" s="1280" t="s">
        <v>48</v>
      </c>
      <c r="B60" s="1280" t="s">
        <v>52</v>
      </c>
      <c r="C60" s="1281">
        <v>53</v>
      </c>
      <c r="D60" s="1281">
        <v>2903110.01381031</v>
      </c>
      <c r="E60" s="1281">
        <v>68</v>
      </c>
      <c r="F60" s="1281">
        <v>2366960.8715147502</v>
      </c>
    </row>
    <row r="61" spans="1:6">
      <c r="A61" s="1280" t="s">
        <v>48</v>
      </c>
      <c r="B61" s="1280" t="s">
        <v>53</v>
      </c>
      <c r="C61" s="1281">
        <v>229</v>
      </c>
      <c r="D61" s="1281">
        <v>16201815.9646664</v>
      </c>
      <c r="E61" s="1281">
        <v>470</v>
      </c>
      <c r="F61" s="1281">
        <v>16758765.5023129</v>
      </c>
    </row>
    <row r="62" spans="1:6">
      <c r="A62" s="1280" t="s">
        <v>48</v>
      </c>
      <c r="B62" s="1280" t="s">
        <v>54</v>
      </c>
      <c r="C62" s="1281">
        <v>17</v>
      </c>
      <c r="D62" s="1281">
        <v>2940670.82071089</v>
      </c>
      <c r="E62" s="1281">
        <v>14</v>
      </c>
      <c r="F62" s="1281">
        <v>914733.42449352203</v>
      </c>
    </row>
    <row r="63" spans="1:6">
      <c r="A63" s="1280" t="s">
        <v>48</v>
      </c>
      <c r="B63" s="1280" t="s">
        <v>28</v>
      </c>
      <c r="C63" s="1281">
        <v>118</v>
      </c>
      <c r="D63" s="1281">
        <v>19790215.035258301</v>
      </c>
      <c r="E63" s="1281">
        <v>114</v>
      </c>
      <c r="F63" s="1281">
        <v>2541366.7045269101</v>
      </c>
    </row>
    <row r="64" spans="1:6">
      <c r="A64" s="1280" t="s">
        <v>55</v>
      </c>
      <c r="B64" s="1280" t="s">
        <v>56</v>
      </c>
      <c r="C64" s="1281">
        <v>0</v>
      </c>
      <c r="D64" s="1281">
        <v>0</v>
      </c>
      <c r="E64" s="1281">
        <v>0</v>
      </c>
      <c r="F64" s="1281">
        <v>0</v>
      </c>
    </row>
    <row r="65" spans="1:6">
      <c r="A65" s="1280" t="s">
        <v>55</v>
      </c>
      <c r="B65" s="1280" t="s">
        <v>28</v>
      </c>
      <c r="C65" s="1281">
        <v>1</v>
      </c>
      <c r="D65" s="1281">
        <v>34608.077618153096</v>
      </c>
      <c r="E65" s="1281">
        <v>2</v>
      </c>
      <c r="F65" s="1281">
        <v>36564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33555.934905421796</v>
      </c>
      <c r="E68" s="1283">
        <v>9</v>
      </c>
      <c r="F68" s="1283">
        <v>257442.87933045501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134354633</v>
      </c>
      <c r="E73" s="445"/>
      <c r="F73" s="326"/>
    </row>
    <row r="74" spans="1:6">
      <c r="A74" s="1280" t="s">
        <v>63</v>
      </c>
      <c r="B74" s="1280" t="s">
        <v>754</v>
      </c>
      <c r="C74" s="1293" t="s">
        <v>755</v>
      </c>
      <c r="D74" s="1281">
        <v>22311611.518589329</v>
      </c>
      <c r="E74" s="445"/>
      <c r="F74" s="326"/>
    </row>
    <row r="75" spans="1:6">
      <c r="A75" s="1280" t="s">
        <v>64</v>
      </c>
      <c r="B75" s="1280" t="s">
        <v>752</v>
      </c>
      <c r="C75" s="1293" t="s">
        <v>756</v>
      </c>
      <c r="D75" s="1281">
        <v>32312562</v>
      </c>
      <c r="E75" s="445"/>
      <c r="F75" s="326"/>
    </row>
    <row r="76" spans="1:6">
      <c r="A76" s="1280" t="s">
        <v>64</v>
      </c>
      <c r="B76" s="1280" t="s">
        <v>754</v>
      </c>
      <c r="C76" s="1293" t="s">
        <v>757</v>
      </c>
      <c r="D76" s="1281">
        <v>3496903.518589329</v>
      </c>
      <c r="E76" s="445"/>
      <c r="F76" s="326"/>
    </row>
    <row r="77" spans="1:6">
      <c r="A77" s="1280" t="s">
        <v>65</v>
      </c>
      <c r="B77" s="1280" t="s">
        <v>752</v>
      </c>
      <c r="C77" s="1293" t="s">
        <v>758</v>
      </c>
      <c r="D77" s="1281">
        <v>195309524</v>
      </c>
      <c r="E77" s="445"/>
      <c r="F77" s="326"/>
    </row>
    <row r="78" spans="1:6">
      <c r="A78" s="1275" t="s">
        <v>65</v>
      </c>
      <c r="B78" s="1275" t="s">
        <v>754</v>
      </c>
      <c r="C78" s="1275" t="s">
        <v>759</v>
      </c>
      <c r="D78" s="1283">
        <v>21085727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594210.96282134182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1596.5943043985108</v>
      </c>
      <c r="C91" s="326"/>
      <c r="D91" s="326"/>
      <c r="E91" s="326"/>
      <c r="F91" s="326"/>
    </row>
    <row r="92" spans="1:6">
      <c r="A92" s="1275" t="s">
        <v>68</v>
      </c>
      <c r="B92" s="1276">
        <v>2565.4399134923342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5036</v>
      </c>
      <c r="C97" s="326"/>
      <c r="D97" s="326"/>
      <c r="E97" s="326"/>
      <c r="F97" s="326"/>
    </row>
    <row r="98" spans="1:6">
      <c r="A98" s="1280" t="s">
        <v>71</v>
      </c>
      <c r="B98" s="1281">
        <v>8</v>
      </c>
      <c r="C98" s="326"/>
      <c r="D98" s="326"/>
      <c r="E98" s="326"/>
      <c r="F98" s="326"/>
    </row>
    <row r="99" spans="1:6">
      <c r="A99" s="1280" t="s">
        <v>72</v>
      </c>
      <c r="B99" s="1281">
        <v>24</v>
      </c>
      <c r="C99" s="326"/>
      <c r="D99" s="326"/>
      <c r="E99" s="326"/>
      <c r="F99" s="326"/>
    </row>
    <row r="100" spans="1:6">
      <c r="A100" s="1280" t="s">
        <v>73</v>
      </c>
      <c r="B100" s="1281">
        <v>636</v>
      </c>
      <c r="C100" s="326"/>
      <c r="D100" s="326"/>
      <c r="E100" s="326"/>
      <c r="F100" s="326"/>
    </row>
    <row r="101" spans="1:6">
      <c r="A101" s="1280" t="s">
        <v>74</v>
      </c>
      <c r="B101" s="1281">
        <v>60</v>
      </c>
      <c r="C101" s="326"/>
      <c r="D101" s="326"/>
      <c r="E101" s="326"/>
      <c r="F101" s="326"/>
    </row>
    <row r="102" spans="1:6">
      <c r="A102" s="1280" t="s">
        <v>75</v>
      </c>
      <c r="B102" s="1281">
        <v>89</v>
      </c>
      <c r="C102" s="326"/>
      <c r="D102" s="326"/>
      <c r="E102" s="326"/>
      <c r="F102" s="326"/>
    </row>
    <row r="103" spans="1:6">
      <c r="A103" s="1280" t="s">
        <v>76</v>
      </c>
      <c r="B103" s="1281">
        <v>100</v>
      </c>
      <c r="C103" s="326"/>
      <c r="D103" s="326"/>
      <c r="E103" s="326"/>
      <c r="F103" s="326"/>
    </row>
    <row r="104" spans="1:6">
      <c r="A104" s="1280" t="s">
        <v>77</v>
      </c>
      <c r="B104" s="1281">
        <v>1453</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57</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111340.03101079259</v>
      </c>
      <c r="C3" s="43" t="s">
        <v>163</v>
      </c>
      <c r="D3" s="43"/>
      <c r="E3" s="156"/>
      <c r="F3" s="43"/>
      <c r="G3" s="43"/>
      <c r="H3" s="43"/>
      <c r="I3" s="43"/>
      <c r="J3" s="43"/>
      <c r="K3" s="96"/>
    </row>
    <row r="4" spans="1:11">
      <c r="A4" s="352" t="s">
        <v>164</v>
      </c>
      <c r="B4" s="49">
        <f>IF(ISERROR('SEAP template'!B78+'SEAP template'!C78),0,'SEAP template'!B78+'SEAP template'!C78)</f>
        <v>51457.034217890847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11239.517647058825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0.21981006935338279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16056.45378151261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67564.28571428571</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1323.6179999999999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1323.6179999999999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0.21981006935338279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290.9445643773858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37466.554700832254</v>
      </c>
      <c r="C5" s="17">
        <f>IF(ISERROR('Eigen informatie GS &amp; warmtenet'!B57),0,'Eigen informatie GS &amp; warmtenet'!B57)</f>
        <v>0</v>
      </c>
      <c r="D5" s="30">
        <f>(SUM(HH_hh_gas_kWh,HH_rest_gas_kWh)/1000)*0.902</f>
        <v>102510.31194779839</v>
      </c>
      <c r="E5" s="17">
        <f>B32*B41</f>
        <v>998.55089944317797</v>
      </c>
      <c r="F5" s="17">
        <f>B36*B45</f>
        <v>34084.931469752279</v>
      </c>
      <c r="G5" s="18"/>
      <c r="H5" s="17"/>
      <c r="I5" s="17"/>
      <c r="J5" s="17">
        <f>B35*B44+C35*C44</f>
        <v>767.50624160893335</v>
      </c>
      <c r="K5" s="17"/>
      <c r="L5" s="17"/>
      <c r="M5" s="17"/>
      <c r="N5" s="17">
        <f>B34*B43+C34*C43</f>
        <v>9505.191832325876</v>
      </c>
      <c r="O5" s="17">
        <f>B52*B53*B54</f>
        <v>100.05333333333334</v>
      </c>
      <c r="P5" s="17">
        <f>B60*B61*B62/1000-B60*B61*B62/1000/B63</f>
        <v>114.4</v>
      </c>
    </row>
    <row r="6" spans="1:16">
      <c r="A6" s="16" t="s">
        <v>615</v>
      </c>
      <c r="B6" s="766">
        <f>kWh_PV_kleiner_dan_10kW</f>
        <v>1596.5943043985108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39063.149005230764</v>
      </c>
      <c r="C8" s="21">
        <f>C5</f>
        <v>0</v>
      </c>
      <c r="D8" s="21">
        <f>D5</f>
        <v>102510.31194779839</v>
      </c>
      <c r="E8" s="21">
        <f>E5</f>
        <v>998.55089944317797</v>
      </c>
      <c r="F8" s="21">
        <f>F5</f>
        <v>34084.931469752279</v>
      </c>
      <c r="G8" s="21"/>
      <c r="H8" s="21"/>
      <c r="I8" s="21"/>
      <c r="J8" s="21">
        <f>J5</f>
        <v>767.50624160893335</v>
      </c>
      <c r="K8" s="21"/>
      <c r="L8" s="21">
        <f>L5</f>
        <v>0</v>
      </c>
      <c r="M8" s="21">
        <f>M5</f>
        <v>0</v>
      </c>
      <c r="N8" s="21">
        <f>N5</f>
        <v>9505.191832325876</v>
      </c>
      <c r="O8" s="21">
        <f>O5</f>
        <v>100.05333333333334</v>
      </c>
      <c r="P8" s="21">
        <f>P5</f>
        <v>114.4</v>
      </c>
    </row>
    <row r="9" spans="1:16">
      <c r="B9" s="19"/>
      <c r="C9" s="19"/>
      <c r="D9" s="256"/>
      <c r="E9" s="19"/>
      <c r="F9" s="19"/>
      <c r="G9" s="19"/>
      <c r="H9" s="19"/>
      <c r="I9" s="19"/>
      <c r="J9" s="19"/>
      <c r="K9" s="19"/>
      <c r="L9" s="19"/>
      <c r="M9" s="19"/>
      <c r="N9" s="19"/>
      <c r="O9" s="19"/>
      <c r="P9" s="19"/>
    </row>
    <row r="10" spans="1:16">
      <c r="A10" s="24" t="s">
        <v>207</v>
      </c>
      <c r="B10" s="25">
        <f ca="1">'EF ele_warmte'!B12</f>
        <v>0.21981006935338279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8586.4734920012997</v>
      </c>
      <c r="C12" s="23">
        <f ca="1">C10*C8</f>
        <v>0</v>
      </c>
      <c r="D12" s="23">
        <f>D8*D10</f>
        <v>20707.083013455274</v>
      </c>
      <c r="E12" s="23">
        <f>E10*E8</f>
        <v>226.67105417360142</v>
      </c>
      <c r="F12" s="23">
        <f>F10*F8</f>
        <v>9100.6767024238598</v>
      </c>
      <c r="G12" s="23"/>
      <c r="H12" s="23"/>
      <c r="I12" s="23"/>
      <c r="J12" s="23">
        <f>J10*J8</f>
        <v>271.69720952956237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8283</v>
      </c>
      <c r="C26" s="36"/>
      <c r="D26" s="226"/>
    </row>
    <row r="27" spans="1:5" s="15" customFormat="1">
      <c r="A27" s="228" t="s">
        <v>695</v>
      </c>
      <c r="B27" s="37">
        <f>SUM(HH_hh_gas_aantal,HH_rest_gas_aantal)</f>
        <v>6535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6208.25</v>
      </c>
      <c r="C31" s="34" t="s">
        <v>104</v>
      </c>
      <c r="D31" s="172"/>
    </row>
    <row r="32" spans="1:5">
      <c r="A32" s="169" t="s">
        <v>72</v>
      </c>
      <c r="B32" s="33">
        <f>IF((B21*($B$26-($B$27-0.05*$B$27)-$B$60))&lt;0,0,B21*($B$26-($B$27-0.05*$B$27)-$B$60))</f>
        <v>14.666545147413832</v>
      </c>
      <c r="C32" s="34" t="s">
        <v>104</v>
      </c>
      <c r="D32" s="172"/>
    </row>
    <row r="33" spans="1:6">
      <c r="A33" s="169" t="s">
        <v>73</v>
      </c>
      <c r="B33" s="33">
        <f>IF((B22*($B$26-($B$27-0.05*$B$27)-$B$60))&lt;0,0,B22*($B$26-($B$27-0.05*$B$27)-$B$60))</f>
        <v>420.34118847656111</v>
      </c>
      <c r="C33" s="34" t="s">
        <v>104</v>
      </c>
      <c r="D33" s="172"/>
    </row>
    <row r="34" spans="1:6">
      <c r="A34" s="169" t="s">
        <v>74</v>
      </c>
      <c r="B34" s="33">
        <f>IF((B24*($B$26-($B$27-0.05*$B$27)-$B$60))&lt;0,0,B24*($B$26-($B$27-0.05*$B$27)-$B$60))</f>
        <v>83.820475282038686</v>
      </c>
      <c r="C34" s="33">
        <f>B26*C24</f>
        <v>1693.6880828085837</v>
      </c>
      <c r="D34" s="231"/>
    </row>
    <row r="35" spans="1:6">
      <c r="A35" s="169" t="s">
        <v>76</v>
      </c>
      <c r="B35" s="33">
        <f>IF((B19*($B$26-($B$27-0.05*$B$27)-$B$60))&lt;0,0,B19*($B$26-($B$27-0.05*$B$27)-$B$60))</f>
        <v>43.650431986350696</v>
      </c>
      <c r="C35" s="33">
        <f>B35/2</f>
        <v>21.825215993175348</v>
      </c>
      <c r="D35" s="231"/>
    </row>
    <row r="36" spans="1:6">
      <c r="A36" s="169" t="s">
        <v>77</v>
      </c>
      <c r="B36" s="33">
        <f>IF((B18*($B$26-($B$27-0.05*$B$27)-$B$60))&lt;0,0,B18*($B$26-($B$27-0.05*$B$27)-$B$60))</f>
        <v>1506.2713591076356</v>
      </c>
      <c r="C36" s="34" t="s">
        <v>104</v>
      </c>
      <c r="D36" s="172"/>
    </row>
    <row r="37" spans="1:6">
      <c r="A37" s="169" t="s">
        <v>78</v>
      </c>
      <c r="B37" s="33">
        <f>B60</f>
        <v>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43782.635953471341</v>
      </c>
      <c r="C5" s="17">
        <f>IF(ISERROR('Eigen informatie GS &amp; warmtenet'!B58),0,'Eigen informatie GS &amp; warmtenet'!B58)</f>
        <v>0</v>
      </c>
      <c r="D5" s="30">
        <f>SUM(D6:D12)</f>
        <v>56984.001303762416</v>
      </c>
      <c r="E5" s="17">
        <f>SUM(E6:E12)</f>
        <v>881.98365358372007</v>
      </c>
      <c r="F5" s="17">
        <f>SUM(F6:F12)</f>
        <v>7720.4976750944143</v>
      </c>
      <c r="G5" s="18"/>
      <c r="H5" s="17"/>
      <c r="I5" s="17"/>
      <c r="J5" s="17">
        <f>SUM(J6:J12)</f>
        <v>0</v>
      </c>
      <c r="K5" s="17"/>
      <c r="L5" s="17"/>
      <c r="M5" s="17"/>
      <c r="N5" s="17">
        <f>SUM(N6:N12)</f>
        <v>739.2012474406863</v>
      </c>
      <c r="O5" s="17">
        <f>B38*B39*B40</f>
        <v>0</v>
      </c>
      <c r="P5" s="17">
        <f>B46*B47*B48/1000-B46*B47*B48/1000/B49</f>
        <v>38.133333333333333</v>
      </c>
      <c r="R5" s="32"/>
    </row>
    <row r="6" spans="1:18">
      <c r="A6" s="32" t="s">
        <v>53</v>
      </c>
      <c r="B6" s="37">
        <f>B26</f>
        <v>16758.765502312901</v>
      </c>
      <c r="C6" s="33"/>
      <c r="D6" s="37">
        <f>IF(ISERROR(TER_kantoor_gas_kWh/1000),0,TER_kantoor_gas_kWh/1000)*0.902</f>
        <v>14614.038000129094</v>
      </c>
      <c r="E6" s="33">
        <f>$C$26*'E Balans VL '!I12/100/3.6*1000000</f>
        <v>586.6227173183571</v>
      </c>
      <c r="F6" s="33">
        <f>$C$26*('E Balans VL '!L12+'E Balans VL '!N12)/100/3.6*1000000</f>
        <v>2540.9886573201834</v>
      </c>
      <c r="G6" s="34"/>
      <c r="H6" s="33"/>
      <c r="I6" s="33"/>
      <c r="J6" s="33">
        <f>$C$26*('E Balans VL '!D12+'E Balans VL '!E12)/100/3.6*1000000</f>
        <v>0</v>
      </c>
      <c r="K6" s="33"/>
      <c r="L6" s="33"/>
      <c r="M6" s="33"/>
      <c r="N6" s="33">
        <f>$C$26*'E Balans VL '!Y12/100/3.6*1000000</f>
        <v>129.54001198363503</v>
      </c>
      <c r="O6" s="33"/>
      <c r="P6" s="33"/>
      <c r="R6" s="32"/>
    </row>
    <row r="7" spans="1:18">
      <c r="A7" s="32" t="s">
        <v>52</v>
      </c>
      <c r="B7" s="37">
        <f t="shared" ref="B7:B12" si="0">B27</f>
        <v>2366.9608715147501</v>
      </c>
      <c r="C7" s="33"/>
      <c r="D7" s="37">
        <f>IF(ISERROR(TER_horeca_gas_kWh/1000),0,TER_horeca_gas_kWh/1000)*0.902</f>
        <v>2618.6052324569</v>
      </c>
      <c r="E7" s="33">
        <f>$C$27*'E Balans VL '!I9/100/3.6*1000000</f>
        <v>133.52806606806962</v>
      </c>
      <c r="F7" s="33">
        <f>$C$27*('E Balans VL '!L9+'E Balans VL '!N9)/100/3.6*1000000</f>
        <v>412.3376827475148</v>
      </c>
      <c r="G7" s="34"/>
      <c r="H7" s="33"/>
      <c r="I7" s="33"/>
      <c r="J7" s="33">
        <f>$C$27*('E Balans VL '!D9+'E Balans VL '!E9)/100/3.6*1000000</f>
        <v>0</v>
      </c>
      <c r="K7" s="33"/>
      <c r="L7" s="33"/>
      <c r="M7" s="33"/>
      <c r="N7" s="33">
        <f>$C$27*'E Balans VL '!Y9/100/3.6*1000000</f>
        <v>0</v>
      </c>
      <c r="O7" s="33"/>
      <c r="P7" s="33"/>
      <c r="R7" s="32"/>
    </row>
    <row r="8" spans="1:18">
      <c r="A8" s="6" t="s">
        <v>51</v>
      </c>
      <c r="B8" s="37">
        <f t="shared" si="0"/>
        <v>18024.1481145035</v>
      </c>
      <c r="C8" s="33"/>
      <c r="D8" s="37">
        <f>IF(ISERROR(TER_handel_gas_kWh/1000),0,TER_handel_gas_kWh/1000)*0.902</f>
        <v>14708.118151579467</v>
      </c>
      <c r="E8" s="33">
        <f>$C$28*'E Balans VL '!I13/100/3.6*1000000</f>
        <v>92.534145192971494</v>
      </c>
      <c r="F8" s="33">
        <f>$C$28*('E Balans VL '!L13+'E Balans VL '!N13)/100/3.6*1000000</f>
        <v>2779.0451375786247</v>
      </c>
      <c r="G8" s="34"/>
      <c r="H8" s="33"/>
      <c r="I8" s="33"/>
      <c r="J8" s="33">
        <f>$C$28*('E Balans VL '!D13+'E Balans VL '!E13)/100/3.6*1000000</f>
        <v>0</v>
      </c>
      <c r="K8" s="33"/>
      <c r="L8" s="33"/>
      <c r="M8" s="33"/>
      <c r="N8" s="33">
        <f>$C$28*'E Balans VL '!Y13/100/3.6*1000000</f>
        <v>8.430114087495781</v>
      </c>
      <c r="O8" s="33"/>
      <c r="P8" s="33"/>
      <c r="R8" s="32"/>
    </row>
    <row r="9" spans="1:18">
      <c r="A9" s="32" t="s">
        <v>50</v>
      </c>
      <c r="B9" s="37">
        <f t="shared" si="0"/>
        <v>927.24703481103506</v>
      </c>
      <c r="C9" s="33"/>
      <c r="D9" s="37">
        <f>IF(ISERROR(TER_gezond_gas_kWh/1000),0,TER_gezond_gas_kWh/1000)*0.902</f>
        <v>605.12554136539245</v>
      </c>
      <c r="E9" s="33">
        <f>$C$29*'E Balans VL '!I10/100/3.6*1000000</f>
        <v>0.38433729231246433</v>
      </c>
      <c r="F9" s="33">
        <f>$C$29*('E Balans VL '!L10+'E Balans VL '!N10)/100/3.6*1000000</f>
        <v>228.36764617755875</v>
      </c>
      <c r="G9" s="34"/>
      <c r="H9" s="33"/>
      <c r="I9" s="33"/>
      <c r="J9" s="33">
        <f>$C$29*('E Balans VL '!D10+'E Balans VL '!E10)/100/3.6*1000000</f>
        <v>0</v>
      </c>
      <c r="K9" s="33"/>
      <c r="L9" s="33"/>
      <c r="M9" s="33"/>
      <c r="N9" s="33">
        <f>$C$29*'E Balans VL '!Y10/100/3.6*1000000</f>
        <v>8.0137094331936503</v>
      </c>
      <c r="O9" s="33"/>
      <c r="P9" s="33"/>
      <c r="R9" s="32"/>
    </row>
    <row r="10" spans="1:18">
      <c r="A10" s="32" t="s">
        <v>49</v>
      </c>
      <c r="B10" s="37">
        <f t="shared" si="0"/>
        <v>2249.41430130872</v>
      </c>
      <c r="C10" s="33"/>
      <c r="D10" s="37">
        <f>IF(ISERROR(TER_ander_gas_kWh/1000),0,TER_ander_gas_kWh/1000)*0.902</f>
        <v>3934.8553361473505</v>
      </c>
      <c r="E10" s="33">
        <f>$C$30*'E Balans VL '!I14/100/3.6*1000000</f>
        <v>13.712485079896458</v>
      </c>
      <c r="F10" s="33">
        <f>$C$30*('E Balans VL '!L14+'E Balans VL '!N14)/100/3.6*1000000</f>
        <v>596.35054475754464</v>
      </c>
      <c r="G10" s="34"/>
      <c r="H10" s="33"/>
      <c r="I10" s="33"/>
      <c r="J10" s="33">
        <f>$C$30*('E Balans VL '!D14+'E Balans VL '!E14)/100/3.6*1000000</f>
        <v>0</v>
      </c>
      <c r="K10" s="33"/>
      <c r="L10" s="33"/>
      <c r="M10" s="33"/>
      <c r="N10" s="33">
        <f>$C$30*'E Balans VL '!Y14/100/3.6*1000000</f>
        <v>518.4413901862348</v>
      </c>
      <c r="O10" s="33"/>
      <c r="P10" s="33"/>
      <c r="R10" s="32"/>
    </row>
    <row r="11" spans="1:18">
      <c r="A11" s="32" t="s">
        <v>54</v>
      </c>
      <c r="B11" s="37">
        <f t="shared" si="0"/>
        <v>914.73342449352208</v>
      </c>
      <c r="C11" s="33"/>
      <c r="D11" s="37">
        <f>IF(ISERROR(TER_onderwijs_gas_kWh/1000),0,TER_onderwijs_gas_kWh/1000)*0.902</f>
        <v>2652.485080281223</v>
      </c>
      <c r="E11" s="33">
        <f>$C$31*'E Balans VL '!I11/100/3.6*1000000</f>
        <v>0.69707450013666361</v>
      </c>
      <c r="F11" s="33">
        <f>$C$31*('E Balans VL '!L11+'E Balans VL '!N11)/100/3.6*1000000</f>
        <v>661.9512354409535</v>
      </c>
      <c r="G11" s="34"/>
      <c r="H11" s="33"/>
      <c r="I11" s="33"/>
      <c r="J11" s="33">
        <f>$C$31*('E Balans VL '!D11+'E Balans VL '!E11)/100/3.6*1000000</f>
        <v>0</v>
      </c>
      <c r="K11" s="33"/>
      <c r="L11" s="33"/>
      <c r="M11" s="33"/>
      <c r="N11" s="33">
        <f>$C$31*'E Balans VL '!Y11/100/3.6*1000000</f>
        <v>2.6959380192872264</v>
      </c>
      <c r="O11" s="33"/>
      <c r="P11" s="33"/>
      <c r="R11" s="32"/>
    </row>
    <row r="12" spans="1:18">
      <c r="A12" s="32" t="s">
        <v>249</v>
      </c>
      <c r="B12" s="37">
        <f t="shared" si="0"/>
        <v>2541.3667045269099</v>
      </c>
      <c r="C12" s="33"/>
      <c r="D12" s="37">
        <f>IF(ISERROR(TER_rest_gas_kWh/1000),0,TER_rest_gas_kWh/1000)*0.902</f>
        <v>17850.773961802988</v>
      </c>
      <c r="E12" s="33">
        <f>$C$32*'E Balans VL '!I8/100/3.6*1000000</f>
        <v>54.504828131976154</v>
      </c>
      <c r="F12" s="33">
        <f>$C$32*('E Balans VL '!L8+'E Balans VL '!N8)/100/3.6*1000000</f>
        <v>501.45677107203443</v>
      </c>
      <c r="G12" s="34"/>
      <c r="H12" s="33"/>
      <c r="I12" s="33"/>
      <c r="J12" s="33">
        <f>$C$32*('E Balans VL '!D8+'E Balans VL '!E8)/100/3.6*1000000</f>
        <v>0</v>
      </c>
      <c r="K12" s="33"/>
      <c r="L12" s="33"/>
      <c r="M12" s="33"/>
      <c r="N12" s="33">
        <f>$C$32*'E Balans VL '!Y8/100/3.6*1000000</f>
        <v>72.080083730839718</v>
      </c>
      <c r="O12" s="33"/>
      <c r="P12" s="33"/>
      <c r="R12" s="32"/>
    </row>
    <row r="13" spans="1:18">
      <c r="A13" s="16" t="s">
        <v>483</v>
      </c>
      <c r="B13" s="244">
        <f ca="1">'lokale energieproductie'!N41+'lokale energieproductie'!N34</f>
        <v>9126</v>
      </c>
      <c r="C13" s="244">
        <f ca="1">'lokale energieproductie'!O41+'lokale energieproductie'!O34</f>
        <v>13037.142857142857</v>
      </c>
      <c r="D13" s="304">
        <f ca="1">('lokale energieproductie'!P34+'lokale energieproductie'!P41)*(-1)</f>
        <v>-26074.285714285717</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52908.635953471341</v>
      </c>
      <c r="C16" s="21">
        <f ca="1">C5+C13+C14</f>
        <v>13037.142857142857</v>
      </c>
      <c r="D16" s="21">
        <f t="shared" ref="D16:N16" ca="1" si="1">MAX((D5+D13+D14),0)</f>
        <v>30909.715589476698</v>
      </c>
      <c r="E16" s="21">
        <f t="shared" si="1"/>
        <v>881.98365358372007</v>
      </c>
      <c r="F16" s="21">
        <f t="shared" ca="1" si="1"/>
        <v>7720.4976750944143</v>
      </c>
      <c r="G16" s="21">
        <f t="shared" si="1"/>
        <v>0</v>
      </c>
      <c r="H16" s="21">
        <f t="shared" si="1"/>
        <v>0</v>
      </c>
      <c r="I16" s="21">
        <f t="shared" si="1"/>
        <v>0</v>
      </c>
      <c r="J16" s="21">
        <f t="shared" si="1"/>
        <v>0</v>
      </c>
      <c r="K16" s="21">
        <f t="shared" si="1"/>
        <v>0</v>
      </c>
      <c r="L16" s="21">
        <f t="shared" ca="1" si="1"/>
        <v>0</v>
      </c>
      <c r="M16" s="21">
        <f t="shared" si="1"/>
        <v>0</v>
      </c>
      <c r="N16" s="21">
        <f t="shared" ca="1" si="1"/>
        <v>739.2012474406863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0.21981006935338279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11629.850938325419</v>
      </c>
      <c r="C20" s="23">
        <f t="shared" ref="C20:P20" ca="1" si="2">C16*C18</f>
        <v>3098.2386554621858</v>
      </c>
      <c r="D20" s="23">
        <f t="shared" ca="1" si="2"/>
        <v>6243.762549074293</v>
      </c>
      <c r="E20" s="23">
        <f t="shared" si="2"/>
        <v>200.21028936350447</v>
      </c>
      <c r="F20" s="23">
        <f t="shared" ca="1" si="2"/>
        <v>2061.3728792502088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16758.765502312901</v>
      </c>
      <c r="C26" s="39">
        <f>IF(ISERROR(B26*3.6/1000000/'E Balans VL '!Z12*100),0,B26*3.6/1000000/'E Balans VL '!Z12*100)</f>
        <v>0.35266042767558453</v>
      </c>
      <c r="D26" s="234" t="s">
        <v>700</v>
      </c>
      <c r="F26" s="6"/>
    </row>
    <row r="27" spans="1:18">
      <c r="A27" s="229" t="s">
        <v>52</v>
      </c>
      <c r="B27" s="33">
        <f>IF(ISERROR(TER_horeca_ele_kWh/1000),0,TER_horeca_ele_kWh/1000)</f>
        <v>2366.9608715147501</v>
      </c>
      <c r="C27" s="39">
        <f>IF(ISERROR(B27*3.6/1000000/'E Balans VL '!Z9*100),0,B27*3.6/1000000/'E Balans VL '!Z9*100)</f>
        <v>0.20040392589269831</v>
      </c>
      <c r="D27" s="234" t="s">
        <v>700</v>
      </c>
      <c r="F27" s="6"/>
    </row>
    <row r="28" spans="1:18">
      <c r="A28" s="169" t="s">
        <v>51</v>
      </c>
      <c r="B28" s="33">
        <f>IF(ISERROR(TER_handel_ele_kWh/1000),0,TER_handel_ele_kWh/1000)</f>
        <v>18024.1481145035</v>
      </c>
      <c r="C28" s="39">
        <f>IF(ISERROR(B28*3.6/1000000/'E Balans VL '!Z13*100),0,B28*3.6/1000000/'E Balans VL '!Z13*100)</f>
        <v>0.4989960481880284</v>
      </c>
      <c r="D28" s="234" t="s">
        <v>700</v>
      </c>
      <c r="F28" s="6"/>
    </row>
    <row r="29" spans="1:18">
      <c r="A29" s="229" t="s">
        <v>50</v>
      </c>
      <c r="B29" s="33">
        <f>IF(ISERROR(TER_gezond_ele_kWh/1000),0,TER_gezond_ele_kWh/1000)</f>
        <v>927.24703481103506</v>
      </c>
      <c r="C29" s="39">
        <f>IF(ISERROR(B29*3.6/1000000/'E Balans VL '!Z10*100),0,B29*3.6/1000000/'E Balans VL '!Z10*100)</f>
        <v>0.12053183479354262</v>
      </c>
      <c r="D29" s="234" t="s">
        <v>700</v>
      </c>
      <c r="F29" s="6"/>
    </row>
    <row r="30" spans="1:18">
      <c r="A30" s="229" t="s">
        <v>49</v>
      </c>
      <c r="B30" s="33">
        <f>IF(ISERROR(TER_ander_ele_kWh/1000),0,TER_ander_ele_kWh/1000)</f>
        <v>2249.41430130872</v>
      </c>
      <c r="C30" s="39">
        <f>IF(ISERROR(B30*3.6/1000000/'E Balans VL '!Z14*100),0,B30*3.6/1000000/'E Balans VL '!Z14*100)</f>
        <v>0.17435023705641658</v>
      </c>
      <c r="D30" s="234" t="s">
        <v>700</v>
      </c>
      <c r="F30" s="6"/>
    </row>
    <row r="31" spans="1:18">
      <c r="A31" s="229" t="s">
        <v>54</v>
      </c>
      <c r="B31" s="33">
        <f>IF(ISERROR(TER_onderwijs_ele_kWh/1000),0,TER_onderwijs_ele_kWh/1000)</f>
        <v>914.73342449352208</v>
      </c>
      <c r="C31" s="39">
        <f>IF(ISERROR(B31*3.6/1000000/'E Balans VL '!Z11*100),0,B31*3.6/1000000/'E Balans VL '!Z11*100)</f>
        <v>0.17500409083331558</v>
      </c>
      <c r="D31" s="234" t="s">
        <v>700</v>
      </c>
    </row>
    <row r="32" spans="1:18">
      <c r="A32" s="229" t="s">
        <v>249</v>
      </c>
      <c r="B32" s="33">
        <f>IF(ISERROR(TER_rest_ele_kWh/1000),0,TER_rest_ele_kWh/1000)</f>
        <v>2541.3667045269099</v>
      </c>
      <c r="C32" s="39">
        <f>IF(ISERROR(B32*3.6/1000000/'E Balans VL '!Z8*100),0,B32*3.6/1000000/'E Balans VL '!Z8*100)</f>
        <v>2.0955520033868687E-2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13720.967749474376</v>
      </c>
      <c r="C5" s="17">
        <f>IF(ISERROR('Eigen informatie GS &amp; warmtenet'!B59),0,'Eigen informatie GS &amp; warmtenet'!B59)</f>
        <v>0</v>
      </c>
      <c r="D5" s="30">
        <f>SUM(D6:D15)</f>
        <v>11314.095548567215</v>
      </c>
      <c r="E5" s="17">
        <f>SUM(E6:E15)</f>
        <v>196.42094874699103</v>
      </c>
      <c r="F5" s="17">
        <f>SUM(F6:F15)</f>
        <v>4829.3232670982379</v>
      </c>
      <c r="G5" s="18"/>
      <c r="H5" s="17"/>
      <c r="I5" s="17"/>
      <c r="J5" s="17">
        <f>SUM(J6:J15)</f>
        <v>51.154608830118001</v>
      </c>
      <c r="K5" s="17"/>
      <c r="L5" s="17"/>
      <c r="M5" s="17"/>
      <c r="N5" s="17">
        <f>SUM(N6:N15)</f>
        <v>408.97856361967297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197.83901703141498</v>
      </c>
      <c r="C8" s="33"/>
      <c r="D8" s="37">
        <f>IF( ISERROR(IND_metaal_Gas_kWH/1000),0,IND_metaal_Gas_kWH/1000)*0.902</f>
        <v>146.90462253377254</v>
      </c>
      <c r="E8" s="33">
        <f>C30*'E Balans VL '!I18/100/3.6*1000000</f>
        <v>1.3901711214806753</v>
      </c>
      <c r="F8" s="33">
        <f>C30*'E Balans VL '!L18/100/3.6*1000000+C30*'E Balans VL '!N18/100/3.6*1000000</f>
        <v>21.721566597871441</v>
      </c>
      <c r="G8" s="34"/>
      <c r="H8" s="33"/>
      <c r="I8" s="33"/>
      <c r="J8" s="40">
        <f>C30*'E Balans VL '!D18/100/3.6*1000000+C30*'E Balans VL '!E18/100/3.6*1000000</f>
        <v>4.0818453419476626</v>
      </c>
      <c r="K8" s="33"/>
      <c r="L8" s="33"/>
      <c r="M8" s="33"/>
      <c r="N8" s="33">
        <f>C30*'E Balans VL '!Y18/100/3.6*1000000</f>
        <v>0.74151488418446709</v>
      </c>
      <c r="O8" s="33"/>
      <c r="P8" s="33"/>
      <c r="R8" s="32"/>
    </row>
    <row r="9" spans="1:18">
      <c r="A9" s="6" t="s">
        <v>32</v>
      </c>
      <c r="B9" s="37">
        <f t="shared" si="0"/>
        <v>3728.6211246416501</v>
      </c>
      <c r="C9" s="33"/>
      <c r="D9" s="37">
        <f>IF( ISERROR(IND_andere_gas_kWh/1000),0,IND_andere_gas_kWh/1000)*0.902</f>
        <v>3957.5553962934896</v>
      </c>
      <c r="E9" s="33">
        <f>C31*'E Balans VL '!I19/100/3.6*1000000</f>
        <v>62.62675949507296</v>
      </c>
      <c r="F9" s="33">
        <f>C31*'E Balans VL '!L19/100/3.6*1000000+C31*'E Balans VL '!N19/100/3.6*1000000</f>
        <v>2914.8236288424669</v>
      </c>
      <c r="G9" s="34"/>
      <c r="H9" s="33"/>
      <c r="I9" s="33"/>
      <c r="J9" s="40">
        <f>C31*'E Balans VL '!D19/100/3.6*1000000+C31*'E Balans VL '!E19/100/3.6*1000000</f>
        <v>0.33628871146881223</v>
      </c>
      <c r="K9" s="33"/>
      <c r="L9" s="33"/>
      <c r="M9" s="33"/>
      <c r="N9" s="33">
        <f>C31*'E Balans VL '!Y19/100/3.6*1000000</f>
        <v>276.35064579546133</v>
      </c>
      <c r="O9" s="33"/>
      <c r="P9" s="33"/>
      <c r="R9" s="32"/>
    </row>
    <row r="10" spans="1:18">
      <c r="A10" s="6" t="s">
        <v>40</v>
      </c>
      <c r="B10" s="37">
        <f t="shared" si="0"/>
        <v>1610.7171517554998</v>
      </c>
      <c r="C10" s="33"/>
      <c r="D10" s="37">
        <f>IF( ISERROR(IND_voed_gas_kWh/1000),0,IND_voed_gas_kWh/1000)*0.902</f>
        <v>1873.8382797147528</v>
      </c>
      <c r="E10" s="33">
        <f>C32*'E Balans VL '!I20/100/3.6*1000000</f>
        <v>14.695513959136949</v>
      </c>
      <c r="F10" s="33">
        <f>C32*'E Balans VL '!L20/100/3.6*1000000+C32*'E Balans VL '!N20/100/3.6*1000000</f>
        <v>259.85905686231217</v>
      </c>
      <c r="G10" s="34"/>
      <c r="H10" s="33"/>
      <c r="I10" s="33"/>
      <c r="J10" s="40">
        <f>C32*'E Balans VL '!D20/100/3.6*1000000+C32*'E Balans VL '!E20/100/3.6*1000000</f>
        <v>6.6339892682114083</v>
      </c>
      <c r="K10" s="33"/>
      <c r="L10" s="33"/>
      <c r="M10" s="33"/>
      <c r="N10" s="33">
        <f>C32*'E Balans VL '!Y20/100/3.6*1000000</f>
        <v>23.563521844062482</v>
      </c>
      <c r="O10" s="33"/>
      <c r="P10" s="33"/>
      <c r="R10" s="32"/>
    </row>
    <row r="11" spans="1:18">
      <c r="A11" s="6" t="s">
        <v>39</v>
      </c>
      <c r="B11" s="37">
        <f t="shared" si="0"/>
        <v>161.15233526313</v>
      </c>
      <c r="C11" s="33"/>
      <c r="D11" s="37">
        <f>IF( ISERROR(IND_textiel_gas_kWh/1000),0,IND_textiel_gas_kWh/1000)*0.902</f>
        <v>0</v>
      </c>
      <c r="E11" s="33">
        <f>C33*'E Balans VL '!I21/100/3.6*1000000</f>
        <v>0.36755858425506815</v>
      </c>
      <c r="F11" s="33">
        <f>C33*'E Balans VL '!L21/100/3.6*1000000+C33*'E Balans VL '!N21/100/3.6*1000000</f>
        <v>3.4447806343669858</v>
      </c>
      <c r="G11" s="34"/>
      <c r="H11" s="33"/>
      <c r="I11" s="33"/>
      <c r="J11" s="40">
        <f>C33*'E Balans VL '!D21/100/3.6*1000000+C33*'E Balans VL '!E21/100/3.6*1000000</f>
        <v>0</v>
      </c>
      <c r="K11" s="33"/>
      <c r="L11" s="33"/>
      <c r="M11" s="33"/>
      <c r="N11" s="33">
        <f>C33*'E Balans VL '!Y21/100/3.6*1000000</f>
        <v>1.143192925368284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2066.8401495841899</v>
      </c>
      <c r="C13" s="33"/>
      <c r="D13" s="37">
        <f>IF( ISERROR(IND_papier_gas_kWh/1000),0,IND_papier_gas_kWh/1000)*0.902</f>
        <v>209.78018820988112</v>
      </c>
      <c r="E13" s="33">
        <f>C35*'E Balans VL '!I23/100/3.6*1000000</f>
        <v>63.591277430315813</v>
      </c>
      <c r="F13" s="33">
        <f>C35*'E Balans VL '!L23/100/3.6*1000000+C35*'E Balans VL '!N23/100/3.6*1000000</f>
        <v>438.86239555232459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5955.7979711984899</v>
      </c>
      <c r="C15" s="33"/>
      <c r="D15" s="37">
        <f>IF( ISERROR(IND_rest_gas_kWh/1000),0,IND_rest_gas_kWh/1000)*0.902</f>
        <v>5126.0170618153188</v>
      </c>
      <c r="E15" s="33">
        <f>C37*'E Balans VL '!I15/100/3.6*1000000</f>
        <v>53.74966815672957</v>
      </c>
      <c r="F15" s="33">
        <f>C37*'E Balans VL '!L15/100/3.6*1000000+C37*'E Balans VL '!N15/100/3.6*1000000</f>
        <v>1190.6118386088958</v>
      </c>
      <c r="G15" s="34"/>
      <c r="H15" s="33"/>
      <c r="I15" s="33"/>
      <c r="J15" s="40">
        <f>C37*'E Balans VL '!D15/100/3.6*1000000+C37*'E Balans VL '!E15/100/3.6*1000000</f>
        <v>40.102485508490119</v>
      </c>
      <c r="K15" s="33"/>
      <c r="L15" s="33"/>
      <c r="M15" s="33"/>
      <c r="N15" s="33">
        <f>C37*'E Balans VL '!Y15/100/3.6*1000000</f>
        <v>107.17968817059634</v>
      </c>
      <c r="O15" s="33"/>
      <c r="P15" s="33"/>
      <c r="R15" s="32"/>
    </row>
    <row r="16" spans="1:18">
      <c r="A16" s="16" t="s">
        <v>483</v>
      </c>
      <c r="B16" s="244">
        <f>'lokale energieproductie'!N40+'lokale energieproductie'!N33</f>
        <v>0</v>
      </c>
      <c r="C16" s="244">
        <f>'lokale energieproductie'!O40+'lokale energieproductie'!O33</f>
        <v>0</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13720.967749474376</v>
      </c>
      <c r="C18" s="21">
        <f>C5+C16</f>
        <v>0</v>
      </c>
      <c r="D18" s="21">
        <f>MAX((D5+D16),0)</f>
        <v>11314.095548567215</v>
      </c>
      <c r="E18" s="21">
        <f>MAX((E5+E16),0)</f>
        <v>196.42094874699103</v>
      </c>
      <c r="F18" s="21">
        <f>MAX((F5+F16),0)</f>
        <v>4829.3232670982379</v>
      </c>
      <c r="G18" s="21"/>
      <c r="H18" s="21"/>
      <c r="I18" s="21"/>
      <c r="J18" s="21">
        <f>MAX((J5+J16),0)</f>
        <v>51.154608830118001</v>
      </c>
      <c r="K18" s="21"/>
      <c r="L18" s="21">
        <f>MAX((L5+L16),0)</f>
        <v>0</v>
      </c>
      <c r="M18" s="21"/>
      <c r="N18" s="21">
        <f>MAX((N5+N16),0)</f>
        <v>408.97856361967297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0.21981006935338279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3016.006872607491</v>
      </c>
      <c r="C22" s="23">
        <f ca="1">C18*C20</f>
        <v>0</v>
      </c>
      <c r="D22" s="23">
        <f>D18*D20</f>
        <v>2285.4473008105774</v>
      </c>
      <c r="E22" s="23">
        <f>E18*E20</f>
        <v>44.587555365566963</v>
      </c>
      <c r="F22" s="23">
        <f>F18*F20</f>
        <v>1289.4293123152297</v>
      </c>
      <c r="G22" s="23"/>
      <c r="H22" s="23"/>
      <c r="I22" s="23"/>
      <c r="J22" s="23">
        <f>J18*J20</f>
        <v>18.108731525861771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197.83901703141498</v>
      </c>
      <c r="C30" s="39">
        <f>IF(ISERROR(B30*3.6/1000000/'E Balans VL '!Z18*100),0,B30*3.6/1000000/'E Balans VL '!Z18*100)</f>
        <v>1.3170264174408813E-2</v>
      </c>
      <c r="D30" s="234" t="s">
        <v>700</v>
      </c>
    </row>
    <row r="31" spans="1:18">
      <c r="A31" s="6" t="s">
        <v>32</v>
      </c>
      <c r="B31" s="37">
        <f>IF( ISERROR(IND_ander_ele_kWh/1000),0,IND_ander_ele_kWh/1000)</f>
        <v>3728.6211246416501</v>
      </c>
      <c r="C31" s="39">
        <f>IF(ISERROR(B31*3.6/1000000/'E Balans VL '!Z19*100),0,B31*3.6/1000000/'E Balans VL '!Z19*100)</f>
        <v>0.16527499812801694</v>
      </c>
      <c r="D31" s="234" t="s">
        <v>700</v>
      </c>
    </row>
    <row r="32" spans="1:18">
      <c r="A32" s="169" t="s">
        <v>40</v>
      </c>
      <c r="B32" s="37">
        <f>IF( ISERROR(IND_voed_ele_kWh/1000),0,IND_voed_ele_kWh/1000)</f>
        <v>1610.7171517554998</v>
      </c>
      <c r="C32" s="39">
        <f>IF(ISERROR(B32*3.6/1000000/'E Balans VL '!Z20*100),0,B32*3.6/1000000/'E Balans VL '!Z20*100)</f>
        <v>5.3802573418126109E-2</v>
      </c>
      <c r="D32" s="234" t="s">
        <v>700</v>
      </c>
    </row>
    <row r="33" spans="1:5">
      <c r="A33" s="169" t="s">
        <v>39</v>
      </c>
      <c r="B33" s="37">
        <f>IF( ISERROR(IND_textiel_ele_kWh/1000),0,IND_textiel_ele_kWh/1000)</f>
        <v>161.15233526313</v>
      </c>
      <c r="C33" s="39">
        <f>IF(ISERROR(B33*3.6/1000000/'E Balans VL '!Z21*100),0,B33*3.6/1000000/'E Balans VL '!Z21*100)</f>
        <v>2.1216076561118791E-2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2066.8401495841899</v>
      </c>
      <c r="C35" s="39">
        <f>IF(ISERROR(B35*3.6/1000000/'E Balans VL '!Z22*100),0,B35*3.6/1000000/'E Balans VL '!Z22*100)</f>
        <v>0.40197770614559547</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5955.7979711984899</v>
      </c>
      <c r="C37" s="39">
        <f>IF(ISERROR(B37*3.6/1000000/'E Balans VL '!Z15*100),0,B37*3.6/1000000/'E Balans VL '!Z15*100)</f>
        <v>4.4301434080849376E-2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1504.943795103926</v>
      </c>
      <c r="C5" s="17">
        <f>'Eigen informatie GS &amp; warmtenet'!B60</f>
        <v>0</v>
      </c>
      <c r="D5" s="30">
        <f>IF(ISERROR(SUM(LB_lb_gas_kWh,LB_rest_gas_kWh)/1000),0,SUM(LB_lb_gas_kWh,LB_rest_gas_kWh)/1000)*0.902</f>
        <v>66675.649876116993</v>
      </c>
      <c r="E5" s="17">
        <f>B17*'E Balans VL '!I25/3.6*1000000/100</f>
        <v>15.760097229373619</v>
      </c>
      <c r="F5" s="17">
        <f>B17*('E Balans VL '!L25/3.6*1000000+'E Balans VL '!N25/3.6*1000000)/100</f>
        <v>6442.3029574702841</v>
      </c>
      <c r="G5" s="18"/>
      <c r="H5" s="17"/>
      <c r="I5" s="17"/>
      <c r="J5" s="17">
        <f>('E Balans VL '!D25+'E Balans VL '!E25)/3.6*1000000*landbouw!B17/100</f>
        <v>134.40496994413456</v>
      </c>
      <c r="K5" s="17"/>
      <c r="L5" s="17">
        <f>L6*(-1)</f>
        <v>0</v>
      </c>
      <c r="M5" s="17"/>
      <c r="N5" s="17">
        <f>N6*(-1)</f>
        <v>0</v>
      </c>
      <c r="O5" s="17"/>
      <c r="P5" s="17"/>
      <c r="R5" s="32"/>
    </row>
    <row r="6" spans="1:18">
      <c r="A6" s="16" t="s">
        <v>483</v>
      </c>
      <c r="B6" s="17" t="s">
        <v>204</v>
      </c>
      <c r="C6" s="17">
        <f>'lokale energieproductie'!O42+'lokale energieproductie'!O35</f>
        <v>54527.142857142855</v>
      </c>
      <c r="D6" s="304">
        <f>('lokale energieproductie'!P35+'lokale energieproductie'!P42)*(-1)</f>
        <v>-109054.28571428574</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1504.943795103926</v>
      </c>
      <c r="C8" s="21">
        <f>C5+C6</f>
        <v>54527.142857142855</v>
      </c>
      <c r="D8" s="21">
        <f>MAX((D5+D6),0)</f>
        <v>0</v>
      </c>
      <c r="E8" s="21">
        <f>MAX((E5+E6),0)</f>
        <v>15.760097229373619</v>
      </c>
      <c r="F8" s="21">
        <f>MAX((F5+F6),0)</f>
        <v>6442.3029574702841</v>
      </c>
      <c r="G8" s="21"/>
      <c r="H8" s="21"/>
      <c r="I8" s="21"/>
      <c r="J8" s="21">
        <f>MAX((J5+J6),0)</f>
        <v>134.40496994413456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0.21981006935338279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330.80179997473709</v>
      </c>
      <c r="C12" s="23">
        <f ca="1">C8*C10</f>
        <v>12958.215126050423</v>
      </c>
      <c r="D12" s="23">
        <f>D8*D10</f>
        <v>0</v>
      </c>
      <c r="E12" s="23">
        <f>E8*E10</f>
        <v>3.5775420710678114</v>
      </c>
      <c r="F12" s="23">
        <f>F8*F10</f>
        <v>1720.0948896445659</v>
      </c>
      <c r="G12" s="23"/>
      <c r="H12" s="23"/>
      <c r="I12" s="23"/>
      <c r="J12" s="23">
        <f>J8*J10</f>
        <v>47.579359360223634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0.23163990085027916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160.48105469702531</v>
      </c>
      <c r="C26" s="244">
        <f>B26*'GWP N2O_CH4'!B5</f>
        <v>3370.1021486375316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28.812745190197909</v>
      </c>
      <c r="C27" s="244">
        <f>B27*'GWP N2O_CH4'!B5</f>
        <v>605.06764899415612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2.3219055776173017</v>
      </c>
      <c r="C28" s="244">
        <f>B28*'GWP N2O_CH4'!B4</f>
        <v>719.79072906136355</v>
      </c>
      <c r="D28" s="50"/>
    </row>
    <row r="29" spans="1:4">
      <c r="A29" s="41" t="s">
        <v>266</v>
      </c>
      <c r="B29" s="244">
        <f>B34*'ha_N2O bodem landbouw'!B4</f>
        <v>8.0343766926672888</v>
      </c>
      <c r="C29" s="244">
        <f>B29*'GWP N2O_CH4'!B4</f>
        <v>2490.6567747268596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1.3277862695302044E-3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1.4730850163283632E-5</v>
      </c>
      <c r="C5" s="433" t="s">
        <v>204</v>
      </c>
      <c r="D5" s="418">
        <f>SUM(D6:D11)</f>
        <v>4.5936902729589142E-5</v>
      </c>
      <c r="E5" s="418">
        <f>SUM(E6:E11)</f>
        <v>5.2999547999117861E-3</v>
      </c>
      <c r="F5" s="431" t="s">
        <v>204</v>
      </c>
      <c r="G5" s="418">
        <f>SUM(G6:G11)</f>
        <v>1.1225794018175033</v>
      </c>
      <c r="H5" s="418">
        <f>SUM(H6:H11)</f>
        <v>0.1567290646830688</v>
      </c>
      <c r="I5" s="433" t="s">
        <v>204</v>
      </c>
      <c r="J5" s="433" t="s">
        <v>204</v>
      </c>
      <c r="K5" s="433" t="s">
        <v>204</v>
      </c>
      <c r="L5" s="433" t="s">
        <v>204</v>
      </c>
      <c r="M5" s="418">
        <f>SUM(M6:M11)</f>
        <v>5.5573260158994373E-2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5.1056775009025426E-6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1.616570318674995E-5</v>
      </c>
      <c r="E6" s="421">
        <f>vkm_GW_PW*SUMIFS(TableVerdeelsleutelVkm[LPG],TableVerdeelsleutelVkm[Voertuigtype],"Lichte voertuigen")*SUMIFS(TableECFTransport[EnergieConsumptieFactor (PJ per km)],TableECFTransport[Index],CONCATENATE($A6,"_LPG_LPG"))</f>
        <v>1.6846068430159825E-3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0.22439005144951379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5.3830688826849174E-2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1.2144100191481488E-2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4.6398249475999994E-7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0.20915271278404152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5.6628057918125313E-6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9.0103858403463785E-3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1.2279258043890341E-6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6.6074104859246198E-6</v>
      </c>
      <c r="E8" s="421">
        <f>vkm_NGW_PW*SUMIFS(TableVerdeelsleutelVkm[LPG],TableVerdeelsleutelVkm[Voertuigtype],"Lichte voertuigen")*SUMIFS(TableECFTransport[EnergieConsumptieFactor (PJ per km)],TableECFTransport[Index],CONCATENATE($A8,"_LPG_LPG"))</f>
        <v>6.4979674933755599E-4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8.1949723862747237E-2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2.0804914653094864E-2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4.4878744350424051E-3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7.2720073004958933E-8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4.5406207417062326E-2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1.0712746405625257E-6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1.9561110206882059E-3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7.4220547526543811E-6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2.3163789056914573E-5</v>
      </c>
      <c r="E10" s="421">
        <f>vkm_SW_PW*SUMIFS(TableVerdeelsleutelVkm[LPG],TableVerdeelsleutelVkm[Voertuigtype],"Lichte voertuigen")*SUMIFS(TableECFTransport[EnergieConsumptieFactor (PJ per km)],TableECFTransport[Index],CONCATENATE($A10,"_LPG_LPG"))</f>
        <v>2.9655512075582478E-3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0.37095425292561246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8.2081218795278507E-2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1.975819789700493E-2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4.3848953757271468E-7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0.19072645337852598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5.5083274138531151E-6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8.2165907744309666E-3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4.0919028231343422</v>
      </c>
      <c r="C14" s="21"/>
      <c r="D14" s="21">
        <f t="shared" ref="D14:M14" si="0">((D5)*10^9/3600)+D12</f>
        <v>12.760250758219206</v>
      </c>
      <c r="E14" s="21">
        <f t="shared" si="0"/>
        <v>1472.2096666421628</v>
      </c>
      <c r="F14" s="21"/>
      <c r="G14" s="21">
        <f t="shared" si="0"/>
        <v>311827.61161597312</v>
      </c>
      <c r="H14" s="21">
        <f t="shared" si="0"/>
        <v>43535.851300852446</v>
      </c>
      <c r="I14" s="21"/>
      <c r="J14" s="21"/>
      <c r="K14" s="21"/>
      <c r="L14" s="21"/>
      <c r="M14" s="21">
        <f t="shared" si="0"/>
        <v>15437.016710831769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0.21981006935338279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0.89944144334046261</v>
      </c>
      <c r="C18" s="23"/>
      <c r="D18" s="23">
        <f t="shared" ref="D18:M18" si="1">D14*D16</f>
        <v>2.5775706531602798</v>
      </c>
      <c r="E18" s="23">
        <f t="shared" si="1"/>
        <v>334.19159432777099</v>
      </c>
      <c r="F18" s="23"/>
      <c r="G18" s="23">
        <f t="shared" si="1"/>
        <v>83257.972301464833</v>
      </c>
      <c r="H18" s="23">
        <f t="shared" si="1"/>
        <v>10840.426973912259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3.5951989209523724E-5</v>
      </c>
      <c r="C50" s="315">
        <f t="shared" ref="C50:P50" si="2">SUM(C51:C52)</f>
        <v>0</v>
      </c>
      <c r="D50" s="315">
        <f t="shared" si="2"/>
        <v>0</v>
      </c>
      <c r="E50" s="315">
        <f t="shared" si="2"/>
        <v>0</v>
      </c>
      <c r="F50" s="315">
        <f t="shared" si="2"/>
        <v>0</v>
      </c>
      <c r="G50" s="315">
        <f t="shared" si="2"/>
        <v>7.799423106126956E-3</v>
      </c>
      <c r="H50" s="315">
        <f t="shared" si="2"/>
        <v>0</v>
      </c>
      <c r="I50" s="315">
        <f t="shared" si="2"/>
        <v>0</v>
      </c>
      <c r="J50" s="315">
        <f t="shared" si="2"/>
        <v>0</v>
      </c>
      <c r="K50" s="315">
        <f t="shared" si="2"/>
        <v>0</v>
      </c>
      <c r="L50" s="315">
        <f t="shared" si="2"/>
        <v>0</v>
      </c>
      <c r="M50" s="315">
        <f t="shared" si="2"/>
        <v>3.3394133787793291E-4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3.5951989209523724E-5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7.799423106126956E-3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3.3394133787793291E-4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9.9866636693121453</v>
      </c>
      <c r="C54" s="21">
        <f t="shared" ref="C54:P54" si="3">(C50)*10^9/3600</f>
        <v>0</v>
      </c>
      <c r="D54" s="21">
        <f t="shared" si="3"/>
        <v>0</v>
      </c>
      <c r="E54" s="21">
        <f t="shared" si="3"/>
        <v>0</v>
      </c>
      <c r="F54" s="21">
        <f t="shared" si="3"/>
        <v>0</v>
      </c>
      <c r="G54" s="21">
        <f t="shared" si="3"/>
        <v>2166.5064183685986</v>
      </c>
      <c r="H54" s="21">
        <f t="shared" si="3"/>
        <v>0</v>
      </c>
      <c r="I54" s="21">
        <f t="shared" si="3"/>
        <v>0</v>
      </c>
      <c r="J54" s="21">
        <f t="shared" si="3"/>
        <v>0</v>
      </c>
      <c r="K54" s="21">
        <f t="shared" si="3"/>
        <v>0</v>
      </c>
      <c r="L54" s="21">
        <f t="shared" si="3"/>
        <v>0</v>
      </c>
      <c r="M54" s="21">
        <f t="shared" si="3"/>
        <v>92.76148274387026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0.21981006935338279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2.195169233760411</v>
      </c>
      <c r="C58" s="23">
        <f t="shared" ref="C58:P58" ca="1" si="4">C54*C56</f>
        <v>0</v>
      </c>
      <c r="D58" s="23">
        <f t="shared" si="4"/>
        <v>0</v>
      </c>
      <c r="E58" s="23">
        <f t="shared" si="4"/>
        <v>0</v>
      </c>
      <c r="F58" s="23">
        <f t="shared" si="4"/>
        <v>0</v>
      </c>
      <c r="G58" s="23">
        <f t="shared" si="4"/>
        <v>578.45721370441584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4162.034217890845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N32</f>
        <v>47295</v>
      </c>
      <c r="C8" s="544">
        <f>B51</f>
        <v>55641.176470588238</v>
      </c>
      <c r="D8" s="963"/>
      <c r="E8" s="963">
        <f>E51</f>
        <v>0</v>
      </c>
      <c r="F8" s="964"/>
      <c r="G8" s="545"/>
      <c r="H8" s="963">
        <f>I51</f>
        <v>0</v>
      </c>
      <c r="I8" s="963">
        <f>G51+F51</f>
        <v>0</v>
      </c>
      <c r="J8" s="963">
        <f>H51+D51+C51</f>
        <v>0</v>
      </c>
      <c r="K8" s="963"/>
      <c r="L8" s="963"/>
      <c r="M8" s="963"/>
      <c r="N8" s="546"/>
      <c r="O8" s="547">
        <f>C8*$C$12+D8*$D$12+E8*$E$12+F8*$F$12+G8*$G$12+H8*$H$12+I8*$I$12+J8*$J$12</f>
        <v>11239.517647058825</v>
      </c>
      <c r="P8" s="1253"/>
      <c r="Q8" s="1254"/>
      <c r="S8" s="996"/>
      <c r="T8" s="1250"/>
      <c r="U8" s="1250"/>
    </row>
    <row r="9" spans="1:21" s="532" customFormat="1" ht="17.45" customHeight="1" thickBot="1">
      <c r="A9" s="548" t="s">
        <v>237</v>
      </c>
      <c r="B9" s="1000">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51457.034217890847</v>
      </c>
      <c r="C10" s="556">
        <f t="shared" ref="C10:L10" si="0">SUM(C8:C9)</f>
        <v>55641.176470588238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11239.517647058825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O32</f>
        <v>67564.285714285725</v>
      </c>
      <c r="C17" s="568">
        <f>B52</f>
        <v>79487.394957983211</v>
      </c>
      <c r="D17" s="569"/>
      <c r="E17" s="569">
        <f>E52</f>
        <v>0</v>
      </c>
      <c r="F17" s="570"/>
      <c r="G17" s="571"/>
      <c r="H17" s="568">
        <f>I52</f>
        <v>0</v>
      </c>
      <c r="I17" s="569">
        <f>G52+F52</f>
        <v>0</v>
      </c>
      <c r="J17" s="569">
        <f>H52+D52+C52</f>
        <v>0</v>
      </c>
      <c r="K17" s="569"/>
      <c r="L17" s="569"/>
      <c r="M17" s="569"/>
      <c r="N17" s="959"/>
      <c r="O17" s="572">
        <f>C17*$C$22+E17*$E$22+H17*$H$22+I17*$I$22+J17*$J$22+D17*$D$22+F17*$F$22+G17*$G$22+K17*$K$22+L17*$L$22</f>
        <v>16056.45378151261</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67564.285714285725</v>
      </c>
      <c r="C20" s="555">
        <f>SUM(C17:C19)</f>
        <v>79487.394957983211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16056.45378151261</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11024</v>
      </c>
      <c r="C28" s="775">
        <v>2550</v>
      </c>
      <c r="D28" s="628"/>
      <c r="E28" s="627"/>
      <c r="F28" s="627"/>
      <c r="G28" s="627" t="s">
        <v>977</v>
      </c>
      <c r="H28" s="627" t="s">
        <v>978</v>
      </c>
      <c r="I28" s="627"/>
      <c r="J28" s="774"/>
      <c r="K28" s="774"/>
      <c r="L28" s="627" t="s">
        <v>979</v>
      </c>
      <c r="M28" s="627">
        <v>1746</v>
      </c>
      <c r="N28" s="627">
        <v>7857</v>
      </c>
      <c r="O28" s="627">
        <v>11224.285714285714</v>
      </c>
      <c r="P28" s="627">
        <v>22448.571428571431</v>
      </c>
      <c r="Q28" s="627">
        <v>0</v>
      </c>
      <c r="R28" s="627">
        <v>0</v>
      </c>
      <c r="S28" s="627">
        <v>0</v>
      </c>
      <c r="T28" s="627">
        <v>0</v>
      </c>
      <c r="U28" s="627">
        <v>0</v>
      </c>
      <c r="V28" s="627">
        <v>0</v>
      </c>
      <c r="W28" s="627">
        <v>0</v>
      </c>
      <c r="X28" s="627">
        <v>10</v>
      </c>
      <c r="Y28" s="627" t="s">
        <v>105</v>
      </c>
      <c r="Z28" s="629" t="s">
        <v>105</v>
      </c>
    </row>
    <row r="29" spans="1:26" s="581" customFormat="1" ht="63.75" hidden="1">
      <c r="A29" s="580"/>
      <c r="B29" s="775">
        <v>11024</v>
      </c>
      <c r="C29" s="775">
        <v>2550</v>
      </c>
      <c r="D29" s="628"/>
      <c r="E29" s="627"/>
      <c r="F29" s="627"/>
      <c r="G29" s="627" t="s">
        <v>977</v>
      </c>
      <c r="H29" s="627" t="s">
        <v>978</v>
      </c>
      <c r="I29" s="627"/>
      <c r="J29" s="774"/>
      <c r="K29" s="774"/>
      <c r="L29" s="627" t="s">
        <v>979</v>
      </c>
      <c r="M29" s="627">
        <v>2028</v>
      </c>
      <c r="N29" s="627">
        <v>9126</v>
      </c>
      <c r="O29" s="627">
        <v>13037.142857142857</v>
      </c>
      <c r="P29" s="627">
        <v>26074.285714285717</v>
      </c>
      <c r="Q29" s="627">
        <v>0</v>
      </c>
      <c r="R29" s="627">
        <v>0</v>
      </c>
      <c r="S29" s="627">
        <v>0</v>
      </c>
      <c r="T29" s="627">
        <v>0</v>
      </c>
      <c r="U29" s="627">
        <v>0</v>
      </c>
      <c r="V29" s="627">
        <v>0</v>
      </c>
      <c r="W29" s="627">
        <v>0</v>
      </c>
      <c r="X29" s="627">
        <v>1600</v>
      </c>
      <c r="Y29" s="627" t="s">
        <v>49</v>
      </c>
      <c r="Z29" s="629" t="s">
        <v>149</v>
      </c>
    </row>
    <row r="30" spans="1:26" s="581" customFormat="1" ht="25.5" hidden="1">
      <c r="A30" s="580"/>
      <c r="B30" s="775">
        <v>11024</v>
      </c>
      <c r="C30" s="775">
        <v>2550</v>
      </c>
      <c r="D30" s="628"/>
      <c r="E30" s="627"/>
      <c r="F30" s="627"/>
      <c r="G30" s="627" t="s">
        <v>977</v>
      </c>
      <c r="H30" s="627" t="s">
        <v>978</v>
      </c>
      <c r="I30" s="627"/>
      <c r="J30" s="774"/>
      <c r="K30" s="774"/>
      <c r="L30" s="627" t="s">
        <v>979</v>
      </c>
      <c r="M30" s="627">
        <v>2728</v>
      </c>
      <c r="N30" s="627">
        <v>12276.000000000002</v>
      </c>
      <c r="O30" s="627">
        <v>17537.142857142859</v>
      </c>
      <c r="P30" s="627">
        <v>35074.285714285725</v>
      </c>
      <c r="Q30" s="627">
        <v>0</v>
      </c>
      <c r="R30" s="627">
        <v>0</v>
      </c>
      <c r="S30" s="627">
        <v>0</v>
      </c>
      <c r="T30" s="627">
        <v>0</v>
      </c>
      <c r="U30" s="627">
        <v>0</v>
      </c>
      <c r="V30" s="627">
        <v>0</v>
      </c>
      <c r="W30" s="627">
        <v>0</v>
      </c>
      <c r="X30" s="627">
        <v>10</v>
      </c>
      <c r="Y30" s="627" t="s">
        <v>105</v>
      </c>
      <c r="Z30" s="629" t="s">
        <v>105</v>
      </c>
    </row>
    <row r="31" spans="1:26" s="581" customFormat="1" ht="25.5" hidden="1">
      <c r="A31" s="580"/>
      <c r="B31" s="775">
        <v>11024</v>
      </c>
      <c r="C31" s="775">
        <v>2550</v>
      </c>
      <c r="D31" s="628"/>
      <c r="E31" s="627"/>
      <c r="F31" s="627"/>
      <c r="G31" s="627" t="s">
        <v>977</v>
      </c>
      <c r="H31" s="627" t="s">
        <v>978</v>
      </c>
      <c r="I31" s="627"/>
      <c r="J31" s="774"/>
      <c r="K31" s="774"/>
      <c r="L31" s="627" t="s">
        <v>979</v>
      </c>
      <c r="M31" s="627">
        <v>4008</v>
      </c>
      <c r="N31" s="627">
        <v>18036</v>
      </c>
      <c r="O31" s="627">
        <v>25765.714285714286</v>
      </c>
      <c r="P31" s="627">
        <v>51531.428571428572</v>
      </c>
      <c r="Q31" s="627">
        <v>0</v>
      </c>
      <c r="R31" s="627">
        <v>0</v>
      </c>
      <c r="S31" s="627">
        <v>0</v>
      </c>
      <c r="T31" s="627">
        <v>0</v>
      </c>
      <c r="U31" s="627">
        <v>0</v>
      </c>
      <c r="V31" s="627">
        <v>0</v>
      </c>
      <c r="W31" s="627">
        <v>0</v>
      </c>
      <c r="X31" s="627">
        <v>10</v>
      </c>
      <c r="Y31" s="627" t="s">
        <v>105</v>
      </c>
      <c r="Z31" s="629" t="s">
        <v>105</v>
      </c>
    </row>
    <row r="32" spans="1:26" s="563" customFormat="1" hidden="1">
      <c r="A32" s="583" t="s">
        <v>269</v>
      </c>
      <c r="B32" s="584"/>
      <c r="C32" s="584"/>
      <c r="D32" s="584"/>
      <c r="E32" s="584"/>
      <c r="F32" s="584"/>
      <c r="G32" s="584"/>
      <c r="H32" s="584"/>
      <c r="I32" s="584"/>
      <c r="J32" s="584"/>
      <c r="K32" s="584"/>
      <c r="L32" s="585"/>
      <c r="M32" s="585">
        <f>SUM(M28:M31)</f>
        <v>10510</v>
      </c>
      <c r="N32" s="585">
        <f>SUM(N28:N31)</f>
        <v>47295</v>
      </c>
      <c r="O32" s="585">
        <f>SUM(O28:O31)</f>
        <v>67564.285714285725</v>
      </c>
      <c r="P32" s="585">
        <f>SUM(P28:P31)</f>
        <v>135128.57142857145</v>
      </c>
      <c r="Q32" s="585">
        <f>SUM(Q28:Q31)</f>
        <v>0</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2028</v>
      </c>
      <c r="N34" s="585">
        <f ca="1">SUMIF($Z$28:AD31,"tertiair",N28:N31)</f>
        <v>9126</v>
      </c>
      <c r="O34" s="585">
        <f ca="1">SUMIF($Z$28:AE31,"tertiair",O28:O31)</f>
        <v>13037.142857142857</v>
      </c>
      <c r="P34" s="585">
        <f ca="1">SUMIF($Z$28:AF31,"tertiair",P28:P31)</f>
        <v>26074.285714285717</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8482</v>
      </c>
      <c r="N35" s="590">
        <f>SUMIF($Z$28:$Z$31,"landbouw",N28:N31)</f>
        <v>38169</v>
      </c>
      <c r="O35" s="590">
        <f>SUMIF($Z$28:$Z$31,"landbouw",O28:O31)</f>
        <v>54527.142857142855</v>
      </c>
      <c r="P35" s="590">
        <f>SUMIF($Z$28:$Z$31,"landbouw",P28:P31)</f>
        <v>109054.28571428574</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529</v>
      </c>
      <c r="Q37" s="625" t="s">
        <v>96</v>
      </c>
      <c r="R37" s="625" t="s">
        <v>97</v>
      </c>
      <c r="S37" s="625" t="s">
        <v>98</v>
      </c>
      <c r="T37" s="625" t="s">
        <v>99</v>
      </c>
      <c r="U37" s="625" t="s">
        <v>100</v>
      </c>
      <c r="V37" s="625" t="s">
        <v>101</v>
      </c>
      <c r="W37" s="624" t="s">
        <v>102</v>
      </c>
      <c r="X37" s="624" t="s">
        <v>288</v>
      </c>
      <c r="Y37" s="624" t="s">
        <v>103</v>
      </c>
      <c r="Z37" s="626" t="s">
        <v>289</v>
      </c>
    </row>
    <row r="38" spans="1:27" s="596" customFormat="1" ht="12.75" hidden="1">
      <c r="A38" s="582"/>
      <c r="B38" s="775"/>
      <c r="C38" s="775"/>
      <c r="D38" s="630"/>
      <c r="E38" s="630"/>
      <c r="F38" s="630"/>
      <c r="G38" s="630"/>
      <c r="H38" s="630"/>
      <c r="I38" s="630"/>
      <c r="J38" s="774"/>
      <c r="K38" s="774"/>
      <c r="L38" s="630"/>
      <c r="M38" s="630"/>
      <c r="N38" s="630"/>
      <c r="O38" s="630"/>
      <c r="P38" s="630"/>
      <c r="Q38" s="630"/>
      <c r="R38" s="630"/>
      <c r="S38" s="630"/>
      <c r="T38" s="630"/>
      <c r="U38" s="630"/>
      <c r="V38" s="630"/>
      <c r="W38" s="630"/>
      <c r="X38" s="630"/>
      <c r="Y38" s="630"/>
      <c r="Z38" s="631"/>
    </row>
    <row r="39" spans="1:27" s="563" customFormat="1" hidden="1">
      <c r="A39" s="583" t="s">
        <v>269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529</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55641.176470588238</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79487.394957983211</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2021-11-11T13:39:58Z</dcterms:modified>
</cp:coreProperties>
</file>