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BB56981-6657-4338-A25D-D8964F29381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<sst xmlns="http://schemas.openxmlformats.org/spreadsheetml/2006/main" count="2574" uniqueCount="980">
  <si>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</si>
  <si>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</si>
  <si>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</si>
  <si>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</si>
  <si>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</si>
  <si>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</si>
  <si>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</si>
  <si>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</si>
  <si>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</si>
  <si>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</si>
  <si>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</si>
  <si>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</si>
  <si>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</si>
  <si>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</si>
  <si>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</si>
  <si>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</si>
  <si>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</si>
  <si>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</si>
  <si>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</si>
  <si>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</si>
  <si>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</si>
  <si>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</si>
  <si>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</si>
  <si>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</si>
  <si>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</si>
  <si>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</si>
  <si>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</si>
  <si>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</si>
  <si>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</si>
  <si>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</si>
  <si>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</si>
  <si>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</si>
  <si>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</si>
  <si>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</si>
  <si>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</si>
  <si>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</si>
  <si>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</si>
  <si>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</si>
  <si>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</si>
  <si>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</si>
  <si>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</si>
  <si>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</si>
  <si>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</si>
  <si>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</si>
  <si>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</si>
  <si>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</si>
  <si>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</si>
  <si>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</si>
  <si>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</si>
  <si>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</si>
  <si>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</si>
  <si>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</si>
  <si>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</si>
  <si>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</si>
  <si>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</si>
  <si>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</si>
  <si>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</si>
  <si>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</si>
  <si>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</si>
  <si>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</si>
  <si>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</si>
  <si>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</si>
  <si>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</si>
  <si>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</si>
  <si>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</si>
  <si>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</si>
  <si>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</si>
  <si>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</si>
  <si>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</si>
  <si>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</si>
  <si>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</si>
  <si>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</si>
  <si>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</si>
  <si>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</si>
  <si>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</si>
  <si>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</si>
  <si>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</si>
  <si>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</si>
  <si>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</si>
  <si>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</si>
  <si>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</si>
  <si>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</si>
  <si>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</si>
  <si>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</si>
  <si>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</si>
  <si>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</si>
  <si>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</si>
  <si>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</si>
  <si>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</si>
  <si>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</si>
  <si>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</si>
  <si>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</si>
  <si>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</si>
  <si>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</si>
  <si>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</si>
  <si>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</si>
  <si>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</si>
  <si>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</si>
  <si>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</si>
  <si>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</si>
  <si>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</si>
  <si>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</si>
  <si>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</si>
  <si>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</si>
  <si>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</si>
  <si>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</si>
  <si>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</si>
  <si>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</si>
  <si>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</si>
  <si>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</si>
  <si>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</si>
  <si>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</si>
  <si>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</si>
  <si>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</si>
  <si>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</si>
  <si>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</si>
  <si>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</si>
  <si>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</si>
  <si>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</si>
  <si>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</si>
  <si>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</si>
  <si>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</si>
  <si>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</si>
  <si>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</si>
  <si>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</si>
  <si>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</si>
  <si>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</si>
  <si>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</si>
  <si>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</si>
  <si>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</si>
  <si>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</si>
  <si>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</si>
  <si>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</si>
  <si>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</si>
  <si>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</si>
  <si>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</si>
  <si>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</si>
  <si>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</si>
  <si>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</si>
  <si>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</si>
  <si>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</si>
  <si>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</si>
  <si>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</si>
  <si>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</si>
  <si>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</si>
  <si>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</si>
  <si>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</si>
  <si>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</si>
  <si>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</si>
  <si>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</si>
  <si>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</si>
  <si>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</si>
  <si>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</si>
  <si>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</si>
  <si>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</si>
  <si>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</si>
  <si>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</si>
  <si>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</si>
  <si>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</si>
  <si>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</si>
  <si>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</si>
  <si>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</si>
  <si>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</si>
  <si>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</si>
  <si>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</si>
  <si>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</si>
  <si>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</si>
  <si>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</si>
  <si>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</si>
  <si>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</si>
  <si>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</si>
  <si>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</si>
  <si>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</si>
  <si>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</si>
  <si>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</si>
  <si>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</si>
  <si>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</si>
  <si>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</si>
  <si>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</si>
  <si>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</si>
  <si>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</si>
  <si>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</si>
  <si>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</si>
  <si>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</si>
  <si>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</si>
  <si>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</si>
  <si>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</si>
  <si>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</si>
  <si>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</si>
  <si>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</si>
  <si>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</si>
  <si>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</si>
  <si>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</si>
  <si>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</si>
  <si>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</si>
  <si>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</si>
  <si>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</si>
  <si>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</si>
  <si>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</si>
  <si>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</si>
  <si>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</si>
  <si>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</si>
  <si>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</si>
  <si>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</si>
  <si>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</si>
  <si>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</si>
  <si>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</si>
  <si>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</si>
  <si>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</si>
  <si>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</si>
  <si>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</si>
  <si>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</si>
  <si>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</si>
  <si>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</si>
  <si>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</si>
  <si>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</si>
  <si>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</si>
  <si>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</si>
  <si>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</si>
  <si>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</si>
  <si>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</si>
  <si>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</si>
  <si>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</si>
  <si>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</si>
  <si>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</si>
  <si>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</si>
  <si>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</si>
  <si>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</si>
  <si>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</si>
  <si>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</si>
  <si>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</si>
  <si>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</si>
  <si>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</si>
  <si>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</si>
  <si>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</si>
  <si>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</si>
  <si>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</si>
  <si>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</si>
  <si>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</si>
  <si>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</si>
  <si>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</si>
  <si>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</si>
  <si>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</si>
  <si>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</si>
  <si>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</si>
  <si>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</si>
  <si>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</si>
  <si>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</si>
  <si>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</si>
  <si>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</si>
  <si>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</si>
  <si>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</si>
  <si>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</si>
  <si>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</si>
  <si>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</si>
  <si>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</si>
  <si>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</si>
  <si>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</si>
  <si>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</si>
  <si>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</si>
  <si>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</si>
  <si>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</si>
  <si>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</si>
  <si>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</si>
  <si>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</si>
  <si>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</si>
  <si>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</si>
  <si>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</si>
  <si>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</si>
  <si>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</si>
  <si>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</si>
  <si>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</si>
  <si>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</si>
  <si>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</si>
  <si>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</si>
  <si>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</si>
  <si>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</si>
  <si>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</si>
  <si>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</si>
  <si>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</si>
  <si>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</si>
  <si>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</si>
  <si>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</si>
  <si>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</si>
  <si>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</si>
  <si>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</si>
  <si>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</si>
  <si>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</si>
  <si>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</si>
  <si>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</si>
  <si>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</si>
  <si>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</si>
  <si>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</si>
  <si>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</si>
  <si>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</si>
  <si>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</si>
  <si>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</si>
  <si>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</si>
  <si>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</si>
  <si>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</si>
  <si>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</si>
  <si>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</si>
  <si>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</si>
  <si>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</si>
  <si>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</si>
  <si>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</si>
  <si>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</si>
  <si>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</si>
  <si>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</si>
  <si>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</si>
  <si>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</si>
  <si>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</si>
  <si>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</si>
  <si>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</si>
  <si>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</si>
  <si>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</si>
  <si>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</si>
  <si>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</si>
  <si>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</si>
  <si>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</si>
  <si>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</si>
  <si>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</si>
  <si>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</si>
  <si>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</si>
  <si>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</si>
  <si>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</si>
  <si>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</si>
  <si>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</si>
  <si>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</si>
  <si>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</si>
  <si>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</si>
  <si>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</si>
  <si>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</si>
  <si>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</si>
  <si>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</si>
  <si>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</si>
  <si>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</si>
  <si>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</si>
  <si>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</si>
  <si>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</si>
  <si>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</si>
  <si>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</si>
  <si>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</si>
  <si>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</si>
  <si>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</si>
  <si>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</si>
  <si>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</si>
  <si>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</si>
  <si>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</si>
  <si>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</si>
  <si>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</si>
  <si>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</si>
  <si>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</si>
  <si>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</si>
  <si>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</si>
  <si>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</si>
  <si>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</si>
  <si>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</si>
  <si>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</si>
  <si>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</si>
  <si>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</si>
  <si>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</si>
  <si>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</si>
  <si>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</si>
  <si>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</si>
  <si>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</si>
  <si>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</si>
  <si>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</si>
  <si>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</si>
  <si>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</si>
  <si>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</si>
  <si>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</si>
  <si>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</si>
  <si>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</si>
  <si>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</si>
  <si>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</si>
  <si>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</si>
  <si>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</si>
  <si>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</si>
  <si>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</si>
  <si>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</si>
  <si>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</si>
  <si>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</si>
  <si>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</si>
  <si>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</si>
  <si>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</si>
  <si>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</si>
  <si>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</si>
  <si>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</si>
  <si>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</si>
  <si>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</si>
  <si>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</si>
  <si>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</si>
  <si>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</si>
  <si>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</si>
  <si>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</si>
  <si>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</si>
  <si>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</si>
  <si>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</si>
  <si>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</si>
  <si>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</si>
  <si>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</si>
  <si>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</si>
  <si>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</si>
  <si>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</si>
  <si>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</si>
  <si>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</si>
  <si>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</si>
  <si>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</si>
  <si>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</si>
  <si>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</si>
  <si>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</si>
  <si>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</si>
  <si>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</si>
  <si>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</si>
  <si>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</si>
  <si>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</si>
  <si>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</si>
  <si>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</si>
  <si>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</si>
  <si>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</si>
  <si>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</si>
  <si>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</si>
  <si>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</si>
  <si>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</si>
  <si>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</si>
  <si>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</si>
  <si>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</si>
  <si>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</si>
  <si>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</si>
  <si>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</si>
  <si>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</si>
  <si>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</si>
  <si>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</si>
  <si>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</si>
  <si>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</si>
  <si>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</si>
  <si>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</si>
  <si>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</si>
  <si>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</si>
  <si>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</si>
  <si>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</si>
  <si>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</si>
  <si>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</si>
  <si>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</si>
  <si>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</si>
  <si>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</si>
  <si>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</si>
  <si>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</si>
  <si>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</si>
  <si>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</si>
  <si>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</si>
  <si>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</si>
  <si>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</si>
  <si>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</si>
  <si>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</si>
  <si>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</si>
  <si>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</si>
  <si>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</si>
  <si>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</si>
  <si>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</si>
  <si>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</si>
  <si>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</si>
  <si>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</si>
  <si>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</si>
  <si>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</si>
  <si>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</si>
  <si>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</si>
  <si>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</si>
  <si>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</si>
  <si>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</si>
  <si>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</si>
  <si>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</si>
  <si>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</si>
  <si>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</si>
  <si>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</si>
  <si>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</si>
  <si>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</si>
  <si>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</si>
  <si>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</si>
  <si>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</si>
  <si>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</si>
  <si>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</si>
  <si>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</si>
  <si>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</si>
  <si>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</si>
  <si>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</si>
  <si>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</si>
  <si>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</si>
  <si>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</si>
  <si>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</si>
  <si>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</si>
  <si>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</si>
  <si>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</si>
  <si>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</si>
  <si>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</si>
  <si>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</si>
  <si>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</si>
  <si>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</si>
  <si>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</si>
  <si>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</si>
  <si>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</si>
  <si>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</si>
  <si>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</si>
  <si>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</si>
  <si>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</si>
  <si>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</si>
  <si>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</si>
  <si>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</si>
  <si>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</si>
  <si>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</si>
  <si>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</si>
  <si>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</si>
  <si>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</si>
  <si>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</si>
  <si>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</si>
  <si>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</si>
  <si>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</si>
  <si>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</si>
  <si>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</si>
  <si>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</si>
  <si>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</si>
  <si>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</si>
  <si>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</si>
  <si>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</si>
  <si>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</si>
  <si>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</si>
  <si>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</si>
  <si>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</si>
  <si>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</si>
  <si>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</si>
  <si>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</si>
  <si>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</si>
  <si>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</si>
  <si>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</si>
  <si>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</si>
  <si>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</si>
  <si>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</si>
  <si>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</si>
  <si>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</si>
  <si>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</si>
  <si>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</si>
  <si>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</si>
  <si>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</si>
  <si>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</si>
  <si>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</si>
  <si>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</si>
  <si>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</si>
  <si>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</si>
  <si>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</si>
  <si>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</si>
  <si>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</si>
  <si>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</si>
  <si>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</si>
  <si>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</si>
  <si>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</si>
  <si>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</si>
  <si>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</si>
  <si>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</si>
  <si>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</si>
  <si>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</si>
  <si>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</si>
  <si>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</si>
  <si>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</si>
  <si>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</si>
  <si>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</si>
  <si>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</si>
  <si>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</si>
  <si>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</si>
  <si>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</si>
  <si>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</si>
  <si>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</si>
  <si>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</si>
  <si>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</si>
  <si>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</si>
  <si>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</si>
  <si>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</si>
  <si>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</si>
  <si>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</si>
  <si>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</si>
  <si>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</si>
  <si>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</si>
  <si>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</si>
  <si>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</si>
  <si>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</si>
  <si>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</si>
  <si>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</si>
  <si>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</si>
  <si>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</si>
  <si>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</si>
  <si>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</si>
  <si>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</si>
  <si>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</si>
  <si>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</si>
  <si>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</si>
  <si>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</si>
  <si>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</si>
  <si>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</si>
  <si>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</si>
  <si>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</si>
  <si>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</si>
  <si>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</si>
  <si>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</si>
  <si>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</si>
  <si>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</si>
  <si>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</si>
  <si>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</si>
  <si>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</si>
  <si>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</si>
  <si>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</si>
  <si>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</si>
  <si>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</si>
  <si>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</si>
  <si>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</si>
  <si>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</si>
  <si>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</si>
  <si>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</si>
  <si>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</si>
  <si>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</si>
  <si>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</si>
  <si>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</si>
  <si>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</si>
  <si>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</si>
  <si>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</si>
  <si>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</si>
  <si>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</si>
  <si>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</si>
  <si>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</si>
  <si>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</si>
  <si>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</si>
  <si>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</si>
  <si>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</si>
  <si>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</si>
  <si>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</si>
  <si>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</si>
  <si>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</si>
  <si>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</si>
  <si>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</si>
  <si>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</si>
  <si>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</si>
  <si>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</si>
  <si>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</si>
  <si>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</si>
  <si>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</si>
  <si>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</si>
  <si>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</si>
  <si>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</si>
  <si>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</si>
  <si>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</si>
  <si>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</si>
  <si>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</si>
  <si>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</si>
  <si>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</si>
  <si>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</si>
  <si>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</si>
  <si>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</si>
  <si>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</si>
  <si>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</si>
  <si>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</si>
  <si>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</si>
  <si>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</si>
  <si>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</si>
  <si>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</si>
  <si>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</si>
  <si>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</si>
  <si>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</si>
  <si>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</si>
  <si>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</si>
  <si>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</si>
  <si>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</si>
  <si>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</si>
  <si>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</si>
  <si>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</si>
  <si>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</si>
  <si>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</si>
  <si>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</si>
  <si>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</si>
  <si>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</si>
  <si>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</si>
  <si>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</si>
  <si>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</si>
  <si>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</si>
  <si>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</si>
  <si>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</si>
  <si>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</si>
  <si>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</si>
  <si>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</si>
  <si>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</si>
  <si>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</si>
  <si>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</si>
  <si>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</si>
  <si>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</si>
  <si>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</si>
  <si>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</si>
  <si>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</si>
  <si>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</si>
  <si>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</si>
  <si>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</si>
  <si>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</si>
  <si>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</si>
  <si>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</si>
  <si>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</si>
  <si>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</si>
  <si>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</si>
  <si>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</si>
  <si>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</si>
  <si>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</si>
  <si>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</si>
  <si>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</si>
  <si>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</si>
  <si>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</si>
  <si>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</si>
  <si>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</si>
  <si>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</si>
  <si>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</si>
  <si>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</si>
  <si>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</si>
  <si>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</si>
  <si>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</si>
  <si>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</si>
  <si>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</si>
  <si>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</si>
  <si>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</si>
  <si>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</si>
  <si>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</si>
  <si>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</si>
  <si>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</si>
  <si>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</si>
  <si>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</si>
  <si>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</si>
  <si>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</si>
  <si>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</si>
  <si>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</si>
  <si>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</si>
  <si>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</si>
  <si>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</si>
  <si>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</si>
  <si>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</si>
  <si>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</si>
  <si>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</si>
  <si>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</si>
  <si>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</si>
  <si>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</si>
  <si>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</si>
  <si>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</si>
  <si>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</si>
  <si>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</si>
  <si>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</si>
  <si>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</si>
  <si>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</si>
  <si>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</si>
  <si>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</si>
  <si>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</si>
  <si>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</si>
  <si>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</si>
  <si>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</si>
  <si>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</si>
  <si>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</si>
  <si>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</si>
  <si>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</si>
  <si>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</si>
  <si>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</si>
  <si>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</si>
  <si>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</si>
  <si>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</si>
  <si>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</si>
  <si>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</si>
  <si>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</si>
  <si>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</si>
  <si>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</si>
  <si>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</si>
  <si>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</si>
  <si>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</si>
  <si>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</si>
  <si>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</si>
  <si>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</si>
  <si>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</si>
  <si>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</si>
  <si>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</si>
  <si>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</si>
  <si>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</si>
  <si>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</si>
  <si>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</si>
  <si>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</si>
  <si>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</si>
  <si>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</si>
  <si>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</si>
  <si>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</si>
  <si>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</si>
  <si>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</si>
  <si>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</si>
  <si>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</si>
  <si>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</si>
  <si>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</si>
  <si>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</si>
  <si>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</si>
  <si>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</si>
  <si>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</si>
  <si>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</si>
  <si>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</si>
  <si>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</si>
  <si>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</si>
  <si>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</si>
  <si>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</si>
  <si>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</si>
  <si>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</si>
  <si>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</si>
  <si>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</si>
  <si>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</si>
  <si>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</si>
  <si>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</si>
  <si>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</si>
  <si>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</si>
  <si>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</si>
  <si>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</si>
  <si>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</si>
  <si>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</si>
  <si>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</si>
  <si>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</si>
  <si>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</si>
  <si>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</si>
  <si>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</si>
  <si>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</si>
  <si>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</si>
  <si>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</si>
  <si>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</si>
  <si>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</si>
  <si>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</si>
  <si>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</si>
  <si>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</si>
  <si>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</si>
  <si>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</si>
  <si>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</si>
  <si>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</si>
  <si>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</si>
  <si>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</si>
  <si>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</si>
  <si>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</si>
  <si>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</si>
  <si>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</si>
  <si>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</si>
  <si>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</si>
  <si>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</si>
  <si>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</si>
  <si>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</si>
  <si>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</si>
  <si>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</si>
  <si>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</si>
  <si>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</si>
  <si>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</si>
  <si>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</si>
  <si>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</si>
  <si>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</si>
  <si>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</si>
  <si>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</si>
  <si>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</si>
  <si>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</si>
  <si>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</si>
  <si>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</si>
  <si>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</si>
  <si>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</si>
  <si>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</si>
  <si>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</si>
  <si>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</si>
  <si>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</si>
  <si>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</si>
  <si>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</si>
  <si>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</si>
  <si>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</si>
  <si>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</si>
  <si>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</si>
  <si>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</si>
  <si>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</si>
  <si>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</si>
  <si>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</si>
  <si>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</si>
  <si>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</si>
  <si>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</si>
  <si>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</si>
  <si>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</si>
  <si>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</si>
  <si>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</si>
  <si>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</si>
  <si>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</si>
  <si>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</si>
  <si>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</si>
  <si>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</si>
  <si>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</si>
  <si>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</si>
  <si>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</si>
  <si>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</si>
  <si>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</si>
  <si>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</si>
  <si>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</si>
  <si>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</si>
  <si>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</si>
  <si>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</si>
  <si>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</si>
  <si>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</si>
  <si>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</si>
  <si>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</si>
  <si>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</si>
  <si>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</si>
  <si>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</si>
  <si>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</si>
  <si>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</si>
  <si>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</si>
  <si>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</si>
  <si>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</si>
  <si>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</si>
  <si>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</si>
  <si>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</si>
  <si>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</si>
  <si>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</si>
  <si>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</si>
  <si>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</si>
  <si>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</si>
  <si>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</si>
  <si>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</si>
  <si>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</si>
  <si>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</si>
  <si>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</si>
  <si>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</si>
  <si>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</si>
  <si>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</si>
  <si>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</si>
  <si>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</si>
  <si>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</si>
  <si>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</si>
  <si>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</si>
  <si>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</si>
  <si>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</si>
  <si>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</si>
  <si>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</si>
  <si>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</si>
  <si>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</si>
  <si>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</si>
  <si>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</si>
  <si>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</si>
  <si>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</si>
  <si>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</si>
  <si>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</si>
  <si>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</si>
  <si>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</si>
  <si>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</si>
  <si>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</si>
  <si>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</si>
  <si>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</si>
  <si>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</si>
  <si>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</si>
  <si>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</si>
  <si>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</si>
  <si>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</si>
  <si>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</si>
  <si>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</si>
  <si>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</si>
  <si>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</si>
  <si>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</si>
  <si>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</si>
  <si>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</si>
  <si>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</si>
  <si>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</si>
  <si>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</si>
  <si>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</si>
  <si>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</si>
  <si>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</si>
  <si>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</si>
  <si>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</si>
  <si>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</si>
  <si>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</si>
  <si>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11022</t>
  </si>
  <si>
    <t>KALMTHOUT</t>
  </si>
  <si>
    <t>Paarden&amp;pony's 200 - 600 kg</t>
  </si>
  <si>
    <t>Paarden&amp;pony's &lt; 200 kg</t>
  </si>
  <si>
    <t>Fluvius</t>
  </si>
  <si>
    <t xml:space="preserve">Bron: </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</si>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</sst>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0319402-2C82-4547-BCEB-E208AC20120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11022</v>
      </c>
      <c r="B6" s="384"/>
      <c r="C6" s="385"/>
    </row>
    <row r="7" spans="1:7" s="382" customFormat="1" ht="15.75" customHeight="1">
      <c r="A7" s="386" t="str">
        <f>txtMunicipality</f>
        <v>KALMTHOUT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20022.112987611021</v>
      </c>
      <c r="D10" s="674">
        <f ca="1">tertiair!C16</f>
        <v>0</v>
      </c>
      <c r="E10" s="674">
        <f ca="1">tertiair!D16</f>
        <v>25627.01440281338</v>
      </c>
      <c r="F10" s="674">
        <f>tertiair!E16</f>
        <v>340.37300147993267</v>
      </c>
      <c r="G10" s="674">
        <f ca="1">tertiair!F16</f>
        <v>3729.2968677336139</v>
      </c>
      <c r="H10" s="674">
        <f>tertiair!G16</f>
        <v>0</v>
      </c>
      <c r="I10" s="674">
        <f>tertiair!H16</f>
        <v>0</v>
      </c>
      <c r="J10" s="674">
        <f>tertiair!I16</f>
        <v>0</v>
      </c>
      <c r="K10" s="674">
        <f>tertiair!J16</f>
        <v>0</v>
      </c>
      <c r="L10" s="674">
        <f>tertiair!K16</f>
        <v>0</v>
      </c>
      <c r="M10" s="674">
        <f ca="1">tertiair!L16</f>
        <v>0</v>
      </c>
      <c r="N10" s="674">
        <f>tertiair!M16</f>
        <v>0</v>
      </c>
      <c r="O10" s="674">
        <f ca="1">tertiair!N16</f>
        <v>781.66336041082229</v>
      </c>
      <c r="P10" s="674">
        <f>tertiair!O16</f>
        <v>0</v>
      </c>
      <c r="Q10" s="675">
        <f>tertiair!P16</f>
        <v>38.133333333333333</v>
      </c>
      <c r="R10" s="677">
        <f ca="1">SUM(C10:Q10)</f>
        <v>50538.593953382093</v>
      </c>
      <c r="S10" s="67"/>
    </row>
    <row r="11" spans="1:19" s="443" customFormat="1">
      <c r="A11" s="789" t="s">
        <v>214</v>
      </c>
      <c r="B11" s="794"/>
      <c r="C11" s="674">
        <f>huishoudens!B8</f>
        <v>37065.740121664188</v>
      </c>
      <c r="D11" s="674">
        <f>huishoudens!C8</f>
        <v>0</v>
      </c>
      <c r="E11" s="674">
        <f>huishoudens!D8</f>
        <v>100157.22762809412</v>
      </c>
      <c r="F11" s="674">
        <f>huishoudens!E8</f>
        <v>1031.5181629752476</v>
      </c>
      <c r="G11" s="674">
        <f>huishoudens!F8</f>
        <v>35210.249086372984</v>
      </c>
      <c r="H11" s="674">
        <f>huishoudens!G8</f>
        <v>0</v>
      </c>
      <c r="I11" s="674">
        <f>huishoudens!H8</f>
        <v>0</v>
      </c>
      <c r="J11" s="674">
        <f>huishoudens!I8</f>
        <v>0</v>
      </c>
      <c r="K11" s="674">
        <f>huishoudens!J8</f>
        <v>792.84554133190136</v>
      </c>
      <c r="L11" s="674">
        <f>huishoudens!K8</f>
        <v>0</v>
      </c>
      <c r="M11" s="674">
        <f>huishoudens!L8</f>
        <v>0</v>
      </c>
      <c r="N11" s="674">
        <f>huishoudens!M8</f>
        <v>0</v>
      </c>
      <c r="O11" s="674">
        <f>huishoudens!N8</f>
        <v>8167.1398623213563</v>
      </c>
      <c r="P11" s="674">
        <f>huishoudens!O8</f>
        <v>109.43333333333334</v>
      </c>
      <c r="Q11" s="675">
        <f>huishoudens!P8</f>
        <v>266.93333333333334</v>
      </c>
      <c r="R11" s="677">
        <f>SUM(C11:Q11)</f>
        <v>182801.0870694264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16184.772655906401</v>
      </c>
      <c r="D13" s="674">
        <f>industrie!C18</f>
        <v>0</v>
      </c>
      <c r="E13" s="674">
        <f>industrie!D18</f>
        <v>14428.675858705901</v>
      </c>
      <c r="F13" s="674">
        <f>industrie!E18</f>
        <v>161.28733633663211</v>
      </c>
      <c r="G13" s="674">
        <f>industrie!F18</f>
        <v>3918.8727771309386</v>
      </c>
      <c r="H13" s="674">
        <f>industrie!G18</f>
        <v>0</v>
      </c>
      <c r="I13" s="674">
        <f>industrie!H18</f>
        <v>0</v>
      </c>
      <c r="J13" s="674">
        <f>industrie!I18</f>
        <v>0</v>
      </c>
      <c r="K13" s="674">
        <f>industrie!J18</f>
        <v>90.718954892865042</v>
      </c>
      <c r="L13" s="674">
        <f>industrie!K18</f>
        <v>0</v>
      </c>
      <c r="M13" s="674">
        <f>industrie!L18</f>
        <v>0</v>
      </c>
      <c r="N13" s="674">
        <f>industrie!M18</f>
        <v>0</v>
      </c>
      <c r="O13" s="674">
        <f>industrie!N18</f>
        <v>352.50179186371673</v>
      </c>
      <c r="P13" s="674">
        <f>industrie!O18</f>
        <v>0</v>
      </c>
      <c r="Q13" s="675">
        <f>industrie!P18</f>
        <v>0</v>
      </c>
      <c r="R13" s="677">
        <f>SUM(C13:Q13)</f>
        <v>35136.829374836459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73272.625765181612</v>
      </c>
      <c r="D16" s="707">
        <f t="shared" ref="D16:R16" ca="1" si="0">SUM(D9:D15)</f>
        <v>0</v>
      </c>
      <c r="E16" s="707">
        <f t="shared" ca="1" si="0"/>
        <v>140212.9178896134</v>
      </c>
      <c r="F16" s="707">
        <f t="shared" si="0"/>
        <v>1533.1785007918124</v>
      </c>
      <c r="G16" s="707">
        <f t="shared" ca="1" si="0"/>
        <v>42858.418731237529</v>
      </c>
      <c r="H16" s="707">
        <f t="shared" si="0"/>
        <v>0</v>
      </c>
      <c r="I16" s="707">
        <f t="shared" si="0"/>
        <v>0</v>
      </c>
      <c r="J16" s="707">
        <f t="shared" si="0"/>
        <v>0</v>
      </c>
      <c r="K16" s="707">
        <f t="shared" si="0"/>
        <v>883.56449622476634</v>
      </c>
      <c r="L16" s="707">
        <f t="shared" si="0"/>
        <v>0</v>
      </c>
      <c r="M16" s="707">
        <f t="shared" ca="1" si="0"/>
        <v>0</v>
      </c>
      <c r="N16" s="707">
        <f t="shared" si="0"/>
        <v>0</v>
      </c>
      <c r="O16" s="707">
        <f t="shared" ca="1" si="0"/>
        <v>9301.305014595895</v>
      </c>
      <c r="P16" s="707">
        <f t="shared" si="0"/>
        <v>109.43333333333334</v>
      </c>
      <c r="Q16" s="707">
        <f t="shared" si="0"/>
        <v>305.06666666666666</v>
      </c>
      <c r="R16" s="707">
        <f t="shared" ca="1" si="0"/>
        <v>268476.51039764495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4.741575943303979</v>
      </c>
      <c r="D19" s="674">
        <f>transport!C54</f>
        <v>0</v>
      </c>
      <c r="E19" s="674">
        <f>transport!D54</f>
        <v>0</v>
      </c>
      <c r="F19" s="674">
        <f>transport!E54</f>
        <v>0</v>
      </c>
      <c r="G19" s="674">
        <f>transport!F54</f>
        <v>0</v>
      </c>
      <c r="H19" s="674">
        <f>transport!G54</f>
        <v>1028.6372961489517</v>
      </c>
      <c r="I19" s="674">
        <f>transport!H54</f>
        <v>0</v>
      </c>
      <c r="J19" s="674">
        <f>transport!I54</f>
        <v>0</v>
      </c>
      <c r="K19" s="674">
        <f>transport!J54</f>
        <v>0</v>
      </c>
      <c r="L19" s="674">
        <f>transport!K54</f>
        <v>0</v>
      </c>
      <c r="M19" s="674">
        <f>transport!L54</f>
        <v>0</v>
      </c>
      <c r="N19" s="674">
        <f>transport!M54</f>
        <v>44.042297769084399</v>
      </c>
      <c r="O19" s="674">
        <f>transport!N54</f>
        <v>0</v>
      </c>
      <c r="P19" s="674">
        <f>transport!O54</f>
        <v>0</v>
      </c>
      <c r="Q19" s="675">
        <f>transport!P54</f>
        <v>0</v>
      </c>
      <c r="R19" s="677">
        <f>SUM(C19:Q19)</f>
        <v>1077.4211698613401</v>
      </c>
      <c r="S19" s="67"/>
    </row>
    <row r="20" spans="1:19" s="443" customFormat="1">
      <c r="A20" s="789" t="s">
        <v>296</v>
      </c>
      <c r="B20" s="794"/>
      <c r="C20" s="674">
        <f>transport!B14</f>
        <v>0.99224808817404087</v>
      </c>
      <c r="D20" s="674">
        <f>transport!C14</f>
        <v>0</v>
      </c>
      <c r="E20" s="674">
        <f>transport!D14</f>
        <v>3.4285443097230712</v>
      </c>
      <c r="F20" s="674">
        <f>transport!E14</f>
        <v>351.77261777980539</v>
      </c>
      <c r="G20" s="674">
        <f>transport!F14</f>
        <v>0</v>
      </c>
      <c r="H20" s="674">
        <f>transport!G14</f>
        <v>61044.667711777751</v>
      </c>
      <c r="I20" s="674">
        <f>transport!H14</f>
        <v>11246.928729785091</v>
      </c>
      <c r="J20" s="674">
        <f>transport!I14</f>
        <v>0</v>
      </c>
      <c r="K20" s="674">
        <f>transport!J14</f>
        <v>0</v>
      </c>
      <c r="L20" s="674">
        <f>transport!K14</f>
        <v>0</v>
      </c>
      <c r="M20" s="674">
        <f>transport!L14</f>
        <v>0</v>
      </c>
      <c r="N20" s="674">
        <f>transport!M14</f>
        <v>3147.3946714293611</v>
      </c>
      <c r="O20" s="674">
        <f>transport!N14</f>
        <v>0</v>
      </c>
      <c r="P20" s="674">
        <f>transport!O14</f>
        <v>0</v>
      </c>
      <c r="Q20" s="675">
        <f>transport!P14</f>
        <v>0</v>
      </c>
      <c r="R20" s="677">
        <f>SUM(C20:Q20)</f>
        <v>75795.184523169897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5.7338240314780196</v>
      </c>
      <c r="D22" s="792">
        <f t="shared" ref="D22:R22" si="1">SUM(D18:D21)</f>
        <v>0</v>
      </c>
      <c r="E22" s="792">
        <f t="shared" si="1"/>
        <v>3.4285443097230712</v>
      </c>
      <c r="F22" s="792">
        <f t="shared" si="1"/>
        <v>351.77261777980539</v>
      </c>
      <c r="G22" s="792">
        <f t="shared" si="1"/>
        <v>0</v>
      </c>
      <c r="H22" s="792">
        <f t="shared" si="1"/>
        <v>62073.305007926705</v>
      </c>
      <c r="I22" s="792">
        <f t="shared" si="1"/>
        <v>11246.928729785091</v>
      </c>
      <c r="J22" s="792">
        <f t="shared" si="1"/>
        <v>0</v>
      </c>
      <c r="K22" s="792">
        <f t="shared" si="1"/>
        <v>0</v>
      </c>
      <c r="L22" s="792">
        <f t="shared" si="1"/>
        <v>0</v>
      </c>
      <c r="M22" s="792">
        <f t="shared" si="1"/>
        <v>0</v>
      </c>
      <c r="N22" s="792">
        <f t="shared" si="1"/>
        <v>3191.4369691984457</v>
      </c>
      <c r="O22" s="792">
        <f t="shared" si="1"/>
        <v>0</v>
      </c>
      <c r="P22" s="792">
        <f t="shared" si="1"/>
        <v>0</v>
      </c>
      <c r="Q22" s="792">
        <f t="shared" si="1"/>
        <v>0</v>
      </c>
      <c r="R22" s="792">
        <f t="shared" si="1"/>
        <v>76872.605693031233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3136.5996101504952</v>
      </c>
      <c r="D24" s="674">
        <f>+landbouw!C8</f>
        <v>12947.142857142855</v>
      </c>
      <c r="E24" s="674">
        <f>+landbouw!D8</f>
        <v>10044.417373195538</v>
      </c>
      <c r="F24" s="674">
        <f>+landbouw!E8</f>
        <v>32.847150163620249</v>
      </c>
      <c r="G24" s="674">
        <f>+landbouw!F8</f>
        <v>13427.029640982213</v>
      </c>
      <c r="H24" s="674">
        <f>+landbouw!G8</f>
        <v>0</v>
      </c>
      <c r="I24" s="674">
        <f>+landbouw!H8</f>
        <v>0</v>
      </c>
      <c r="J24" s="674">
        <f>+landbouw!I8</f>
        <v>0</v>
      </c>
      <c r="K24" s="674">
        <f>+landbouw!J8</f>
        <v>280.12645900835724</v>
      </c>
      <c r="L24" s="674">
        <f>+landbouw!K8</f>
        <v>0</v>
      </c>
      <c r="M24" s="674">
        <f>+landbouw!L8</f>
        <v>0</v>
      </c>
      <c r="N24" s="674">
        <f>+landbouw!M8</f>
        <v>0</v>
      </c>
      <c r="O24" s="674">
        <f>+landbouw!N8</f>
        <v>0</v>
      </c>
      <c r="P24" s="674">
        <f>+landbouw!O8</f>
        <v>0</v>
      </c>
      <c r="Q24" s="675">
        <f>+landbouw!P8</f>
        <v>0</v>
      </c>
      <c r="R24" s="677">
        <f>SUM(C24:Q24)</f>
        <v>39868.16309064308</v>
      </c>
      <c r="S24" s="67"/>
    </row>
    <row r="25" spans="1:19" s="443" customFormat="1" ht="15" thickBot="1">
      <c r="A25" s="811" t="s">
        <v>889</v>
      </c>
      <c r="B25" s="966"/>
      <c r="C25" s="967">
        <f>IF(Onbekend_ele_kWh="---",0,Onbekend_ele_kWh)/1000+IF(REST_rest_ele_kWh="---",0,REST_rest_ele_kWh)/1000</f>
        <v>1870.16351337219</v>
      </c>
      <c r="D25" s="967"/>
      <c r="E25" s="967">
        <f>IF(onbekend_gas_kWh="---",0,onbekend_gas_kWh)/1000+IF(REST_rest_gas_kWh="---",0,REST_rest_gas_kWh)/1000</f>
        <v>3960.6439103420598</v>
      </c>
      <c r="F25" s="967"/>
      <c r="G25" s="967"/>
      <c r="H25" s="967"/>
      <c r="I25" s="967"/>
      <c r="J25" s="967"/>
      <c r="K25" s="967"/>
      <c r="L25" s="967"/>
      <c r="M25" s="967"/>
      <c r="N25" s="967"/>
      <c r="O25" s="967"/>
      <c r="P25" s="967"/>
      <c r="Q25" s="968"/>
      <c r="R25" s="677">
        <f>SUM(C25:Q25)</f>
        <v>5830.80742371425</v>
      </c>
      <c r="S25" s="67"/>
    </row>
    <row r="26" spans="1:19" s="443" customFormat="1" ht="15.75" thickBot="1">
      <c r="A26" s="680" t="s">
        <v>890</v>
      </c>
      <c r="B26" s="797"/>
      <c r="C26" s="792">
        <f>SUM(C24:C25)</f>
        <v>5006.7631235226854</v>
      </c>
      <c r="D26" s="792">
        <f t="shared" ref="D26:R26" si="2">SUM(D24:D25)</f>
        <v>12947.142857142855</v>
      </c>
      <c r="E26" s="792">
        <f t="shared" si="2"/>
        <v>14005.061283537598</v>
      </c>
      <c r="F26" s="792">
        <f t="shared" si="2"/>
        <v>32.847150163620249</v>
      </c>
      <c r="G26" s="792">
        <f t="shared" si="2"/>
        <v>13427.029640982213</v>
      </c>
      <c r="H26" s="792">
        <f t="shared" si="2"/>
        <v>0</v>
      </c>
      <c r="I26" s="792">
        <f t="shared" si="2"/>
        <v>0</v>
      </c>
      <c r="J26" s="792">
        <f t="shared" si="2"/>
        <v>0</v>
      </c>
      <c r="K26" s="792">
        <f t="shared" si="2"/>
        <v>280.12645900835724</v>
      </c>
      <c r="L26" s="792">
        <f t="shared" si="2"/>
        <v>0</v>
      </c>
      <c r="M26" s="792">
        <f t="shared" si="2"/>
        <v>0</v>
      </c>
      <c r="N26" s="792">
        <f t="shared" si="2"/>
        <v>0</v>
      </c>
      <c r="O26" s="792">
        <f t="shared" si="2"/>
        <v>0</v>
      </c>
      <c r="P26" s="792">
        <f t="shared" si="2"/>
        <v>0</v>
      </c>
      <c r="Q26" s="792">
        <f t="shared" si="2"/>
        <v>0</v>
      </c>
      <c r="R26" s="792">
        <f t="shared" si="2"/>
        <v>45698.97051435733</v>
      </c>
      <c r="S26" s="67"/>
    </row>
    <row r="27" spans="1:19" s="443" customFormat="1" ht="17.25" thickTop="1" thickBot="1">
      <c r="A27" s="681" t="s">
        <v>109</v>
      </c>
      <c r="B27" s="784"/>
      <c r="C27" s="682">
        <f ca="1">C22+C16+C26</f>
        <v>78285.122712735771</v>
      </c>
      <c r="D27" s="682">
        <f t="shared" ref="D27:R27" ca="1" si="3">D22+D16+D26</f>
        <v>12947.142857142855</v>
      </c>
      <c r="E27" s="682">
        <f t="shared" ca="1" si="3"/>
        <v>154221.40771746071</v>
      </c>
      <c r="F27" s="682">
        <f t="shared" si="3"/>
        <v>1917.798268735238</v>
      </c>
      <c r="G27" s="682">
        <f t="shared" ca="1" si="3"/>
        <v>56285.44837221974</v>
      </c>
      <c r="H27" s="682">
        <f t="shared" si="3"/>
        <v>62073.305007926705</v>
      </c>
      <c r="I27" s="682">
        <f t="shared" si="3"/>
        <v>11246.928729785091</v>
      </c>
      <c r="J27" s="682">
        <f t="shared" si="3"/>
        <v>0</v>
      </c>
      <c r="K27" s="682">
        <f t="shared" si="3"/>
        <v>1163.6909552331235</v>
      </c>
      <c r="L27" s="682">
        <f t="shared" si="3"/>
        <v>0</v>
      </c>
      <c r="M27" s="682">
        <f t="shared" ca="1" si="3"/>
        <v>0</v>
      </c>
      <c r="N27" s="682">
        <f t="shared" si="3"/>
        <v>3191.4369691984457</v>
      </c>
      <c r="O27" s="682">
        <f t="shared" ca="1" si="3"/>
        <v>9301.305014595895</v>
      </c>
      <c r="P27" s="682">
        <f t="shared" si="3"/>
        <v>109.43333333333334</v>
      </c>
      <c r="Q27" s="682">
        <f t="shared" si="3"/>
        <v>305.06666666666666</v>
      </c>
      <c r="R27" s="682">
        <f t="shared" ca="1" si="3"/>
        <v>391048.08660503349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4332.1871594420836</v>
      </c>
      <c r="D40" s="674">
        <f ca="1">tertiair!C20</f>
        <v>0</v>
      </c>
      <c r="E40" s="674">
        <f ca="1">tertiair!D20</f>
        <v>5176.6569093683029</v>
      </c>
      <c r="F40" s="674">
        <f>tertiair!E20</f>
        <v>77.264671335944712</v>
      </c>
      <c r="G40" s="674">
        <f ca="1">tertiair!F20</f>
        <v>995.72226368487497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10581.831003831207</v>
      </c>
    </row>
    <row r="41" spans="1:18">
      <c r="A41" s="802" t="s">
        <v>214</v>
      </c>
      <c r="B41" s="809"/>
      <c r="C41" s="674">
        <f ca="1">huishoudens!B12</f>
        <v>8019.9189520930913</v>
      </c>
      <c r="D41" s="674">
        <f ca="1">huishoudens!C12</f>
        <v>0</v>
      </c>
      <c r="E41" s="674">
        <f>huishoudens!D12</f>
        <v>20231.759980875013</v>
      </c>
      <c r="F41" s="674">
        <f>huishoudens!E12</f>
        <v>234.1546229953812</v>
      </c>
      <c r="G41" s="674">
        <f>huishoudens!F12</f>
        <v>9401.1365060615863</v>
      </c>
      <c r="H41" s="674">
        <f>huishoudens!G12</f>
        <v>0</v>
      </c>
      <c r="I41" s="674">
        <f>huishoudens!H12</f>
        <v>0</v>
      </c>
      <c r="J41" s="674">
        <f>huishoudens!I12</f>
        <v>0</v>
      </c>
      <c r="K41" s="674">
        <f>huishoudens!J12</f>
        <v>280.66732163149305</v>
      </c>
      <c r="L41" s="674">
        <f>huishoudens!K12</f>
        <v>0</v>
      </c>
      <c r="M41" s="674">
        <f>huishoudens!L12</f>
        <v>0</v>
      </c>
      <c r="N41" s="674">
        <f>huishoudens!M12</f>
        <v>0</v>
      </c>
      <c r="O41" s="674">
        <f>huishoudens!N12</f>
        <v>0</v>
      </c>
      <c r="P41" s="674">
        <f>huishoudens!O12</f>
        <v>0</v>
      </c>
      <c r="Q41" s="749">
        <f>huishoudens!P12</f>
        <v>0</v>
      </c>
      <c r="R41" s="830">
        <f t="shared" ca="1" si="4"/>
        <v>38167.637383656569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3501.9013388742756</v>
      </c>
      <c r="D43" s="674">
        <f ca="1">industrie!C22</f>
        <v>0</v>
      </c>
      <c r="E43" s="674">
        <f>industrie!D22</f>
        <v>2914.592523458592</v>
      </c>
      <c r="F43" s="674">
        <f>industrie!E22</f>
        <v>36.612225348415492</v>
      </c>
      <c r="G43" s="674">
        <f>industrie!F22</f>
        <v>1046.3390314939606</v>
      </c>
      <c r="H43" s="674">
        <f>industrie!G22</f>
        <v>0</v>
      </c>
      <c r="I43" s="674">
        <f>industrie!H22</f>
        <v>0</v>
      </c>
      <c r="J43" s="674">
        <f>industrie!I22</f>
        <v>0</v>
      </c>
      <c r="K43" s="674">
        <f>industrie!J22</f>
        <v>32.114510032074222</v>
      </c>
      <c r="L43" s="674">
        <f>industrie!K22</f>
        <v>0</v>
      </c>
      <c r="M43" s="674">
        <f>industrie!L22</f>
        <v>0</v>
      </c>
      <c r="N43" s="674">
        <f>industrie!M22</f>
        <v>0</v>
      </c>
      <c r="O43" s="674">
        <f>industrie!N22</f>
        <v>0</v>
      </c>
      <c r="P43" s="674">
        <f>industrie!O22</f>
        <v>0</v>
      </c>
      <c r="Q43" s="749">
        <f>industrie!P22</f>
        <v>0</v>
      </c>
      <c r="R43" s="829">
        <f t="shared" ca="1" si="4"/>
        <v>7531.5596292073178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15854.00745040945</v>
      </c>
      <c r="D46" s="707">
        <f t="shared" ref="D46:Q46" ca="1" si="5">SUM(D39:D45)</f>
        <v>0</v>
      </c>
      <c r="E46" s="707">
        <f t="shared" ca="1" si="5"/>
        <v>28323.009413701908</v>
      </c>
      <c r="F46" s="707">
        <f t="shared" si="5"/>
        <v>348.03151967974139</v>
      </c>
      <c r="G46" s="707">
        <f t="shared" ca="1" si="5"/>
        <v>11443.197801240422</v>
      </c>
      <c r="H46" s="707">
        <f t="shared" si="5"/>
        <v>0</v>
      </c>
      <c r="I46" s="707">
        <f t="shared" si="5"/>
        <v>0</v>
      </c>
      <c r="J46" s="707">
        <f t="shared" si="5"/>
        <v>0</v>
      </c>
      <c r="K46" s="707">
        <f t="shared" si="5"/>
        <v>312.78183166356729</v>
      </c>
      <c r="L46" s="707">
        <f t="shared" si="5"/>
        <v>0</v>
      </c>
      <c r="M46" s="707">
        <f t="shared" ca="1" si="5"/>
        <v>0</v>
      </c>
      <c r="N46" s="707">
        <f t="shared" si="5"/>
        <v>0</v>
      </c>
      <c r="O46" s="707">
        <f t="shared" ca="1" si="5"/>
        <v>0</v>
      </c>
      <c r="P46" s="707">
        <f t="shared" si="5"/>
        <v>0</v>
      </c>
      <c r="Q46" s="707">
        <f t="shared" si="5"/>
        <v>0</v>
      </c>
      <c r="R46" s="707">
        <f ca="1">SUM(R39:R45)</f>
        <v>56281.028016695091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1.0259353960199542</v>
      </c>
      <c r="D49" s="674">
        <f ca="1">transport!C58</f>
        <v>0</v>
      </c>
      <c r="E49" s="674">
        <f>transport!D58</f>
        <v>0</v>
      </c>
      <c r="F49" s="674">
        <f>transport!E58</f>
        <v>0</v>
      </c>
      <c r="G49" s="674">
        <f>transport!F58</f>
        <v>0</v>
      </c>
      <c r="H49" s="674">
        <f>transport!G58</f>
        <v>274.64615807177012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275.67209346779009</v>
      </c>
    </row>
    <row r="50" spans="1:18">
      <c r="A50" s="805" t="s">
        <v>296</v>
      </c>
      <c r="B50" s="815"/>
      <c r="C50" s="973">
        <f ca="1">transport!B18</f>
        <v>0.21469284631588892</v>
      </c>
      <c r="D50" s="973">
        <f>transport!C18</f>
        <v>0</v>
      </c>
      <c r="E50" s="973">
        <f>transport!D18</f>
        <v>0.69256595056406045</v>
      </c>
      <c r="F50" s="973">
        <f>transport!E18</f>
        <v>79.852384236015823</v>
      </c>
      <c r="G50" s="973">
        <f>transport!F18</f>
        <v>0</v>
      </c>
      <c r="H50" s="973">
        <f>transport!G18</f>
        <v>16298.926279044661</v>
      </c>
      <c r="I50" s="973">
        <f>transport!H18</f>
        <v>2800.4852537164879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19180.171175794043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1.240628242335843</v>
      </c>
      <c r="D52" s="707">
        <f t="shared" ref="D52:Q52" ca="1" si="6">SUM(D48:D51)</f>
        <v>0</v>
      </c>
      <c r="E52" s="707">
        <f t="shared" si="6"/>
        <v>0.69256595056406045</v>
      </c>
      <c r="F52" s="707">
        <f t="shared" si="6"/>
        <v>79.852384236015823</v>
      </c>
      <c r="G52" s="707">
        <f t="shared" si="6"/>
        <v>0</v>
      </c>
      <c r="H52" s="707">
        <f t="shared" si="6"/>
        <v>16573.572437116432</v>
      </c>
      <c r="I52" s="707">
        <f t="shared" si="6"/>
        <v>2800.4852537164879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19455.843269261833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678.66646061846745</v>
      </c>
      <c r="D54" s="973">
        <f ca="1">+landbouw!C12</f>
        <v>3076.8504201680662</v>
      </c>
      <c r="E54" s="973">
        <f>+landbouw!D12</f>
        <v>2028.9723093854989</v>
      </c>
      <c r="F54" s="973">
        <f>+landbouw!E12</f>
        <v>7.456303087141797</v>
      </c>
      <c r="G54" s="973">
        <f>+landbouw!F12</f>
        <v>3585.0169141422512</v>
      </c>
      <c r="H54" s="973">
        <f>+landbouw!G12</f>
        <v>0</v>
      </c>
      <c r="I54" s="973">
        <f>+landbouw!H12</f>
        <v>0</v>
      </c>
      <c r="J54" s="973">
        <f>+landbouw!I12</f>
        <v>0</v>
      </c>
      <c r="K54" s="973">
        <f>+landbouw!J12</f>
        <v>99.164766488958463</v>
      </c>
      <c r="L54" s="973">
        <f>+landbouw!K12</f>
        <v>0</v>
      </c>
      <c r="M54" s="973">
        <f>+landbouw!L12</f>
        <v>0</v>
      </c>
      <c r="N54" s="973">
        <f>+landbouw!M12</f>
        <v>0</v>
      </c>
      <c r="O54" s="973">
        <f>+landbouw!N12</f>
        <v>0</v>
      </c>
      <c r="P54" s="973">
        <f>+landbouw!O12</f>
        <v>0</v>
      </c>
      <c r="Q54" s="974">
        <f>+landbouw!P12</f>
        <v>0</v>
      </c>
      <c r="R54" s="706">
        <f ca="1">SUM(C54:Q54)</f>
        <v>9476.1271738903833</v>
      </c>
    </row>
    <row r="55" spans="1:18" ht="15" thickBot="1">
      <c r="A55" s="805" t="s">
        <v>889</v>
      </c>
      <c r="B55" s="815"/>
      <c r="C55" s="973">
        <f ca="1">C25*'EF ele_warmte'!B12</f>
        <v>404.64751965495674</v>
      </c>
      <c r="D55" s="973"/>
      <c r="E55" s="973">
        <f>E25*EF_CO2_aardgas</f>
        <v>800.05006988909611</v>
      </c>
      <c r="F55" s="973"/>
      <c r="G55" s="973"/>
      <c r="H55" s="973"/>
      <c r="I55" s="973"/>
      <c r="J55" s="973"/>
      <c r="K55" s="973"/>
      <c r="L55" s="973"/>
      <c r="M55" s="973"/>
      <c r="N55" s="973"/>
      <c r="O55" s="973"/>
      <c r="P55" s="973"/>
      <c r="Q55" s="974"/>
      <c r="R55" s="706">
        <f ca="1">SUM(C55:Q55)</f>
        <v>1204.6975895440528</v>
      </c>
    </row>
    <row r="56" spans="1:18" ht="15.75" thickBot="1">
      <c r="A56" s="803" t="s">
        <v>890</v>
      </c>
      <c r="B56" s="816"/>
      <c r="C56" s="707">
        <f ca="1">SUM(C54:C55)</f>
        <v>1083.3139802734242</v>
      </c>
      <c r="D56" s="707">
        <f t="shared" ref="D56:Q56" ca="1" si="7">SUM(D54:D55)</f>
        <v>3076.8504201680662</v>
      </c>
      <c r="E56" s="707">
        <f t="shared" si="7"/>
        <v>2829.0223792745951</v>
      </c>
      <c r="F56" s="707">
        <f t="shared" si="7"/>
        <v>7.456303087141797</v>
      </c>
      <c r="G56" s="707">
        <f t="shared" si="7"/>
        <v>3585.0169141422512</v>
      </c>
      <c r="H56" s="707">
        <f t="shared" si="7"/>
        <v>0</v>
      </c>
      <c r="I56" s="707">
        <f t="shared" si="7"/>
        <v>0</v>
      </c>
      <c r="J56" s="707">
        <f t="shared" si="7"/>
        <v>0</v>
      </c>
      <c r="K56" s="707">
        <f t="shared" si="7"/>
        <v>99.164766488958463</v>
      </c>
      <c r="L56" s="707">
        <f t="shared" si="7"/>
        <v>0</v>
      </c>
      <c r="M56" s="707">
        <f t="shared" si="7"/>
        <v>0</v>
      </c>
      <c r="N56" s="707">
        <f t="shared" si="7"/>
        <v>0</v>
      </c>
      <c r="O56" s="707">
        <f t="shared" si="7"/>
        <v>0</v>
      </c>
      <c r="P56" s="707">
        <f t="shared" si="7"/>
        <v>0</v>
      </c>
      <c r="Q56" s="708">
        <f t="shared" si="7"/>
        <v>0</v>
      </c>
      <c r="R56" s="709">
        <f ca="1">SUM(R54:R55)</f>
        <v>10680.824763434437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16938.56205892521</v>
      </c>
      <c r="D61" s="715">
        <f t="shared" ref="D61:Q61" ca="1" si="8">D46+D52+D56</f>
        <v>3076.8504201680662</v>
      </c>
      <c r="E61" s="715">
        <f t="shared" ca="1" si="8"/>
        <v>31152.724358927069</v>
      </c>
      <c r="F61" s="715">
        <f t="shared" si="8"/>
        <v>435.34020700289904</v>
      </c>
      <c r="G61" s="715">
        <f t="shared" ca="1" si="8"/>
        <v>15028.214715382674</v>
      </c>
      <c r="H61" s="715">
        <f t="shared" si="8"/>
        <v>16573.572437116432</v>
      </c>
      <c r="I61" s="715">
        <f t="shared" si="8"/>
        <v>2800.4852537164879</v>
      </c>
      <c r="J61" s="715">
        <f t="shared" si="8"/>
        <v>0</v>
      </c>
      <c r="K61" s="715">
        <f t="shared" si="8"/>
        <v>411.94659815252578</v>
      </c>
      <c r="L61" s="715">
        <f t="shared" si="8"/>
        <v>0</v>
      </c>
      <c r="M61" s="715">
        <f t="shared" ca="1" si="8"/>
        <v>0</v>
      </c>
      <c r="N61" s="715">
        <f t="shared" si="8"/>
        <v>0</v>
      </c>
      <c r="O61" s="715">
        <f t="shared" ca="1" si="8"/>
        <v>0</v>
      </c>
      <c r="P61" s="715">
        <f t="shared" si="8"/>
        <v>0</v>
      </c>
      <c r="Q61" s="715">
        <f t="shared" si="8"/>
        <v>0</v>
      </c>
      <c r="R61" s="715">
        <f ca="1">R46+R52+R56</f>
        <v>86417.69604939135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0.21637012847358761</v>
      </c>
      <c r="D63" s="759">
        <f t="shared" ca="1" si="9"/>
        <v>0.23764705882352938</v>
      </c>
      <c r="E63" s="975">
        <f t="shared" ca="1" si="9"/>
        <v>0.20200000000000004</v>
      </c>
      <c r="F63" s="759">
        <f t="shared" si="9"/>
        <v>0.22700000000000001</v>
      </c>
      <c r="G63" s="759">
        <f t="shared" ca="1" si="9"/>
        <v>0.26700000000000007</v>
      </c>
      <c r="H63" s="759">
        <f t="shared" si="9"/>
        <v>0.26700000000000002</v>
      </c>
      <c r="I63" s="759">
        <f t="shared" si="9"/>
        <v>0.24900000000000003</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2322.7255869096948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9062.9999999999982</v>
      </c>
      <c r="D76" s="985">
        <f>'lokale energieproductie'!C8</f>
        <v>10662.352941176468</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2153.7952941176468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2322.7255869096948</v>
      </c>
      <c r="C78" s="730">
        <f>SUM(C72:C77)</f>
        <v>9062.9999999999982</v>
      </c>
      <c r="D78" s="731">
        <f t="shared" ref="D78:H78" si="10">SUM(D76:D77)</f>
        <v>10662.352941176468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2153.7952941176468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12947.142857142855</v>
      </c>
      <c r="D87" s="752">
        <f>'lokale energieproductie'!C17</f>
        <v>15231.932773109238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3076.8504201680662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12947.142857142855</v>
      </c>
      <c r="D90" s="730">
        <f t="shared" ref="D90:H90" si="12">SUM(D87:D89)</f>
        <v>15231.932773109238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3076.8504201680662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37065.740121664188</v>
      </c>
      <c r="C4" s="447">
        <f>huishoudens!C8</f>
        <v>0</v>
      </c>
      <c r="D4" s="447">
        <f>huishoudens!D8</f>
        <v>100157.22762809412</v>
      </c>
      <c r="E4" s="447">
        <f>huishoudens!E8</f>
        <v>1031.5181629752476</v>
      </c>
      <c r="F4" s="447">
        <f>huishoudens!F8</f>
        <v>35210.249086372984</v>
      </c>
      <c r="G4" s="447">
        <f>huishoudens!G8</f>
        <v>0</v>
      </c>
      <c r="H4" s="447">
        <f>huishoudens!H8</f>
        <v>0</v>
      </c>
      <c r="I4" s="447">
        <f>huishoudens!I8</f>
        <v>0</v>
      </c>
      <c r="J4" s="447">
        <f>huishoudens!J8</f>
        <v>792.84554133190136</v>
      </c>
      <c r="K4" s="447">
        <f>huishoudens!K8</f>
        <v>0</v>
      </c>
      <c r="L4" s="447">
        <f>huishoudens!L8</f>
        <v>0</v>
      </c>
      <c r="M4" s="447">
        <f>huishoudens!M8</f>
        <v>0</v>
      </c>
      <c r="N4" s="447">
        <f>huishoudens!N8</f>
        <v>8167.1398623213563</v>
      </c>
      <c r="O4" s="447">
        <f>huishoudens!O8</f>
        <v>109.43333333333334</v>
      </c>
      <c r="P4" s="448">
        <f>huishoudens!P8</f>
        <v>266.93333333333334</v>
      </c>
      <c r="Q4" s="449">
        <f>SUM(B4:P4)</f>
        <v>182801.0870694264</v>
      </c>
    </row>
    <row r="5" spans="1:17">
      <c r="A5" s="446" t="s">
        <v>149</v>
      </c>
      <c r="B5" s="447">
        <f ca="1">tertiair!B16</f>
        <v>18977.846987611021</v>
      </c>
      <c r="C5" s="447">
        <f ca="1">tertiair!C16</f>
        <v>0</v>
      </c>
      <c r="D5" s="447">
        <f ca="1">tertiair!D16</f>
        <v>25627.01440281338</v>
      </c>
      <c r="E5" s="447">
        <f>tertiair!E16</f>
        <v>340.37300147993267</v>
      </c>
      <c r="F5" s="447">
        <f ca="1">tertiair!F16</f>
        <v>3729.2968677336139</v>
      </c>
      <c r="G5" s="447">
        <f>tertiair!G16</f>
        <v>0</v>
      </c>
      <c r="H5" s="447">
        <f>tertiair!H16</f>
        <v>0</v>
      </c>
      <c r="I5" s="447">
        <f>tertiair!I16</f>
        <v>0</v>
      </c>
      <c r="J5" s="447">
        <f>tertiair!J16</f>
        <v>0</v>
      </c>
      <c r="K5" s="447">
        <f>tertiair!K16</f>
        <v>0</v>
      </c>
      <c r="L5" s="447">
        <f ca="1">tertiair!L16</f>
        <v>0</v>
      </c>
      <c r="M5" s="447">
        <f>tertiair!M16</f>
        <v>0</v>
      </c>
      <c r="N5" s="447">
        <f ca="1">tertiair!N16</f>
        <v>781.66336041082229</v>
      </c>
      <c r="O5" s="447">
        <f>tertiair!O16</f>
        <v>0</v>
      </c>
      <c r="P5" s="448">
        <f>tertiair!P16</f>
        <v>38.133333333333333</v>
      </c>
      <c r="Q5" s="446">
        <f t="shared" ref="Q5:Q14" ca="1" si="0">SUM(B5:P5)</f>
        <v>49494.32795338209</v>
      </c>
    </row>
    <row r="6" spans="1:17">
      <c r="A6" s="446" t="s">
        <v>187</v>
      </c>
      <c r="B6" s="447">
        <f>'openbare verlichting'!B8</f>
        <v>1044.2660000000001</v>
      </c>
      <c r="C6" s="447"/>
      <c r="D6" s="447"/>
      <c r="E6" s="447"/>
      <c r="F6" s="447"/>
      <c r="G6" s="447"/>
      <c r="H6" s="447"/>
      <c r="I6" s="447"/>
      <c r="J6" s="447"/>
      <c r="K6" s="447"/>
      <c r="L6" s="447"/>
      <c r="M6" s="447"/>
      <c r="N6" s="447"/>
      <c r="O6" s="447"/>
      <c r="P6" s="448"/>
      <c r="Q6" s="446">
        <f t="shared" si="0"/>
        <v>1044.2660000000001</v>
      </c>
    </row>
    <row r="7" spans="1:17">
      <c r="A7" s="446" t="s">
        <v>105</v>
      </c>
      <c r="B7" s="447">
        <f>landbouw!B8</f>
        <v>3136.5996101504952</v>
      </c>
      <c r="C7" s="447">
        <f>landbouw!C8</f>
        <v>12947.142857142855</v>
      </c>
      <c r="D7" s="447">
        <f>landbouw!D8</f>
        <v>10044.417373195538</v>
      </c>
      <c r="E7" s="447">
        <f>landbouw!E8</f>
        <v>32.847150163620249</v>
      </c>
      <c r="F7" s="447">
        <f>landbouw!F8</f>
        <v>13427.029640982213</v>
      </c>
      <c r="G7" s="447">
        <f>landbouw!G8</f>
        <v>0</v>
      </c>
      <c r="H7" s="447">
        <f>landbouw!H8</f>
        <v>0</v>
      </c>
      <c r="I7" s="447">
        <f>landbouw!I8</f>
        <v>0</v>
      </c>
      <c r="J7" s="447">
        <f>landbouw!J8</f>
        <v>280.12645900835724</v>
      </c>
      <c r="K7" s="447">
        <f>landbouw!K8</f>
        <v>0</v>
      </c>
      <c r="L7" s="447">
        <f>landbouw!L8</f>
        <v>0</v>
      </c>
      <c r="M7" s="447">
        <f>landbouw!M8</f>
        <v>0</v>
      </c>
      <c r="N7" s="447">
        <f>landbouw!N8</f>
        <v>0</v>
      </c>
      <c r="O7" s="447">
        <f>landbouw!O8</f>
        <v>0</v>
      </c>
      <c r="P7" s="448">
        <f>landbouw!P8</f>
        <v>0</v>
      </c>
      <c r="Q7" s="446">
        <f t="shared" si="0"/>
        <v>39868.16309064308</v>
      </c>
    </row>
    <row r="8" spans="1:17">
      <c r="A8" s="446" t="s">
        <v>637</v>
      </c>
      <c r="B8" s="447">
        <f>industrie!B18</f>
        <v>16184.772655906401</v>
      </c>
      <c r="C8" s="447">
        <f>industrie!C18</f>
        <v>0</v>
      </c>
      <c r="D8" s="447">
        <f>industrie!D18</f>
        <v>14428.675858705901</v>
      </c>
      <c r="E8" s="447">
        <f>industrie!E18</f>
        <v>161.28733633663211</v>
      </c>
      <c r="F8" s="447">
        <f>industrie!F18</f>
        <v>3918.8727771309386</v>
      </c>
      <c r="G8" s="447">
        <f>industrie!G18</f>
        <v>0</v>
      </c>
      <c r="H8" s="447">
        <f>industrie!H18</f>
        <v>0</v>
      </c>
      <c r="I8" s="447">
        <f>industrie!I18</f>
        <v>0</v>
      </c>
      <c r="J8" s="447">
        <f>industrie!J18</f>
        <v>90.718954892865042</v>
      </c>
      <c r="K8" s="447">
        <f>industrie!K18</f>
        <v>0</v>
      </c>
      <c r="L8" s="447">
        <f>industrie!L18</f>
        <v>0</v>
      </c>
      <c r="M8" s="447">
        <f>industrie!M18</f>
        <v>0</v>
      </c>
      <c r="N8" s="447">
        <f>industrie!N18</f>
        <v>352.50179186371673</v>
      </c>
      <c r="O8" s="447">
        <f>industrie!O18</f>
        <v>0</v>
      </c>
      <c r="P8" s="448">
        <f>industrie!P18</f>
        <v>0</v>
      </c>
      <c r="Q8" s="446">
        <f t="shared" si="0"/>
        <v>35136.829374836459</v>
      </c>
    </row>
    <row r="9" spans="1:17" s="452" customFormat="1">
      <c r="A9" s="450" t="s">
        <v>556</v>
      </c>
      <c r="B9" s="451">
        <f>transport!B14</f>
        <v>0.99224808817404087</v>
      </c>
      <c r="C9" s="451">
        <f>transport!C14</f>
        <v>0</v>
      </c>
      <c r="D9" s="451">
        <f>transport!D14</f>
        <v>3.4285443097230712</v>
      </c>
      <c r="E9" s="451">
        <f>transport!E14</f>
        <v>351.77261777980539</v>
      </c>
      <c r="F9" s="451">
        <f>transport!F14</f>
        <v>0</v>
      </c>
      <c r="G9" s="451">
        <f>transport!G14</f>
        <v>61044.667711777751</v>
      </c>
      <c r="H9" s="451">
        <f>transport!H14</f>
        <v>11246.928729785091</v>
      </c>
      <c r="I9" s="451">
        <f>transport!I14</f>
        <v>0</v>
      </c>
      <c r="J9" s="451">
        <f>transport!J14</f>
        <v>0</v>
      </c>
      <c r="K9" s="451">
        <f>transport!K14</f>
        <v>0</v>
      </c>
      <c r="L9" s="451">
        <f>transport!L14</f>
        <v>0</v>
      </c>
      <c r="M9" s="451">
        <f>transport!M14</f>
        <v>3147.3946714293611</v>
      </c>
      <c r="N9" s="451">
        <f>transport!N14</f>
        <v>0</v>
      </c>
      <c r="O9" s="451">
        <f>transport!O14</f>
        <v>0</v>
      </c>
      <c r="P9" s="451">
        <f>transport!P14</f>
        <v>0</v>
      </c>
      <c r="Q9" s="450">
        <f>SUM(B9:P9)</f>
        <v>75795.184523169897</v>
      </c>
    </row>
    <row r="10" spans="1:17">
      <c r="A10" s="446" t="s">
        <v>546</v>
      </c>
      <c r="B10" s="447">
        <f>transport!B54</f>
        <v>4.741575943303979</v>
      </c>
      <c r="C10" s="447">
        <f>transport!C54</f>
        <v>0</v>
      </c>
      <c r="D10" s="447">
        <f>transport!D54</f>
        <v>0</v>
      </c>
      <c r="E10" s="447">
        <f>transport!E54</f>
        <v>0</v>
      </c>
      <c r="F10" s="447">
        <f>transport!F54</f>
        <v>0</v>
      </c>
      <c r="G10" s="447">
        <f>transport!G54</f>
        <v>1028.6372961489517</v>
      </c>
      <c r="H10" s="447">
        <f>transport!H54</f>
        <v>0</v>
      </c>
      <c r="I10" s="447">
        <f>transport!I54</f>
        <v>0</v>
      </c>
      <c r="J10" s="447">
        <f>transport!J54</f>
        <v>0</v>
      </c>
      <c r="K10" s="447">
        <f>transport!K54</f>
        <v>0</v>
      </c>
      <c r="L10" s="447">
        <f>transport!L54</f>
        <v>0</v>
      </c>
      <c r="M10" s="447">
        <f>transport!M54</f>
        <v>44.042297769084399</v>
      </c>
      <c r="N10" s="447">
        <f>transport!N54</f>
        <v>0</v>
      </c>
      <c r="O10" s="447">
        <f>transport!O54</f>
        <v>0</v>
      </c>
      <c r="P10" s="448">
        <f>transport!P54</f>
        <v>0</v>
      </c>
      <c r="Q10" s="446">
        <f t="shared" si="0"/>
        <v>1077.4211698613401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1870.16351337219</v>
      </c>
      <c r="C14" s="454"/>
      <c r="D14" s="454">
        <f>'SEAP template'!E25</f>
        <v>3960.6439103420598</v>
      </c>
      <c r="E14" s="454"/>
      <c r="F14" s="454"/>
      <c r="G14" s="454"/>
      <c r="H14" s="454"/>
      <c r="I14" s="454"/>
      <c r="J14" s="454"/>
      <c r="K14" s="454"/>
      <c r="L14" s="454"/>
      <c r="M14" s="454"/>
      <c r="N14" s="454"/>
      <c r="O14" s="454"/>
      <c r="P14" s="455"/>
      <c r="Q14" s="446">
        <f t="shared" si="0"/>
        <v>5830.80742371425</v>
      </c>
    </row>
    <row r="15" spans="1:17" s="459" customFormat="1">
      <c r="A15" s="456" t="s">
        <v>550</v>
      </c>
      <c r="B15" s="457">
        <f ca="1">SUM(B4:B14)</f>
        <v>78285.122712735771</v>
      </c>
      <c r="C15" s="457">
        <f t="shared" ref="C15:Q15" ca="1" si="1">SUM(C4:C14)</f>
        <v>12947.142857142855</v>
      </c>
      <c r="D15" s="457">
        <f t="shared" ca="1" si="1"/>
        <v>154221.40771746074</v>
      </c>
      <c r="E15" s="457">
        <f t="shared" si="1"/>
        <v>1917.798268735238</v>
      </c>
      <c r="F15" s="457">
        <f t="shared" ca="1" si="1"/>
        <v>56285.448372219747</v>
      </c>
      <c r="G15" s="457">
        <f t="shared" si="1"/>
        <v>62073.305007926705</v>
      </c>
      <c r="H15" s="457">
        <f t="shared" si="1"/>
        <v>11246.928729785091</v>
      </c>
      <c r="I15" s="457">
        <f t="shared" si="1"/>
        <v>0</v>
      </c>
      <c r="J15" s="457">
        <f t="shared" si="1"/>
        <v>1163.6909552331235</v>
      </c>
      <c r="K15" s="457">
        <f t="shared" si="1"/>
        <v>0</v>
      </c>
      <c r="L15" s="457">
        <f t="shared" ca="1" si="1"/>
        <v>0</v>
      </c>
      <c r="M15" s="457">
        <f t="shared" si="1"/>
        <v>3191.4369691984457</v>
      </c>
      <c r="N15" s="457">
        <f t="shared" ca="1" si="1"/>
        <v>9301.305014595895</v>
      </c>
      <c r="O15" s="457">
        <f t="shared" si="1"/>
        <v>109.43333333333334</v>
      </c>
      <c r="P15" s="457">
        <f t="shared" si="1"/>
        <v>305.06666666666666</v>
      </c>
      <c r="Q15" s="457">
        <f t="shared" ca="1" si="1"/>
        <v>391048.08660503349</v>
      </c>
    </row>
    <row r="17" spans="1:17">
      <c r="A17" s="460" t="s">
        <v>551</v>
      </c>
      <c r="B17" s="764">
        <f ca="1">huishoudens!B10</f>
        <v>0.21637012847358761</v>
      </c>
      <c r="C17" s="764">
        <f ca="1">huishoudens!C10</f>
        <v>0.23764705882352938</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8019.9189520930913</v>
      </c>
      <c r="C22" s="447">
        <f t="shared" ref="C22:C32" ca="1" si="3">C4*$C$17</f>
        <v>0</v>
      </c>
      <c r="D22" s="447">
        <f t="shared" ref="D22:D32" si="4">D4*$D$17</f>
        <v>20231.759980875013</v>
      </c>
      <c r="E22" s="447">
        <f t="shared" ref="E22:E32" si="5">E4*$E$17</f>
        <v>234.1546229953812</v>
      </c>
      <c r="F22" s="447">
        <f t="shared" ref="F22:F32" si="6">F4*$F$17</f>
        <v>9401.1365060615863</v>
      </c>
      <c r="G22" s="447">
        <f t="shared" ref="G22:G32" si="7">G4*$G$17</f>
        <v>0</v>
      </c>
      <c r="H22" s="447">
        <f t="shared" ref="H22:H32" si="8">H4*$H$17</f>
        <v>0</v>
      </c>
      <c r="I22" s="447">
        <f t="shared" ref="I22:I32" si="9">I4*$I$17</f>
        <v>0</v>
      </c>
      <c r="J22" s="447">
        <f t="shared" ref="J22:J32" si="10">J4*$J$17</f>
        <v>280.66732163149305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38167.637383656569</v>
      </c>
    </row>
    <row r="23" spans="1:17">
      <c r="A23" s="446" t="s">
        <v>149</v>
      </c>
      <c r="B23" s="447">
        <f t="shared" ca="1" si="2"/>
        <v>4106.2391908614845</v>
      </c>
      <c r="C23" s="447">
        <f t="shared" ca="1" si="3"/>
        <v>0</v>
      </c>
      <c r="D23" s="447">
        <f t="shared" ca="1" si="4"/>
        <v>5176.6569093683029</v>
      </c>
      <c r="E23" s="447">
        <f t="shared" si="5"/>
        <v>77.264671335944712</v>
      </c>
      <c r="F23" s="447">
        <f t="shared" ca="1" si="6"/>
        <v>995.72226368487497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10355.883035250607</v>
      </c>
    </row>
    <row r="24" spans="1:17">
      <c r="A24" s="446" t="s">
        <v>187</v>
      </c>
      <c r="B24" s="447">
        <f t="shared" ca="1" si="2"/>
        <v>225.94796858059945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225.94796858059945</v>
      </c>
    </row>
    <row r="25" spans="1:17">
      <c r="A25" s="446" t="s">
        <v>105</v>
      </c>
      <c r="B25" s="447">
        <f t="shared" ca="1" si="2"/>
        <v>678.66646061846745</v>
      </c>
      <c r="C25" s="447">
        <f t="shared" ca="1" si="3"/>
        <v>3076.8504201680662</v>
      </c>
      <c r="D25" s="447">
        <f t="shared" si="4"/>
        <v>2028.9723093854989</v>
      </c>
      <c r="E25" s="447">
        <f t="shared" si="5"/>
        <v>7.456303087141797</v>
      </c>
      <c r="F25" s="447">
        <f t="shared" si="6"/>
        <v>3585.0169141422512</v>
      </c>
      <c r="G25" s="447">
        <f t="shared" si="7"/>
        <v>0</v>
      </c>
      <c r="H25" s="447">
        <f t="shared" si="8"/>
        <v>0</v>
      </c>
      <c r="I25" s="447">
        <f t="shared" si="9"/>
        <v>0</v>
      </c>
      <c r="J25" s="447">
        <f t="shared" si="10"/>
        <v>99.164766488958463</v>
      </c>
      <c r="K25" s="447">
        <f t="shared" si="11"/>
        <v>0</v>
      </c>
      <c r="L25" s="447">
        <f t="shared" si="12"/>
        <v>0</v>
      </c>
      <c r="M25" s="447">
        <f t="shared" si="13"/>
        <v>0</v>
      </c>
      <c r="N25" s="447">
        <f t="shared" si="14"/>
        <v>0</v>
      </c>
      <c r="O25" s="447">
        <f t="shared" si="15"/>
        <v>0</v>
      </c>
      <c r="P25" s="448">
        <f t="shared" si="16"/>
        <v>0</v>
      </c>
      <c r="Q25" s="446">
        <f t="shared" ca="1" si="17"/>
        <v>9476.1271738903833</v>
      </c>
    </row>
    <row r="26" spans="1:17">
      <c r="A26" s="446" t="s">
        <v>637</v>
      </c>
      <c r="B26" s="447">
        <f t="shared" ca="1" si="2"/>
        <v>3501.9013388742756</v>
      </c>
      <c r="C26" s="447">
        <f t="shared" ca="1" si="3"/>
        <v>0</v>
      </c>
      <c r="D26" s="447">
        <f t="shared" si="4"/>
        <v>2914.592523458592</v>
      </c>
      <c r="E26" s="447">
        <f t="shared" si="5"/>
        <v>36.612225348415492</v>
      </c>
      <c r="F26" s="447">
        <f t="shared" si="6"/>
        <v>1046.3390314939606</v>
      </c>
      <c r="G26" s="447">
        <f t="shared" si="7"/>
        <v>0</v>
      </c>
      <c r="H26" s="447">
        <f t="shared" si="8"/>
        <v>0</v>
      </c>
      <c r="I26" s="447">
        <f t="shared" si="9"/>
        <v>0</v>
      </c>
      <c r="J26" s="447">
        <f t="shared" si="10"/>
        <v>32.114510032074222</v>
      </c>
      <c r="K26" s="447">
        <f t="shared" si="11"/>
        <v>0</v>
      </c>
      <c r="L26" s="447">
        <f t="shared" si="12"/>
        <v>0</v>
      </c>
      <c r="M26" s="447">
        <f t="shared" si="13"/>
        <v>0</v>
      </c>
      <c r="N26" s="447">
        <f t="shared" si="14"/>
        <v>0</v>
      </c>
      <c r="O26" s="447">
        <f t="shared" si="15"/>
        <v>0</v>
      </c>
      <c r="P26" s="448">
        <f t="shared" si="16"/>
        <v>0</v>
      </c>
      <c r="Q26" s="446">
        <f t="shared" ca="1" si="17"/>
        <v>7531.5596292073178</v>
      </c>
    </row>
    <row r="27" spans="1:17" s="452" customFormat="1">
      <c r="A27" s="450" t="s">
        <v>556</v>
      </c>
      <c r="B27" s="758">
        <f t="shared" ca="1" si="2"/>
        <v>0.21469284631588892</v>
      </c>
      <c r="C27" s="451">
        <f t="shared" ca="1" si="3"/>
        <v>0</v>
      </c>
      <c r="D27" s="451">
        <f t="shared" si="4"/>
        <v>0.69256595056406045</v>
      </c>
      <c r="E27" s="451">
        <f t="shared" si="5"/>
        <v>79.852384236015823</v>
      </c>
      <c r="F27" s="451">
        <f t="shared" si="6"/>
        <v>0</v>
      </c>
      <c r="G27" s="451">
        <f t="shared" si="7"/>
        <v>16298.926279044661</v>
      </c>
      <c r="H27" s="451">
        <f t="shared" si="8"/>
        <v>2800.4852537164879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19180.171175794043</v>
      </c>
    </row>
    <row r="28" spans="1:17">
      <c r="A28" s="446" t="s">
        <v>546</v>
      </c>
      <c r="B28" s="447">
        <f t="shared" ca="1" si="2"/>
        <v>1.0259353960199542</v>
      </c>
      <c r="C28" s="447">
        <f t="shared" ca="1" si="3"/>
        <v>0</v>
      </c>
      <c r="D28" s="447">
        <f t="shared" si="4"/>
        <v>0</v>
      </c>
      <c r="E28" s="447">
        <f t="shared" si="5"/>
        <v>0</v>
      </c>
      <c r="F28" s="447">
        <f t="shared" si="6"/>
        <v>0</v>
      </c>
      <c r="G28" s="447">
        <f t="shared" si="7"/>
        <v>274.64615807177012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275.67209346779009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404.64751965495674</v>
      </c>
      <c r="C32" s="447">
        <f t="shared" ca="1" si="3"/>
        <v>0</v>
      </c>
      <c r="D32" s="447">
        <f t="shared" si="4"/>
        <v>800.05006988909611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1204.6975895440528</v>
      </c>
    </row>
    <row r="33" spans="1:17" s="459" customFormat="1">
      <c r="A33" s="456" t="s">
        <v>550</v>
      </c>
      <c r="B33" s="457">
        <f ca="1">SUM(B22:B32)</f>
        <v>16938.562058925214</v>
      </c>
      <c r="C33" s="457">
        <f t="shared" ref="C33:Q33" ca="1" si="19">SUM(C22:C32)</f>
        <v>3076.8504201680662</v>
      </c>
      <c r="D33" s="457">
        <f t="shared" ca="1" si="19"/>
        <v>31152.724358927069</v>
      </c>
      <c r="E33" s="457">
        <f t="shared" si="19"/>
        <v>435.34020700289904</v>
      </c>
      <c r="F33" s="457">
        <f t="shared" ca="1" si="19"/>
        <v>15028.214715382674</v>
      </c>
      <c r="G33" s="457">
        <f t="shared" si="19"/>
        <v>16573.572437116432</v>
      </c>
      <c r="H33" s="457">
        <f t="shared" si="19"/>
        <v>2800.4852537164879</v>
      </c>
      <c r="I33" s="457">
        <f t="shared" si="19"/>
        <v>0</v>
      </c>
      <c r="J33" s="457">
        <f t="shared" si="19"/>
        <v>411.94659815252578</v>
      </c>
      <c r="K33" s="457">
        <f t="shared" si="19"/>
        <v>0</v>
      </c>
      <c r="L33" s="457">
        <f t="shared" ca="1" si="19"/>
        <v>0</v>
      </c>
      <c r="M33" s="457">
        <f t="shared" si="19"/>
        <v>0</v>
      </c>
      <c r="N33" s="457">
        <f t="shared" ca="1" si="19"/>
        <v>0</v>
      </c>
      <c r="O33" s="457">
        <f t="shared" si="19"/>
        <v>0</v>
      </c>
      <c r="P33" s="457">
        <f t="shared" si="19"/>
        <v>0</v>
      </c>
      <c r="Q33" s="457">
        <f t="shared" ca="1" si="19"/>
        <v>86417.69604939135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2322.7255869096948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9062.9999999999982</v>
      </c>
      <c r="D8" s="1006">
        <f>'SEAP template'!D76</f>
        <v>10662.352941176468</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2153.7952941176468</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2322.7255869096948</v>
      </c>
      <c r="C10" s="1010">
        <f>SUM(C4:C9)</f>
        <v>9062.9999999999982</v>
      </c>
      <c r="D10" s="1010">
        <f t="shared" ref="D10:H10" si="0">SUM(D8:D9)</f>
        <v>10662.352941176468</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2153.7952941176468</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0.21637012847358761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12947.142857142855</v>
      </c>
      <c r="D17" s="1007">
        <f>'SEAP template'!D87</f>
        <v>15231.932773109238</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3076.8504201680662</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12947.142857142855</v>
      </c>
      <c r="D20" s="1010">
        <f t="shared" ref="D20:H20" si="2">SUM(D17:D19)</f>
        <v>15231.932773109238</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3076.8504201680662</v>
      </c>
    </row>
    <row r="22" spans="1:16">
      <c r="A22" s="460" t="s">
        <v>910</v>
      </c>
      <c r="B22" s="764" t="s">
        <v>904</v>
      </c>
      <c r="C22" s="764">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0.21637012847358761</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0.21637012847358761</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0.21637012847358761</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6997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3097</v>
      </c>
      <c r="C14" s="326"/>
      <c r="D14" s="326"/>
      <c r="E14" s="326"/>
      <c r="F14" s="326"/>
    </row>
    <row r="15" spans="1:6">
      <c r="A15" s="1280" t="s">
        <v>177</v>
      </c>
      <c r="B15" s="1281">
        <v>614</v>
      </c>
      <c r="C15" s="326"/>
      <c r="D15" s="326"/>
      <c r="E15" s="326"/>
      <c r="F15" s="326"/>
    </row>
    <row r="16" spans="1:6">
      <c r="A16" s="1280" t="s">
        <v>6</v>
      </c>
      <c r="B16" s="1281">
        <v>3301</v>
      </c>
      <c r="C16" s="326"/>
      <c r="D16" s="326"/>
      <c r="E16" s="326"/>
      <c r="F16" s="326"/>
    </row>
    <row r="17" spans="1:6">
      <c r="A17" s="1280" t="s">
        <v>7</v>
      </c>
      <c r="B17" s="1281">
        <v>199</v>
      </c>
      <c r="C17" s="326"/>
      <c r="D17" s="326"/>
      <c r="E17" s="326"/>
      <c r="F17" s="326"/>
    </row>
    <row r="18" spans="1:6">
      <c r="A18" s="1280" t="s">
        <v>8</v>
      </c>
      <c r="B18" s="1281">
        <v>1583</v>
      </c>
      <c r="C18" s="326"/>
      <c r="D18" s="326"/>
      <c r="E18" s="326"/>
      <c r="F18" s="326"/>
    </row>
    <row r="19" spans="1:6">
      <c r="A19" s="1280" t="s">
        <v>9</v>
      </c>
      <c r="B19" s="1281">
        <v>1501</v>
      </c>
      <c r="C19" s="326"/>
      <c r="D19" s="326"/>
      <c r="E19" s="326"/>
      <c r="F19" s="326"/>
    </row>
    <row r="20" spans="1:6">
      <c r="A20" s="1280" t="s">
        <v>10</v>
      </c>
      <c r="B20" s="1281">
        <v>850</v>
      </c>
      <c r="C20" s="326"/>
      <c r="D20" s="326"/>
      <c r="E20" s="326"/>
      <c r="F20" s="326"/>
    </row>
    <row r="21" spans="1:6">
      <c r="A21" s="1280" t="s">
        <v>11</v>
      </c>
      <c r="B21" s="1281">
        <v>8820</v>
      </c>
      <c r="C21" s="326"/>
      <c r="D21" s="326"/>
      <c r="E21" s="326"/>
      <c r="F21" s="326"/>
    </row>
    <row r="22" spans="1:6">
      <c r="A22" s="1280" t="s">
        <v>12</v>
      </c>
      <c r="B22" s="1281">
        <v>19462</v>
      </c>
      <c r="C22" s="326"/>
      <c r="D22" s="326"/>
      <c r="E22" s="326"/>
      <c r="F22" s="326"/>
    </row>
    <row r="23" spans="1:6">
      <c r="A23" s="1280" t="s">
        <v>13</v>
      </c>
      <c r="B23" s="1281">
        <v>385</v>
      </c>
      <c r="C23" s="326"/>
      <c r="D23" s="326"/>
      <c r="E23" s="326"/>
      <c r="F23" s="326"/>
    </row>
    <row r="24" spans="1:6">
      <c r="A24" s="1280" t="s">
        <v>14</v>
      </c>
      <c r="B24" s="1281">
        <v>20</v>
      </c>
      <c r="C24" s="326"/>
      <c r="D24" s="326"/>
      <c r="E24" s="326"/>
      <c r="F24" s="326"/>
    </row>
    <row r="25" spans="1:6">
      <c r="A25" s="1280" t="s">
        <v>15</v>
      </c>
      <c r="B25" s="1281">
        <v>1911</v>
      </c>
      <c r="C25" s="326"/>
      <c r="D25" s="326"/>
      <c r="E25" s="326"/>
      <c r="F25" s="326"/>
    </row>
    <row r="26" spans="1:6">
      <c r="A26" s="1280" t="s">
        <v>16</v>
      </c>
      <c r="B26" s="1281">
        <v>51</v>
      </c>
      <c r="C26" s="326"/>
      <c r="D26" s="326"/>
      <c r="E26" s="326"/>
      <c r="F26" s="326"/>
    </row>
    <row r="27" spans="1:6">
      <c r="A27" s="1280" t="s">
        <v>17</v>
      </c>
      <c r="B27" s="1281">
        <v>335</v>
      </c>
      <c r="C27" s="326"/>
      <c r="D27" s="326"/>
      <c r="E27" s="326"/>
      <c r="F27" s="326"/>
    </row>
    <row r="28" spans="1:6">
      <c r="A28" s="1280" t="s">
        <v>18</v>
      </c>
      <c r="B28" s="1282">
        <v>129864</v>
      </c>
      <c r="C28" s="326"/>
      <c r="D28" s="326"/>
      <c r="E28" s="326"/>
      <c r="F28" s="326"/>
    </row>
    <row r="29" spans="1:6">
      <c r="A29" s="1280" t="s">
        <v>972</v>
      </c>
      <c r="B29" s="1282">
        <v>239</v>
      </c>
      <c r="C29" s="326"/>
      <c r="D29" s="326"/>
      <c r="E29" s="326"/>
      <c r="F29" s="326"/>
    </row>
    <row r="30" spans="1:6">
      <c r="A30" s="1275" t="s">
        <v>973</v>
      </c>
      <c r="B30" s="1283">
        <v>79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199453.91946989301</v>
      </c>
      <c r="E38" s="1281">
        <v>5</v>
      </c>
      <c r="F38" s="1281">
        <v>97915.754531450002</v>
      </c>
    </row>
    <row r="39" spans="1:6">
      <c r="A39" s="1280" t="s">
        <v>29</v>
      </c>
      <c r="B39" s="1280" t="s">
        <v>30</v>
      </c>
      <c r="C39" s="1281">
        <v>5101</v>
      </c>
      <c r="D39" s="1281">
        <v>111039055.02006</v>
      </c>
      <c r="E39" s="1281">
        <v>6816</v>
      </c>
      <c r="F39" s="1281">
        <v>35422022.138605602</v>
      </c>
    </row>
    <row r="40" spans="1:6">
      <c r="A40" s="1280" t="s">
        <v>29</v>
      </c>
      <c r="B40" s="1280" t="s">
        <v>28</v>
      </c>
      <c r="C40" s="1281">
        <v>0</v>
      </c>
      <c r="D40" s="1281">
        <v>0</v>
      </c>
      <c r="E40" s="1281">
        <v>0</v>
      </c>
      <c r="F40" s="1281">
        <v>0</v>
      </c>
    </row>
    <row r="41" spans="1:6">
      <c r="A41" s="1280" t="s">
        <v>31</v>
      </c>
      <c r="B41" s="1280" t="s">
        <v>32</v>
      </c>
      <c r="C41" s="1281">
        <v>62</v>
      </c>
      <c r="D41" s="1281">
        <v>3926675.9014844401</v>
      </c>
      <c r="E41" s="1281">
        <v>140</v>
      </c>
      <c r="F41" s="1281">
        <v>1750068.5371628101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5</v>
      </c>
      <c r="D44" s="1281">
        <v>219579.76762892699</v>
      </c>
      <c r="E44" s="1281">
        <v>10</v>
      </c>
      <c r="F44" s="1281">
        <v>849081.111901636</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3</v>
      </c>
      <c r="D47" s="1281">
        <v>83025.209670009106</v>
      </c>
      <c r="E47" s="1281">
        <v>4</v>
      </c>
      <c r="F47" s="1281">
        <v>122055.54151752499</v>
      </c>
    </row>
    <row r="48" spans="1:6">
      <c r="A48" s="1280" t="s">
        <v>31</v>
      </c>
      <c r="B48" s="1280" t="s">
        <v>28</v>
      </c>
      <c r="C48" s="1281">
        <v>26</v>
      </c>
      <c r="D48" s="1281">
        <v>9904638.3314819206</v>
      </c>
      <c r="E48" s="1281">
        <v>26</v>
      </c>
      <c r="F48" s="1281">
        <v>6727718.5481192302</v>
      </c>
    </row>
    <row r="49" spans="1:6">
      <c r="A49" s="1280" t="s">
        <v>31</v>
      </c>
      <c r="B49" s="1280" t="s">
        <v>39</v>
      </c>
      <c r="C49" s="1281">
        <v>0</v>
      </c>
      <c r="D49" s="1281">
        <v>0</v>
      </c>
      <c r="E49" s="1281">
        <v>0</v>
      </c>
      <c r="F49" s="1281">
        <v>0</v>
      </c>
    </row>
    <row r="50" spans="1:6">
      <c r="A50" s="1280" t="s">
        <v>31</v>
      </c>
      <c r="B50" s="1280" t="s">
        <v>40</v>
      </c>
      <c r="C50" s="1281">
        <v>10</v>
      </c>
      <c r="D50" s="1281">
        <v>1862395.48896519</v>
      </c>
      <c r="E50" s="1281">
        <v>15</v>
      </c>
      <c r="F50" s="1281">
        <v>6735848.9172051996</v>
      </c>
    </row>
    <row r="51" spans="1:6">
      <c r="A51" s="1280" t="s">
        <v>41</v>
      </c>
      <c r="B51" s="1280" t="s">
        <v>42</v>
      </c>
      <c r="C51" s="1281">
        <v>23</v>
      </c>
      <c r="D51" s="1281">
        <v>718842.83928124898</v>
      </c>
      <c r="E51" s="1281">
        <v>104</v>
      </c>
      <c r="F51" s="1281">
        <v>2960397.58033096</v>
      </c>
    </row>
    <row r="52" spans="1:6">
      <c r="A52" s="1280" t="s">
        <v>41</v>
      </c>
      <c r="B52" s="1280" t="s">
        <v>28</v>
      </c>
      <c r="C52" s="1281">
        <v>6</v>
      </c>
      <c r="D52" s="1281">
        <v>39124508.698946297</v>
      </c>
      <c r="E52" s="1281">
        <v>9</v>
      </c>
      <c r="F52" s="1281">
        <v>176202.029819535</v>
      </c>
    </row>
    <row r="53" spans="1:6">
      <c r="A53" s="1280" t="s">
        <v>43</v>
      </c>
      <c r="B53" s="1280" t="s">
        <v>44</v>
      </c>
      <c r="C53" s="1281">
        <v>176</v>
      </c>
      <c r="D53" s="1281">
        <v>3960643.91034206</v>
      </c>
      <c r="E53" s="1281">
        <v>262</v>
      </c>
      <c r="F53" s="1281">
        <v>1870163.5133721901</v>
      </c>
    </row>
    <row r="54" spans="1:6">
      <c r="A54" s="1280" t="s">
        <v>45</v>
      </c>
      <c r="B54" s="1280" t="s">
        <v>46</v>
      </c>
      <c r="C54" s="1281">
        <v>0</v>
      </c>
      <c r="D54" s="1281">
        <v>0</v>
      </c>
      <c r="E54" s="1281">
        <v>1</v>
      </c>
      <c r="F54" s="1281">
        <v>1044266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16</v>
      </c>
      <c r="D57" s="1281">
        <v>400742.085171276</v>
      </c>
      <c r="E57" s="1281">
        <v>101</v>
      </c>
      <c r="F57" s="1281">
        <v>2855872.0309555298</v>
      </c>
    </row>
    <row r="58" spans="1:6">
      <c r="A58" s="1280" t="s">
        <v>48</v>
      </c>
      <c r="B58" s="1280" t="s">
        <v>50</v>
      </c>
      <c r="C58" s="1281">
        <v>11</v>
      </c>
      <c r="D58" s="1281">
        <v>301010.86280302098</v>
      </c>
      <c r="E58" s="1281">
        <v>21</v>
      </c>
      <c r="F58" s="1281">
        <v>384325.94040872599</v>
      </c>
    </row>
    <row r="59" spans="1:6">
      <c r="A59" s="1280" t="s">
        <v>48</v>
      </c>
      <c r="B59" s="1280" t="s">
        <v>51</v>
      </c>
      <c r="C59" s="1281">
        <v>96</v>
      </c>
      <c r="D59" s="1281">
        <v>3377260.7474213601</v>
      </c>
      <c r="E59" s="1281">
        <v>200</v>
      </c>
      <c r="F59" s="1281">
        <v>6859350.7722435798</v>
      </c>
    </row>
    <row r="60" spans="1:6">
      <c r="A60" s="1280" t="s">
        <v>48</v>
      </c>
      <c r="B60" s="1280" t="s">
        <v>52</v>
      </c>
      <c r="C60" s="1281">
        <v>52</v>
      </c>
      <c r="D60" s="1281">
        <v>2530785.9889877099</v>
      </c>
      <c r="E60" s="1281">
        <v>65</v>
      </c>
      <c r="F60" s="1281">
        <v>1699292.92963166</v>
      </c>
    </row>
    <row r="61" spans="1:6">
      <c r="A61" s="1280" t="s">
        <v>48</v>
      </c>
      <c r="B61" s="1280" t="s">
        <v>53</v>
      </c>
      <c r="C61" s="1281">
        <v>205</v>
      </c>
      <c r="D61" s="1281">
        <v>13695312.686341301</v>
      </c>
      <c r="E61" s="1281">
        <v>303</v>
      </c>
      <c r="F61" s="1281">
        <v>3569081.8911790699</v>
      </c>
    </row>
    <row r="62" spans="1:6">
      <c r="A62" s="1280" t="s">
        <v>48</v>
      </c>
      <c r="B62" s="1280" t="s">
        <v>54</v>
      </c>
      <c r="C62" s="1281">
        <v>16</v>
      </c>
      <c r="D62" s="1281">
        <v>3472673.3679074598</v>
      </c>
      <c r="E62" s="1281">
        <v>18</v>
      </c>
      <c r="F62" s="1281">
        <v>513793.48332628602</v>
      </c>
    </row>
    <row r="63" spans="1:6">
      <c r="A63" s="1280" t="s">
        <v>48</v>
      </c>
      <c r="B63" s="1280" t="s">
        <v>28</v>
      </c>
      <c r="C63" s="1281">
        <v>95</v>
      </c>
      <c r="D63" s="1281">
        <v>4633538.4330013301</v>
      </c>
      <c r="E63" s="1281">
        <v>109</v>
      </c>
      <c r="F63" s="1281">
        <v>3096129.9398661698</v>
      </c>
    </row>
    <row r="64" spans="1:6">
      <c r="A64" s="1280" t="s">
        <v>55</v>
      </c>
      <c r="B64" s="1280" t="s">
        <v>56</v>
      </c>
      <c r="C64" s="1281">
        <v>0</v>
      </c>
      <c r="D64" s="1281">
        <v>0</v>
      </c>
      <c r="E64" s="1281">
        <v>0</v>
      </c>
      <c r="F64" s="1281">
        <v>0</v>
      </c>
    </row>
    <row r="65" spans="1:6">
      <c r="A65" s="1280" t="s">
        <v>55</v>
      </c>
      <c r="B65" s="1280" t="s">
        <v>28</v>
      </c>
      <c r="C65" s="1281">
        <v>3</v>
      </c>
      <c r="D65" s="1281">
        <v>71735.692744462795</v>
      </c>
      <c r="E65" s="1281">
        <v>2</v>
      </c>
      <c r="F65" s="1281">
        <v>11292.9302376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181353.85669553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74465467</v>
      </c>
      <c r="E73" s="445"/>
      <c r="F73" s="326"/>
    </row>
    <row r="74" spans="1:6">
      <c r="A74" s="1280" t="s">
        <v>63</v>
      </c>
      <c r="B74" s="1280" t="s">
        <v>754</v>
      </c>
      <c r="C74" s="1293" t="s">
        <v>755</v>
      </c>
      <c r="D74" s="1281">
        <v>4845278.0534616578</v>
      </c>
      <c r="E74" s="445"/>
      <c r="F74" s="326"/>
    </row>
    <row r="75" spans="1:6">
      <c r="A75" s="1280" t="s">
        <v>64</v>
      </c>
      <c r="B75" s="1280" t="s">
        <v>752</v>
      </c>
      <c r="C75" s="1293" t="s">
        <v>756</v>
      </c>
      <c r="D75" s="1281">
        <v>16544008</v>
      </c>
      <c r="E75" s="445"/>
      <c r="F75" s="326"/>
    </row>
    <row r="76" spans="1:6">
      <c r="A76" s="1280" t="s">
        <v>64</v>
      </c>
      <c r="B76" s="1280" t="s">
        <v>754</v>
      </c>
      <c r="C76" s="1293" t="s">
        <v>757</v>
      </c>
      <c r="D76" s="1281">
        <v>617263.0534616576</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282125.89307668468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1643.7179830585887</v>
      </c>
      <c r="C91" s="326"/>
      <c r="D91" s="326"/>
      <c r="E91" s="326"/>
      <c r="F91" s="326"/>
    </row>
    <row r="92" spans="1:6">
      <c r="A92" s="1275" t="s">
        <v>68</v>
      </c>
      <c r="B92" s="1276">
        <v>679.00760385110596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3771</v>
      </c>
      <c r="C97" s="326"/>
      <c r="D97" s="326"/>
      <c r="E97" s="326"/>
      <c r="F97" s="326"/>
    </row>
    <row r="98" spans="1:6">
      <c r="A98" s="1280" t="s">
        <v>71</v>
      </c>
      <c r="B98" s="1281">
        <v>6</v>
      </c>
      <c r="C98" s="326"/>
      <c r="D98" s="326"/>
      <c r="E98" s="326"/>
      <c r="F98" s="326"/>
    </row>
    <row r="99" spans="1:6">
      <c r="A99" s="1280" t="s">
        <v>72</v>
      </c>
      <c r="B99" s="1281">
        <v>60</v>
      </c>
      <c r="C99" s="326"/>
      <c r="D99" s="326"/>
      <c r="E99" s="326"/>
      <c r="F99" s="326"/>
    </row>
    <row r="100" spans="1:6">
      <c r="A100" s="1280" t="s">
        <v>73</v>
      </c>
      <c r="B100" s="1281">
        <v>624</v>
      </c>
      <c r="C100" s="326"/>
      <c r="D100" s="326"/>
      <c r="E100" s="326"/>
      <c r="F100" s="326"/>
    </row>
    <row r="101" spans="1:6">
      <c r="A101" s="1280" t="s">
        <v>74</v>
      </c>
      <c r="B101" s="1281">
        <v>113</v>
      </c>
      <c r="C101" s="326"/>
      <c r="D101" s="326"/>
      <c r="E101" s="326"/>
      <c r="F101" s="326"/>
    </row>
    <row r="102" spans="1:6">
      <c r="A102" s="1280" t="s">
        <v>75</v>
      </c>
      <c r="B102" s="1281">
        <v>88</v>
      </c>
      <c r="C102" s="326"/>
      <c r="D102" s="326"/>
      <c r="E102" s="326"/>
      <c r="F102" s="326"/>
    </row>
    <row r="103" spans="1:6">
      <c r="A103" s="1280" t="s">
        <v>76</v>
      </c>
      <c r="B103" s="1281">
        <v>105</v>
      </c>
      <c r="C103" s="326"/>
      <c r="D103" s="326"/>
      <c r="E103" s="326"/>
      <c r="F103" s="326"/>
    </row>
    <row r="104" spans="1:6">
      <c r="A104" s="1280" t="s">
        <v>77</v>
      </c>
      <c r="B104" s="1281">
        <v>1450</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7</v>
      </c>
      <c r="D123" s="326"/>
      <c r="E123" s="326"/>
      <c r="F123" s="326"/>
    </row>
    <row r="124" spans="1:6">
      <c r="A124" s="1280" t="s">
        <v>88</v>
      </c>
      <c r="B124" s="1281">
        <v>1</v>
      </c>
      <c r="C124" s="1281">
        <v>2</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61</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78285.122712735771</v>
      </c>
      <c r="C3" s="43" t="s">
        <v>163</v>
      </c>
      <c r="D3" s="43"/>
      <c r="E3" s="156"/>
      <c r="F3" s="43"/>
      <c r="G3" s="43"/>
      <c r="H3" s="43"/>
      <c r="I3" s="43"/>
      <c r="J3" s="43"/>
      <c r="K3" s="96"/>
    </row>
    <row r="4" spans="1:11">
      <c r="A4" s="352" t="s">
        <v>164</v>
      </c>
      <c r="B4" s="49">
        <f>IF(ISERROR('SEAP template'!B78+'SEAP template'!C78),0,'SEAP template'!B78+'SEAP template'!C78)</f>
        <v>11385.725586909693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2153.7952941176468</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0.21637012847358761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3076.8504201680662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12947.142857142855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0.23764705882352938</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1044.2660000000001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1044.2660000000001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0.21637012847358761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225.94796858059945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35422.0221386056</v>
      </c>
      <c r="C5" s="17">
        <f>IF(ISERROR('Eigen informatie GS &amp; warmtenet'!B57),0,'Eigen informatie GS &amp; warmtenet'!B57)</f>
        <v>0</v>
      </c>
      <c r="D5" s="30">
        <f>(SUM(HH_hh_gas_kWh,HH_rest_gas_kWh)/1000)*0.902</f>
        <v>100157.22762809412</v>
      </c>
      <c r="E5" s="17">
        <f>B32*B41</f>
        <v>1031.5181629752476</v>
      </c>
      <c r="F5" s="17">
        <f>B36*B45</f>
        <v>35210.249086372984</v>
      </c>
      <c r="G5" s="18"/>
      <c r="H5" s="17"/>
      <c r="I5" s="17"/>
      <c r="J5" s="17">
        <f>B35*B44+C35*C44</f>
        <v>792.84554133190136</v>
      </c>
      <c r="K5" s="17"/>
      <c r="L5" s="17"/>
      <c r="M5" s="17"/>
      <c r="N5" s="17">
        <f>B34*B43+C34*C43</f>
        <v>8167.1398623213563</v>
      </c>
      <c r="O5" s="17">
        <f>B52*B53*B54</f>
        <v>109.43333333333334</v>
      </c>
      <c r="P5" s="17">
        <f>B60*B61*B62/1000-B60*B61*B62/1000/B63</f>
        <v>266.93333333333334</v>
      </c>
    </row>
    <row r="6" spans="1:16">
      <c r="A6" s="16" t="s">
        <v>615</v>
      </c>
      <c r="B6" s="766">
        <f>kWh_PV_kleiner_dan_10kW</f>
        <v>1643.7179830585887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37065.740121664188</v>
      </c>
      <c r="C8" s="21">
        <f>C5</f>
        <v>0</v>
      </c>
      <c r="D8" s="21">
        <f>D5</f>
        <v>100157.22762809412</v>
      </c>
      <c r="E8" s="21">
        <f>E5</f>
        <v>1031.5181629752476</v>
      </c>
      <c r="F8" s="21">
        <f>F5</f>
        <v>35210.249086372984</v>
      </c>
      <c r="G8" s="21"/>
      <c r="H8" s="21"/>
      <c r="I8" s="21"/>
      <c r="J8" s="21">
        <f>J5</f>
        <v>792.84554133190136</v>
      </c>
      <c r="K8" s="21"/>
      <c r="L8" s="21">
        <f>L5</f>
        <v>0</v>
      </c>
      <c r="M8" s="21">
        <f>M5</f>
        <v>0</v>
      </c>
      <c r="N8" s="21">
        <f>N5</f>
        <v>8167.1398623213563</v>
      </c>
      <c r="O8" s="21">
        <f>O5</f>
        <v>109.43333333333334</v>
      </c>
      <c r="P8" s="21">
        <f>P5</f>
        <v>266.93333333333334</v>
      </c>
    </row>
    <row r="9" spans="1:16">
      <c r="B9" s="19"/>
      <c r="C9" s="19"/>
      <c r="D9" s="256"/>
      <c r="E9" s="19"/>
      <c r="F9" s="19"/>
      <c r="G9" s="19"/>
      <c r="H9" s="19"/>
      <c r="I9" s="19"/>
      <c r="J9" s="19"/>
      <c r="K9" s="19"/>
      <c r="L9" s="19"/>
      <c r="M9" s="19"/>
      <c r="N9" s="19"/>
      <c r="O9" s="19"/>
      <c r="P9" s="19"/>
    </row>
    <row r="10" spans="1:16">
      <c r="A10" s="24" t="s">
        <v>207</v>
      </c>
      <c r="B10" s="25">
        <f ca="1">'EF ele_warmte'!B12</f>
        <v>0.21637012847358761</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8019.9189520930913</v>
      </c>
      <c r="C12" s="23">
        <f ca="1">C10*C8</f>
        <v>0</v>
      </c>
      <c r="D12" s="23">
        <f>D8*D10</f>
        <v>20231.759980875013</v>
      </c>
      <c r="E12" s="23">
        <f>E10*E8</f>
        <v>234.1546229953812</v>
      </c>
      <c r="F12" s="23">
        <f>F10*F8</f>
        <v>9401.1365060615863</v>
      </c>
      <c r="G12" s="23"/>
      <c r="H12" s="23"/>
      <c r="I12" s="23"/>
      <c r="J12" s="23">
        <f>J10*J8</f>
        <v>280.66732163149305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6997</v>
      </c>
      <c r="C26" s="36"/>
      <c r="D26" s="226"/>
    </row>
    <row r="27" spans="1:5" s="15" customFormat="1">
      <c r="A27" s="228" t="s">
        <v>695</v>
      </c>
      <c r="B27" s="37">
        <f>SUM(HH_hh_gas_aantal,HH_rest_gas_aantal)</f>
        <v>5101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4845.95</v>
      </c>
      <c r="C31" s="34" t="s">
        <v>104</v>
      </c>
      <c r="D31" s="172"/>
    </row>
    <row r="32" spans="1:5">
      <c r="A32" s="169" t="s">
        <v>72</v>
      </c>
      <c r="B32" s="33">
        <f>IF((B21*($B$26-($B$27-0.05*$B$27)-$B$60))&lt;0,0,B21*($B$26-($B$27-0.05*$B$27)-$B$60))</f>
        <v>15.150762686298844</v>
      </c>
      <c r="C32" s="34" t="s">
        <v>104</v>
      </c>
      <c r="D32" s="172"/>
    </row>
    <row r="33" spans="1:6">
      <c r="A33" s="169" t="s">
        <v>73</v>
      </c>
      <c r="B33" s="33">
        <f>IF((B22*($B$26-($B$27-0.05*$B$27)-$B$60))&lt;0,0,B22*($B$26-($B$27-0.05*$B$27)-$B$60))</f>
        <v>434.21879726106829</v>
      </c>
      <c r="C33" s="34" t="s">
        <v>104</v>
      </c>
      <c r="D33" s="172"/>
    </row>
    <row r="34" spans="1:6">
      <c r="A34" s="169" t="s">
        <v>74</v>
      </c>
      <c r="B34" s="33">
        <f>IF((B24*($B$26-($B$27-0.05*$B$27)-$B$60))&lt;0,0,B24*($B$26-($B$27-0.05*$B$27)-$B$60))</f>
        <v>86.587817136667454</v>
      </c>
      <c r="C34" s="33">
        <f>B26*C24</f>
        <v>1430.7298702658047</v>
      </c>
      <c r="D34" s="231"/>
    </row>
    <row r="35" spans="1:6">
      <c r="A35" s="169" t="s">
        <v>76</v>
      </c>
      <c r="B35" s="33">
        <f>IF((B19*($B$26-($B$27-0.05*$B$27)-$B$60))&lt;0,0,B19*($B$26-($B$27-0.05*$B$27)-$B$60))</f>
        <v>45.09155561398466</v>
      </c>
      <c r="C35" s="33">
        <f>B35/2</f>
        <v>22.54577780699233</v>
      </c>
      <c r="D35" s="231"/>
    </row>
    <row r="36" spans="1:6">
      <c r="A36" s="169" t="s">
        <v>77</v>
      </c>
      <c r="B36" s="33">
        <f>IF((B18*($B$26-($B$27-0.05*$B$27)-$B$60))&lt;0,0,B18*($B$26-($B$27-0.05*$B$27)-$B$60))</f>
        <v>1556.0010673019808</v>
      </c>
      <c r="C36" s="34" t="s">
        <v>104</v>
      </c>
      <c r="D36" s="172"/>
    </row>
    <row r="37" spans="1:6">
      <c r="A37" s="169" t="s">
        <v>78</v>
      </c>
      <c r="B37" s="33">
        <f>B60</f>
        <v>14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18977.846987611021</v>
      </c>
      <c r="C5" s="17">
        <f>IF(ISERROR('Eigen informatie GS &amp; warmtenet'!B58),0,'Eigen informatie GS &amp; warmtenet'!B58)</f>
        <v>0</v>
      </c>
      <c r="D5" s="30">
        <f>SUM(D6:D12)</f>
        <v>25627.01440281338</v>
      </c>
      <c r="E5" s="17">
        <f>SUM(E6:E12)</f>
        <v>340.37300147993267</v>
      </c>
      <c r="F5" s="17">
        <f>SUM(F6:F12)</f>
        <v>3729.2968677336139</v>
      </c>
      <c r="G5" s="18"/>
      <c r="H5" s="17"/>
      <c r="I5" s="17"/>
      <c r="J5" s="17">
        <f>SUM(J6:J12)</f>
        <v>0</v>
      </c>
      <c r="K5" s="17"/>
      <c r="L5" s="17"/>
      <c r="M5" s="17"/>
      <c r="N5" s="17">
        <f>SUM(N6:N12)</f>
        <v>781.66336041082229</v>
      </c>
      <c r="O5" s="17">
        <f>B38*B39*B40</f>
        <v>0</v>
      </c>
      <c r="P5" s="17">
        <f>B46*B47*B48/1000-B46*B47*B48/1000/B49</f>
        <v>38.133333333333333</v>
      </c>
      <c r="R5" s="32"/>
    </row>
    <row r="6" spans="1:18">
      <c r="A6" s="32" t="s">
        <v>53</v>
      </c>
      <c r="B6" s="37">
        <f>B26</f>
        <v>3569.0818911790698</v>
      </c>
      <c r="C6" s="33"/>
      <c r="D6" s="37">
        <f>IF(ISERROR(TER_kantoor_gas_kWh/1000),0,TER_kantoor_gas_kWh/1000)*0.902</f>
        <v>12353.172043079852</v>
      </c>
      <c r="E6" s="33">
        <f>$C$26*'E Balans VL '!I12/100/3.6*1000000</f>
        <v>124.93190605514776</v>
      </c>
      <c r="F6" s="33">
        <f>$C$26*('E Balans VL '!L12+'E Balans VL '!N12)/100/3.6*1000000</f>
        <v>541.14944214007051</v>
      </c>
      <c r="G6" s="34"/>
      <c r="H6" s="33"/>
      <c r="I6" s="33"/>
      <c r="J6" s="33">
        <f>$C$26*('E Balans VL '!D12+'E Balans VL '!E12)/100/3.6*1000000</f>
        <v>0</v>
      </c>
      <c r="K6" s="33"/>
      <c r="L6" s="33"/>
      <c r="M6" s="33"/>
      <c r="N6" s="33">
        <f>$C$26*'E Balans VL '!Y12/100/3.6*1000000</f>
        <v>27.58788592692602</v>
      </c>
      <c r="O6" s="33"/>
      <c r="P6" s="33"/>
      <c r="R6" s="32"/>
    </row>
    <row r="7" spans="1:18">
      <c r="A7" s="32" t="s">
        <v>52</v>
      </c>
      <c r="B7" s="37">
        <f t="shared" ref="B7:B12" si="0">B27</f>
        <v>1699.2929296316599</v>
      </c>
      <c r="C7" s="33"/>
      <c r="D7" s="37">
        <f>IF(ISERROR(TER_horeca_gas_kWh/1000),0,TER_horeca_gas_kWh/1000)*0.902</f>
        <v>2282.7689620669144</v>
      </c>
      <c r="E7" s="33">
        <f>$C$27*'E Balans VL '!I9/100/3.6*1000000</f>
        <v>95.862716324352135</v>
      </c>
      <c r="F7" s="33">
        <f>$C$27*('E Balans VL '!L9+'E Balans VL '!N9)/100/3.6*1000000</f>
        <v>296.02623234964949</v>
      </c>
      <c r="G7" s="34"/>
      <c r="H7" s="33"/>
      <c r="I7" s="33"/>
      <c r="J7" s="33">
        <f>$C$27*('E Balans VL '!D9+'E Balans VL '!E9)/100/3.6*1000000</f>
        <v>0</v>
      </c>
      <c r="K7" s="33"/>
      <c r="L7" s="33"/>
      <c r="M7" s="33"/>
      <c r="N7" s="33">
        <f>$C$27*'E Balans VL '!Y9/100/3.6*1000000</f>
        <v>0</v>
      </c>
      <c r="O7" s="33"/>
      <c r="P7" s="33"/>
      <c r="R7" s="32"/>
    </row>
    <row r="8" spans="1:18">
      <c r="A8" s="6" t="s">
        <v>51</v>
      </c>
      <c r="B8" s="37">
        <f t="shared" si="0"/>
        <v>6859.3507722435797</v>
      </c>
      <c r="C8" s="33"/>
      <c r="D8" s="37">
        <f>IF(ISERROR(TER_handel_gas_kWh/1000),0,TER_handel_gas_kWh/1000)*0.902</f>
        <v>3046.2891941740668</v>
      </c>
      <c r="E8" s="33">
        <f>$C$28*'E Balans VL '!I13/100/3.6*1000000</f>
        <v>35.215209964767467</v>
      </c>
      <c r="F8" s="33">
        <f>$C$28*('E Balans VL '!L13+'E Balans VL '!N13)/100/3.6*1000000</f>
        <v>1057.6059012304008</v>
      </c>
      <c r="G8" s="34"/>
      <c r="H8" s="33"/>
      <c r="I8" s="33"/>
      <c r="J8" s="33">
        <f>$C$28*('E Balans VL '!D13+'E Balans VL '!E13)/100/3.6*1000000</f>
        <v>0</v>
      </c>
      <c r="K8" s="33"/>
      <c r="L8" s="33"/>
      <c r="M8" s="33"/>
      <c r="N8" s="33">
        <f>$C$28*'E Balans VL '!Y13/100/3.6*1000000</f>
        <v>3.208202085824821</v>
      </c>
      <c r="O8" s="33"/>
      <c r="P8" s="33"/>
      <c r="R8" s="32"/>
    </row>
    <row r="9" spans="1:18">
      <c r="A9" s="32" t="s">
        <v>50</v>
      </c>
      <c r="B9" s="37">
        <f t="shared" si="0"/>
        <v>384.32594040872601</v>
      </c>
      <c r="C9" s="33"/>
      <c r="D9" s="37">
        <f>IF(ISERROR(TER_gezond_gas_kWh/1000),0,TER_gezond_gas_kWh/1000)*0.902</f>
        <v>271.51179824832491</v>
      </c>
      <c r="E9" s="33">
        <f>$C$29*'E Balans VL '!I10/100/3.6*1000000</f>
        <v>0.1593003652281654</v>
      </c>
      <c r="F9" s="33">
        <f>$C$29*('E Balans VL '!L10+'E Balans VL '!N10)/100/3.6*1000000</f>
        <v>94.653967153428269</v>
      </c>
      <c r="G9" s="34"/>
      <c r="H9" s="33"/>
      <c r="I9" s="33"/>
      <c r="J9" s="33">
        <f>$C$29*('E Balans VL '!D10+'E Balans VL '!E10)/100/3.6*1000000</f>
        <v>0</v>
      </c>
      <c r="K9" s="33"/>
      <c r="L9" s="33"/>
      <c r="M9" s="33"/>
      <c r="N9" s="33">
        <f>$C$29*'E Balans VL '!Y10/100/3.6*1000000</f>
        <v>3.3215273799199387</v>
      </c>
      <c r="O9" s="33"/>
      <c r="P9" s="33"/>
      <c r="R9" s="32"/>
    </row>
    <row r="10" spans="1:18">
      <c r="A10" s="32" t="s">
        <v>49</v>
      </c>
      <c r="B10" s="37">
        <f t="shared" si="0"/>
        <v>2855.8720309555297</v>
      </c>
      <c r="C10" s="33"/>
      <c r="D10" s="37">
        <f>IF(ISERROR(TER_ander_gas_kWh/1000),0,TER_ander_gas_kWh/1000)*0.902</f>
        <v>361.46936082449099</v>
      </c>
      <c r="E10" s="33">
        <f>$C$30*'E Balans VL '!I14/100/3.6*1000000</f>
        <v>17.409466362771486</v>
      </c>
      <c r="F10" s="33">
        <f>$C$30*('E Balans VL '!L14+'E Balans VL '!N14)/100/3.6*1000000</f>
        <v>757.13079641544607</v>
      </c>
      <c r="G10" s="34"/>
      <c r="H10" s="33"/>
      <c r="I10" s="33"/>
      <c r="J10" s="33">
        <f>$C$30*('E Balans VL '!D14+'E Balans VL '!E14)/100/3.6*1000000</f>
        <v>0</v>
      </c>
      <c r="K10" s="33"/>
      <c r="L10" s="33"/>
      <c r="M10" s="33"/>
      <c r="N10" s="33">
        <f>$C$30*'E Balans VL '!Y14/100/3.6*1000000</f>
        <v>658.21679228283961</v>
      </c>
      <c r="O10" s="33"/>
      <c r="P10" s="33"/>
      <c r="R10" s="32"/>
    </row>
    <row r="11" spans="1:18">
      <c r="A11" s="32" t="s">
        <v>54</v>
      </c>
      <c r="B11" s="37">
        <f t="shared" si="0"/>
        <v>513.79348332628604</v>
      </c>
      <c r="C11" s="33"/>
      <c r="D11" s="37">
        <f>IF(ISERROR(TER_onderwijs_gas_kWh/1000),0,TER_onderwijs_gas_kWh/1000)*0.902</f>
        <v>3132.3513778525289</v>
      </c>
      <c r="E11" s="33">
        <f>$C$31*'E Balans VL '!I11/100/3.6*1000000</f>
        <v>0.39153738780393982</v>
      </c>
      <c r="F11" s="33">
        <f>$C$31*('E Balans VL '!L11+'E Balans VL '!N11)/100/3.6*1000000</f>
        <v>371.80912158934069</v>
      </c>
      <c r="G11" s="34"/>
      <c r="H11" s="33"/>
      <c r="I11" s="33"/>
      <c r="J11" s="33">
        <f>$C$31*('E Balans VL '!D11+'E Balans VL '!E11)/100/3.6*1000000</f>
        <v>0</v>
      </c>
      <c r="K11" s="33"/>
      <c r="L11" s="33"/>
      <c r="M11" s="33"/>
      <c r="N11" s="33">
        <f>$C$31*'E Balans VL '!Y11/100/3.6*1000000</f>
        <v>1.5142721897675244</v>
      </c>
      <c r="O11" s="33"/>
      <c r="P11" s="33"/>
      <c r="R11" s="32"/>
    </row>
    <row r="12" spans="1:18">
      <c r="A12" s="32" t="s">
        <v>249</v>
      </c>
      <c r="B12" s="37">
        <f t="shared" si="0"/>
        <v>3096.1299398661699</v>
      </c>
      <c r="C12" s="33"/>
      <c r="D12" s="37">
        <f>IF(ISERROR(TER_rest_gas_kWh/1000),0,TER_rest_gas_kWh/1000)*0.902</f>
        <v>4179.4516665671999</v>
      </c>
      <c r="E12" s="33">
        <f>$C$32*'E Balans VL '!I8/100/3.6*1000000</f>
        <v>66.402865019861736</v>
      </c>
      <c r="F12" s="33">
        <f>$C$32*('E Balans VL '!L8+'E Balans VL '!N8)/100/3.6*1000000</f>
        <v>610.92140685527806</v>
      </c>
      <c r="G12" s="34"/>
      <c r="H12" s="33"/>
      <c r="I12" s="33"/>
      <c r="J12" s="33">
        <f>$C$32*('E Balans VL '!D8+'E Balans VL '!E8)/100/3.6*1000000</f>
        <v>0</v>
      </c>
      <c r="K12" s="33"/>
      <c r="L12" s="33"/>
      <c r="M12" s="33"/>
      <c r="N12" s="33">
        <f>$C$32*'E Balans VL '!Y8/100/3.6*1000000</f>
        <v>87.814680545544306</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18977.846987611021</v>
      </c>
      <c r="C16" s="21">
        <f ca="1">C5+C13+C14</f>
        <v>0</v>
      </c>
      <c r="D16" s="21">
        <f t="shared" ref="D16:N16" ca="1" si="1">MAX((D5+D13+D14),0)</f>
        <v>25627.01440281338</v>
      </c>
      <c r="E16" s="21">
        <f t="shared" si="1"/>
        <v>340.37300147993267</v>
      </c>
      <c r="F16" s="21">
        <f t="shared" ca="1" si="1"/>
        <v>3729.2968677336139</v>
      </c>
      <c r="G16" s="21">
        <f t="shared" si="1"/>
        <v>0</v>
      </c>
      <c r="H16" s="21">
        <f t="shared" si="1"/>
        <v>0</v>
      </c>
      <c r="I16" s="21">
        <f t="shared" si="1"/>
        <v>0</v>
      </c>
      <c r="J16" s="21">
        <f t="shared" si="1"/>
        <v>0</v>
      </c>
      <c r="K16" s="21">
        <f t="shared" si="1"/>
        <v>0</v>
      </c>
      <c r="L16" s="21">
        <f t="shared" ca="1" si="1"/>
        <v>0</v>
      </c>
      <c r="M16" s="21">
        <f t="shared" si="1"/>
        <v>0</v>
      </c>
      <c r="N16" s="21">
        <f t="shared" ca="1" si="1"/>
        <v>781.66336041082229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0.21637012847358761</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4106.2391908614845</v>
      </c>
      <c r="C20" s="23">
        <f t="shared" ref="C20:P20" ca="1" si="2">C16*C18</f>
        <v>0</v>
      </c>
      <c r="D20" s="23">
        <f t="shared" ca="1" si="2"/>
        <v>5176.6569093683029</v>
      </c>
      <c r="E20" s="23">
        <f t="shared" si="2"/>
        <v>77.264671335944712</v>
      </c>
      <c r="F20" s="23">
        <f t="shared" ca="1" si="2"/>
        <v>995.72226368487497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3569.0818911790698</v>
      </c>
      <c r="C26" s="39">
        <f>IF(ISERROR(B26*3.6/1000000/'E Balans VL '!Z12*100),0,B26*3.6/1000000/'E Balans VL '!Z12*100)</f>
        <v>7.5105409523075151E-2</v>
      </c>
      <c r="D26" s="234" t="s">
        <v>700</v>
      </c>
      <c r="F26" s="6"/>
    </row>
    <row r="27" spans="1:18">
      <c r="A27" s="229" t="s">
        <v>52</v>
      </c>
      <c r="B27" s="33">
        <f>IF(ISERROR(TER_horeca_ele_kWh/1000),0,TER_horeca_ele_kWh/1000)</f>
        <v>1699.2929296316599</v>
      </c>
      <c r="C27" s="39">
        <f>IF(ISERROR(B27*3.6/1000000/'E Balans VL '!Z9*100),0,B27*3.6/1000000/'E Balans VL '!Z9*100)</f>
        <v>0.14387435738299958</v>
      </c>
      <c r="D27" s="234" t="s">
        <v>700</v>
      </c>
      <c r="F27" s="6"/>
    </row>
    <row r="28" spans="1:18">
      <c r="A28" s="169" t="s">
        <v>51</v>
      </c>
      <c r="B28" s="33">
        <f>IF(ISERROR(TER_handel_ele_kWh/1000),0,TER_handel_ele_kWh/1000)</f>
        <v>6859.3507722435797</v>
      </c>
      <c r="C28" s="39">
        <f>IF(ISERROR(B28*3.6/1000000/'E Balans VL '!Z13*100),0,B28*3.6/1000000/'E Balans VL '!Z13*100)</f>
        <v>0.18990017762508452</v>
      </c>
      <c r="D28" s="234" t="s">
        <v>700</v>
      </c>
      <c r="F28" s="6"/>
    </row>
    <row r="29" spans="1:18">
      <c r="A29" s="229" t="s">
        <v>50</v>
      </c>
      <c r="B29" s="33">
        <f>IF(ISERROR(TER_gezond_ele_kWh/1000),0,TER_gezond_ele_kWh/1000)</f>
        <v>384.32594040872601</v>
      </c>
      <c r="C29" s="39">
        <f>IF(ISERROR(B29*3.6/1000000/'E Balans VL '!Z10*100),0,B29*3.6/1000000/'E Balans VL '!Z10*100)</f>
        <v>4.9958111503325332E-2</v>
      </c>
      <c r="D29" s="234" t="s">
        <v>700</v>
      </c>
      <c r="F29" s="6"/>
    </row>
    <row r="30" spans="1:18">
      <c r="A30" s="229" t="s">
        <v>49</v>
      </c>
      <c r="B30" s="33">
        <f>IF(ISERROR(TER_ander_ele_kWh/1000),0,TER_ander_ele_kWh/1000)</f>
        <v>2855.8720309555297</v>
      </c>
      <c r="C30" s="39">
        <f>IF(ISERROR(B30*3.6/1000000/'E Balans VL '!Z14*100),0,B30*3.6/1000000/'E Balans VL '!Z14*100)</f>
        <v>0.22135627274628469</v>
      </c>
      <c r="D30" s="234" t="s">
        <v>700</v>
      </c>
      <c r="F30" s="6"/>
    </row>
    <row r="31" spans="1:18">
      <c r="A31" s="229" t="s">
        <v>54</v>
      </c>
      <c r="B31" s="33">
        <f>IF(ISERROR(TER_onderwijs_ele_kWh/1000),0,TER_onderwijs_ele_kWh/1000)</f>
        <v>513.79348332628604</v>
      </c>
      <c r="C31" s="39">
        <f>IF(ISERROR(B31*3.6/1000000/'E Balans VL '!Z11*100),0,B31*3.6/1000000/'E Balans VL '!Z11*100)</f>
        <v>9.8297448216002892E-2</v>
      </c>
      <c r="D31" s="234" t="s">
        <v>700</v>
      </c>
    </row>
    <row r="32" spans="1:18">
      <c r="A32" s="229" t="s">
        <v>249</v>
      </c>
      <c r="B32" s="33">
        <f>IF(ISERROR(TER_rest_ele_kWh/1000),0,TER_rest_ele_kWh/1000)</f>
        <v>3096.1299398661699</v>
      </c>
      <c r="C32" s="39">
        <f>IF(ISERROR(B32*3.6/1000000/'E Balans VL '!Z8*100),0,B32*3.6/1000000/'E Balans VL '!Z8*100)</f>
        <v>2.552996892056322E-2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16184.772655906401</v>
      </c>
      <c r="C5" s="17">
        <f>IF(ISERROR('Eigen informatie GS &amp; warmtenet'!B59),0,'Eigen informatie GS &amp; warmtenet'!B59)</f>
        <v>0</v>
      </c>
      <c r="D5" s="30">
        <f>SUM(D6:D15)</f>
        <v>14428.675858705901</v>
      </c>
      <c r="E5" s="17">
        <f>SUM(E6:E15)</f>
        <v>161.28733633663211</v>
      </c>
      <c r="F5" s="17">
        <f>SUM(F6:F15)</f>
        <v>3918.8727771309386</v>
      </c>
      <c r="G5" s="18"/>
      <c r="H5" s="17"/>
      <c r="I5" s="17"/>
      <c r="J5" s="17">
        <f>SUM(J6:J15)</f>
        <v>90.718954892865042</v>
      </c>
      <c r="K5" s="17"/>
      <c r="L5" s="17"/>
      <c r="M5" s="17"/>
      <c r="N5" s="17">
        <f>SUM(N6:N15)</f>
        <v>352.50179186371673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849.08111190163595</v>
      </c>
      <c r="C8" s="33"/>
      <c r="D8" s="37">
        <f>IF( ISERROR(IND_metaal_Gas_kWH/1000),0,IND_metaal_Gas_kWH/1000)*0.902</f>
        <v>198.06095040129216</v>
      </c>
      <c r="E8" s="33">
        <f>C30*'E Balans VL '!I18/100/3.6*1000000</f>
        <v>5.9663056320833014</v>
      </c>
      <c r="F8" s="33">
        <f>C30*'E Balans VL '!L18/100/3.6*1000000+C30*'E Balans VL '!N18/100/3.6*1000000</f>
        <v>93.224138473340048</v>
      </c>
      <c r="G8" s="34"/>
      <c r="H8" s="33"/>
      <c r="I8" s="33"/>
      <c r="J8" s="40">
        <f>C30*'E Balans VL '!D18/100/3.6*1000000+C30*'E Balans VL '!E18/100/3.6*1000000</f>
        <v>17.518373440973448</v>
      </c>
      <c r="K8" s="33"/>
      <c r="L8" s="33"/>
      <c r="M8" s="33"/>
      <c r="N8" s="33">
        <f>C30*'E Balans VL '!Y18/100/3.6*1000000</f>
        <v>3.1824171581634193</v>
      </c>
      <c r="O8" s="33"/>
      <c r="P8" s="33"/>
      <c r="R8" s="32"/>
    </row>
    <row r="9" spans="1:18">
      <c r="A9" s="6" t="s">
        <v>32</v>
      </c>
      <c r="B9" s="37">
        <f t="shared" si="0"/>
        <v>1750.0685371628101</v>
      </c>
      <c r="C9" s="33"/>
      <c r="D9" s="37">
        <f>IF( ISERROR(IND_andere_gas_kWh/1000),0,IND_andere_gas_kWh/1000)*0.902</f>
        <v>3541.861663138965</v>
      </c>
      <c r="E9" s="33">
        <f>C31*'E Balans VL '!I19/100/3.6*1000000</f>
        <v>29.394544984058417</v>
      </c>
      <c r="F9" s="33">
        <f>C31*'E Balans VL '!L19/100/3.6*1000000+C31*'E Balans VL '!N19/100/3.6*1000000</f>
        <v>1368.1039058926081</v>
      </c>
      <c r="G9" s="34"/>
      <c r="H9" s="33"/>
      <c r="I9" s="33"/>
      <c r="J9" s="40">
        <f>C31*'E Balans VL '!D19/100/3.6*1000000+C31*'E Balans VL '!E19/100/3.6*1000000</f>
        <v>0.15784073352348255</v>
      </c>
      <c r="K9" s="33"/>
      <c r="L9" s="33"/>
      <c r="M9" s="33"/>
      <c r="N9" s="33">
        <f>C31*'E Balans VL '!Y19/100/3.6*1000000</f>
        <v>129.7081559815874</v>
      </c>
      <c r="O9" s="33"/>
      <c r="P9" s="33"/>
      <c r="R9" s="32"/>
    </row>
    <row r="10" spans="1:18">
      <c r="A10" s="6" t="s">
        <v>40</v>
      </c>
      <c r="B10" s="37">
        <f t="shared" si="0"/>
        <v>6735.8489172051995</v>
      </c>
      <c r="C10" s="33"/>
      <c r="D10" s="37">
        <f>IF( ISERROR(IND_voed_gas_kWh/1000),0,IND_voed_gas_kWh/1000)*0.902</f>
        <v>1679.8807310466013</v>
      </c>
      <c r="E10" s="33">
        <f>C32*'E Balans VL '!I20/100/3.6*1000000</f>
        <v>61.455086438697265</v>
      </c>
      <c r="F10" s="33">
        <f>C32*'E Balans VL '!L20/100/3.6*1000000+C32*'E Balans VL '!N20/100/3.6*1000000</f>
        <v>1086.7031153696121</v>
      </c>
      <c r="G10" s="34"/>
      <c r="H10" s="33"/>
      <c r="I10" s="33"/>
      <c r="J10" s="40">
        <f>C32*'E Balans VL '!D20/100/3.6*1000000+C32*'E Balans VL '!E20/100/3.6*1000000</f>
        <v>27.7426420773694</v>
      </c>
      <c r="K10" s="33"/>
      <c r="L10" s="33"/>
      <c r="M10" s="33"/>
      <c r="N10" s="33">
        <f>C32*'E Balans VL '!Y20/100/3.6*1000000</f>
        <v>98.540158292771693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122.055541517525</v>
      </c>
      <c r="C13" s="33"/>
      <c r="D13" s="37">
        <f>IF( ISERROR(IND_papier_gas_kWh/1000),0,IND_papier_gas_kWh/1000)*0.902</f>
        <v>74.888739122348213</v>
      </c>
      <c r="E13" s="33">
        <f>C35*'E Balans VL '!I23/100/3.6*1000000</f>
        <v>3.7553304759005499</v>
      </c>
      <c r="F13" s="33">
        <f>C35*'E Balans VL '!L23/100/3.6*1000000+C35*'E Balans VL '!N23/100/3.6*1000000</f>
        <v>25.916657053325405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6727.71854811923</v>
      </c>
      <c r="C15" s="33"/>
      <c r="D15" s="37">
        <f>IF( ISERROR(IND_rest_gas_kWh/1000),0,IND_rest_gas_kWh/1000)*0.902</f>
        <v>8933.9837749966937</v>
      </c>
      <c r="E15" s="33">
        <f>C37*'E Balans VL '!I15/100/3.6*1000000</f>
        <v>60.71606880589259</v>
      </c>
      <c r="F15" s="33">
        <f>C37*'E Balans VL '!L15/100/3.6*1000000+C37*'E Balans VL '!N15/100/3.6*1000000</f>
        <v>1344.9249603420528</v>
      </c>
      <c r="G15" s="34"/>
      <c r="H15" s="33"/>
      <c r="I15" s="33"/>
      <c r="J15" s="40">
        <f>C37*'E Balans VL '!D15/100/3.6*1000000+C37*'E Balans VL '!E15/100/3.6*1000000</f>
        <v>45.300098640998705</v>
      </c>
      <c r="K15" s="33"/>
      <c r="L15" s="33"/>
      <c r="M15" s="33"/>
      <c r="N15" s="33">
        <f>C37*'E Balans VL '!Y15/100/3.6*1000000</f>
        <v>121.07106043119423</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16184.772655906401</v>
      </c>
      <c r="C18" s="21">
        <f>C5+C16</f>
        <v>0</v>
      </c>
      <c r="D18" s="21">
        <f>MAX((D5+D16),0)</f>
        <v>14428.675858705901</v>
      </c>
      <c r="E18" s="21">
        <f>MAX((E5+E16),0)</f>
        <v>161.28733633663211</v>
      </c>
      <c r="F18" s="21">
        <f>MAX((F5+F16),0)</f>
        <v>3918.8727771309386</v>
      </c>
      <c r="G18" s="21"/>
      <c r="H18" s="21"/>
      <c r="I18" s="21"/>
      <c r="J18" s="21">
        <f>MAX((J5+J16),0)</f>
        <v>90.718954892865042</v>
      </c>
      <c r="K18" s="21"/>
      <c r="L18" s="21">
        <f>MAX((L5+L16),0)</f>
        <v>0</v>
      </c>
      <c r="M18" s="21"/>
      <c r="N18" s="21">
        <f>MAX((N5+N16),0)</f>
        <v>352.50179186371673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0.21637012847358761</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3501.9013388742756</v>
      </c>
      <c r="C22" s="23">
        <f ca="1">C18*C20</f>
        <v>0</v>
      </c>
      <c r="D22" s="23">
        <f>D18*D20</f>
        <v>2914.592523458592</v>
      </c>
      <c r="E22" s="23">
        <f>E18*E20</f>
        <v>36.612225348415492</v>
      </c>
      <c r="F22" s="23">
        <f>F18*F20</f>
        <v>1046.3390314939606</v>
      </c>
      <c r="G22" s="23"/>
      <c r="H22" s="23"/>
      <c r="I22" s="23"/>
      <c r="J22" s="23">
        <f>J18*J20</f>
        <v>32.114510032074222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849.08111190163595</v>
      </c>
      <c r="C30" s="39">
        <f>IF(ISERROR(B30*3.6/1000000/'E Balans VL '!Z18*100),0,B30*3.6/1000000/'E Balans VL '!Z18*100)</f>
        <v>5.6523848111667573E-2</v>
      </c>
      <c r="D30" s="234" t="s">
        <v>700</v>
      </c>
    </row>
    <row r="31" spans="1:18">
      <c r="A31" s="6" t="s">
        <v>32</v>
      </c>
      <c r="B31" s="37">
        <f>IF( ISERROR(IND_ander_ele_kWh/1000),0,IND_ander_ele_kWh/1000)</f>
        <v>1750.0685371628101</v>
      </c>
      <c r="C31" s="39">
        <f>IF(ISERROR(B31*3.6/1000000/'E Balans VL '!Z19*100),0,B31*3.6/1000000/'E Balans VL '!Z19*100)</f>
        <v>7.7573602823827609E-2</v>
      </c>
      <c r="D31" s="234" t="s">
        <v>700</v>
      </c>
    </row>
    <row r="32" spans="1:18">
      <c r="A32" s="169" t="s">
        <v>40</v>
      </c>
      <c r="B32" s="37">
        <f>IF( ISERROR(IND_voed_ele_kWh/1000),0,IND_voed_ele_kWh/1000)</f>
        <v>6735.8489172051995</v>
      </c>
      <c r="C32" s="39">
        <f>IF(ISERROR(B32*3.6/1000000/'E Balans VL '!Z20*100),0,B32*3.6/1000000/'E Balans VL '!Z20*100)</f>
        <v>0.22499667648435751</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122.055541517525</v>
      </c>
      <c r="C35" s="39">
        <f>IF(ISERROR(B35*3.6/1000000/'E Balans VL '!Z22*100),0,B35*3.6/1000000/'E Balans VL '!Z22*100)</f>
        <v>2.3738462121245262E-2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6727.71854811923</v>
      </c>
      <c r="C37" s="39">
        <f>IF(ISERROR(B37*3.6/1000000/'E Balans VL '!Z15*100),0,B37*3.6/1000000/'E Balans VL '!Z15*100)</f>
        <v>5.0043265606948613E-2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3136.5996101504952</v>
      </c>
      <c r="C5" s="17">
        <f>'Eigen informatie GS &amp; warmtenet'!B60</f>
        <v>0</v>
      </c>
      <c r="D5" s="30">
        <f>IF(ISERROR(SUM(LB_lb_gas_kWh,LB_rest_gas_kWh)/1000),0,SUM(LB_lb_gas_kWh,LB_rest_gas_kWh)/1000)*0.902</f>
        <v>35938.703087481248</v>
      </c>
      <c r="E5" s="17">
        <f>B17*'E Balans VL '!I25/3.6*1000000/100</f>
        <v>32.847150163620249</v>
      </c>
      <c r="F5" s="17">
        <f>B17*('E Balans VL '!L25/3.6*1000000+'E Balans VL '!N25/3.6*1000000)/100</f>
        <v>13427.029640982213</v>
      </c>
      <c r="G5" s="18"/>
      <c r="H5" s="17"/>
      <c r="I5" s="17"/>
      <c r="J5" s="17">
        <f>('E Balans VL '!D25+'E Balans VL '!E25)/3.6*1000000*landbouw!B17/100</f>
        <v>280.12645900835724</v>
      </c>
      <c r="K5" s="17"/>
      <c r="L5" s="17">
        <f>L6*(-1)</f>
        <v>0</v>
      </c>
      <c r="M5" s="17"/>
      <c r="N5" s="17">
        <f>N6*(-1)</f>
        <v>0</v>
      </c>
      <c r="O5" s="17"/>
      <c r="P5" s="17"/>
      <c r="R5" s="32"/>
    </row>
    <row r="6" spans="1:18">
      <c r="A6" s="16" t="s">
        <v>483</v>
      </c>
      <c r="B6" s="17" t="s">
        <v>204</v>
      </c>
      <c r="C6" s="17">
        <f>'lokale energieproductie'!O39+'lokale energieproductie'!O32</f>
        <v>12947.142857142855</v>
      </c>
      <c r="D6" s="304">
        <f>('lokale energieproductie'!P32+'lokale energieproductie'!P39)*(-1)</f>
        <v>-25894.28571428571</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3136.5996101504952</v>
      </c>
      <c r="C8" s="21">
        <f>C5+C6</f>
        <v>12947.142857142855</v>
      </c>
      <c r="D8" s="21">
        <f>MAX((D5+D6),0)</f>
        <v>10044.417373195538</v>
      </c>
      <c r="E8" s="21">
        <f>MAX((E5+E6),0)</f>
        <v>32.847150163620249</v>
      </c>
      <c r="F8" s="21">
        <f>MAX((F5+F6),0)</f>
        <v>13427.029640982213</v>
      </c>
      <c r="G8" s="21"/>
      <c r="H8" s="21"/>
      <c r="I8" s="21"/>
      <c r="J8" s="21">
        <f>MAX((J5+J6),0)</f>
        <v>280.12645900835724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0.21637012847358761</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678.66646061846745</v>
      </c>
      <c r="C12" s="23">
        <f ca="1">C8*C10</f>
        <v>3076.8504201680662</v>
      </c>
      <c r="D12" s="23">
        <f>D8*D10</f>
        <v>2028.9723093854989</v>
      </c>
      <c r="E12" s="23">
        <f>E8*E10</f>
        <v>7.456303087141797</v>
      </c>
      <c r="F12" s="23">
        <f>F8*F10</f>
        <v>3585.0169141422512</v>
      </c>
      <c r="G12" s="23"/>
      <c r="H12" s="23"/>
      <c r="I12" s="23"/>
      <c r="J12" s="23">
        <f>J8*J10</f>
        <v>99.164766488958463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0.48278322756373193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633.6234522382199</v>
      </c>
      <c r="C26" s="244">
        <f>B26*'GWP N2O_CH4'!B5</f>
        <v>13306.092497002617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253.70246050502132</v>
      </c>
      <c r="C27" s="244">
        <f>B27*'GWP N2O_CH4'!B5</f>
        <v>5327.7516706054475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8.5643990088568618</v>
      </c>
      <c r="C28" s="244">
        <f>B28*'GWP N2O_CH4'!B4</f>
        <v>2654.9636927456272</v>
      </c>
      <c r="D28" s="50"/>
    </row>
    <row r="29" spans="1:4">
      <c r="A29" s="41" t="s">
        <v>266</v>
      </c>
      <c r="B29" s="244">
        <f>B34*'ha_N2O bodem landbouw'!B4</f>
        <v>27.863902146909961</v>
      </c>
      <c r="C29" s="244">
        <f>B29*'GWP N2O_CH4'!B4</f>
        <v>8637.8096655420886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4.6048757858175183E-3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3.5720931174265471E-6</v>
      </c>
      <c r="C5" s="433" t="s">
        <v>204</v>
      </c>
      <c r="D5" s="418">
        <f>SUM(D6:D11)</f>
        <v>1.2342759515003055E-5</v>
      </c>
      <c r="E5" s="418">
        <f>SUM(E6:E11)</f>
        <v>1.2663814240072993E-3</v>
      </c>
      <c r="F5" s="431" t="s">
        <v>204</v>
      </c>
      <c r="G5" s="418">
        <f>SUM(G6:G11)</f>
        <v>0.21976080376239993</v>
      </c>
      <c r="H5" s="418">
        <f>SUM(H6:H11)</f>
        <v>4.048894342722633E-2</v>
      </c>
      <c r="I5" s="433" t="s">
        <v>204</v>
      </c>
      <c r="J5" s="433" t="s">
        <v>204</v>
      </c>
      <c r="K5" s="433" t="s">
        <v>204</v>
      </c>
      <c r="L5" s="433" t="s">
        <v>204</v>
      </c>
      <c r="M5" s="418">
        <f>SUM(M6:M11)</f>
        <v>1.13306208171457E-2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2.8297993970635959E-6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8.9597702014840336E-6</v>
      </c>
      <c r="E6" s="421">
        <f>vkm_GW_PW*SUMIFS(TableVerdeelsleutelVkm[LPG],TableVerdeelsleutelVkm[Voertuigtype],"Lichte voertuigen")*SUMIFS(TableECFTransport[EnergieConsumptieFactor (PJ per km)],TableECFTransport[Index],CONCATENATE($A6,"_LPG_LPG"))</f>
        <v>9.3368596583179103E-4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0.12436720340966637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2.9835423557169075E-2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6.7308143519952792E-3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1.007602788878764E-7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4.5420432685023694E-2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1.22975736652749E-6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1.9567311276049095E-3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6.2869710953958445E-7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3.3829893135190209E-6</v>
      </c>
      <c r="E8" s="421">
        <f>vkm_NGW_PW*SUMIFS(TableVerdeelsleutelVkm[LPG],TableVerdeelsleutelVkm[Voertuigtype],"Lichte voertuigen")*SUMIFS(TableECFTransport[EnergieConsumptieFactor (PJ per km)],TableECFTransport[Index],CONCATENATE($A8,"_LPG_LPG"))</f>
        <v>3.3269545817550837E-4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4.1958198399219514E-2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1.0652101014463622E-2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2.2977884129502645E-3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1.2836331935490017E-8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8.0149692684903517E-3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1.8909822710705493E-7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3.4528692459524524E-4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0.99224808817404087</v>
      </c>
      <c r="C14" s="21"/>
      <c r="D14" s="21">
        <f t="shared" ref="D14:M14" si="0">((D5)*10^9/3600)+D12</f>
        <v>3.4285443097230712</v>
      </c>
      <c r="E14" s="21">
        <f t="shared" si="0"/>
        <v>351.77261777980539</v>
      </c>
      <c r="F14" s="21"/>
      <c r="G14" s="21">
        <f t="shared" si="0"/>
        <v>61044.667711777751</v>
      </c>
      <c r="H14" s="21">
        <f t="shared" si="0"/>
        <v>11246.928729785091</v>
      </c>
      <c r="I14" s="21"/>
      <c r="J14" s="21"/>
      <c r="K14" s="21"/>
      <c r="L14" s="21"/>
      <c r="M14" s="21">
        <f t="shared" si="0"/>
        <v>3147.3946714293611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0.21637012847358761</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0.21469284631588892</v>
      </c>
      <c r="C18" s="23"/>
      <c r="D18" s="23">
        <f t="shared" ref="D18:M18" si="1">D14*D16</f>
        <v>0.69256595056406045</v>
      </c>
      <c r="E18" s="23">
        <f t="shared" si="1"/>
        <v>79.852384236015823</v>
      </c>
      <c r="F18" s="23"/>
      <c r="G18" s="23">
        <f t="shared" si="1"/>
        <v>16298.926279044661</v>
      </c>
      <c r="H18" s="23">
        <f t="shared" si="1"/>
        <v>2800.4852537164879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1.7069673395894326E-5</v>
      </c>
      <c r="C50" s="315">
        <f t="shared" ref="C50:P50" si="2">SUM(C51:C52)</f>
        <v>0</v>
      </c>
      <c r="D50" s="315">
        <f t="shared" si="2"/>
        <v>0</v>
      </c>
      <c r="E50" s="315">
        <f t="shared" si="2"/>
        <v>0</v>
      </c>
      <c r="F50" s="315">
        <f t="shared" si="2"/>
        <v>0</v>
      </c>
      <c r="G50" s="315">
        <f t="shared" si="2"/>
        <v>3.7030942661362264E-3</v>
      </c>
      <c r="H50" s="315">
        <f t="shared" si="2"/>
        <v>0</v>
      </c>
      <c r="I50" s="315">
        <f t="shared" si="2"/>
        <v>0</v>
      </c>
      <c r="J50" s="315">
        <f t="shared" si="2"/>
        <v>0</v>
      </c>
      <c r="K50" s="315">
        <f t="shared" si="2"/>
        <v>0</v>
      </c>
      <c r="L50" s="315">
        <f t="shared" si="2"/>
        <v>0</v>
      </c>
      <c r="M50" s="315">
        <f t="shared" si="2"/>
        <v>1.5855227196870383E-4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1.7069673395894326E-5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3.7030942661362264E-3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1.5855227196870383E-4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4.741575943303979</v>
      </c>
      <c r="C54" s="21">
        <f t="shared" ref="C54:P54" si="3">(C50)*10^9/3600</f>
        <v>0</v>
      </c>
      <c r="D54" s="21">
        <f t="shared" si="3"/>
        <v>0</v>
      </c>
      <c r="E54" s="21">
        <f t="shared" si="3"/>
        <v>0</v>
      </c>
      <c r="F54" s="21">
        <f t="shared" si="3"/>
        <v>0</v>
      </c>
      <c r="G54" s="21">
        <f t="shared" si="3"/>
        <v>1028.6372961489517</v>
      </c>
      <c r="H54" s="21">
        <f t="shared" si="3"/>
        <v>0</v>
      </c>
      <c r="I54" s="21">
        <f t="shared" si="3"/>
        <v>0</v>
      </c>
      <c r="J54" s="21">
        <f t="shared" si="3"/>
        <v>0</v>
      </c>
      <c r="K54" s="21">
        <f t="shared" si="3"/>
        <v>0</v>
      </c>
      <c r="L54" s="21">
        <f t="shared" si="3"/>
        <v>0</v>
      </c>
      <c r="M54" s="21">
        <f t="shared" si="3"/>
        <v>44.042297769084399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0.21637012847358761</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1.0259353960199542</v>
      </c>
      <c r="C58" s="23">
        <f t="shared" ref="C58:P58" ca="1" si="4">C54*C56</f>
        <v>0</v>
      </c>
      <c r="D58" s="23">
        <f t="shared" si="4"/>
        <v>0</v>
      </c>
      <c r="E58" s="23">
        <f t="shared" si="4"/>
        <v>0</v>
      </c>
      <c r="F58" s="23">
        <f t="shared" si="4"/>
        <v>0</v>
      </c>
      <c r="G58" s="23">
        <f t="shared" si="4"/>
        <v>274.64615807177012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2322.7255869096948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9062.9999999999982</v>
      </c>
      <c r="C8" s="544">
        <f>B48</f>
        <v>10662.352941176468</v>
      </c>
      <c r="D8" s="963"/>
      <c r="E8" s="963">
        <f>E48</f>
        <v>0</v>
      </c>
      <c r="F8" s="964"/>
      <c r="G8" s="545"/>
      <c r="H8" s="963">
        <f>I48</f>
        <v>0</v>
      </c>
      <c r="I8" s="963">
        <f>G48+F48</f>
        <v>0</v>
      </c>
      <c r="J8" s="963">
        <f>H48+D48+C48</f>
        <v>0</v>
      </c>
      <c r="K8" s="963"/>
      <c r="L8" s="963"/>
      <c r="M8" s="963"/>
      <c r="N8" s="546"/>
      <c r="O8" s="547">
        <f>C8*$C$12+D8*$D$12+E8*$E$12+F8*$F$12+G8*$G$12+H8*$H$12+I8*$I$12+J8*$J$12</f>
        <v>2153.7952941176468</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11385.725586909693</v>
      </c>
      <c r="C10" s="556">
        <f t="shared" ref="C10:L10" si="0">SUM(C8:C9)</f>
        <v>10662.352941176468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2153.7952941176468</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12947.142857142855</v>
      </c>
      <c r="C17" s="568">
        <f>B49</f>
        <v>15231.932773109238</v>
      </c>
      <c r="D17" s="569"/>
      <c r="E17" s="569">
        <f>E49</f>
        <v>0</v>
      </c>
      <c r="F17" s="570"/>
      <c r="G17" s="571"/>
      <c r="H17" s="568">
        <f>I49</f>
        <v>0</v>
      </c>
      <c r="I17" s="569">
        <f>G49+F49</f>
        <v>0</v>
      </c>
      <c r="J17" s="569">
        <f>H49+D49+C49</f>
        <v>0</v>
      </c>
      <c r="K17" s="569"/>
      <c r="L17" s="569"/>
      <c r="M17" s="569"/>
      <c r="N17" s="959"/>
      <c r="O17" s="572">
        <f>C17*$C$22+E17*$E$22+H17*$H$22+I17*$I$22+J17*$J$22+D17*$D$22+F17*$F$22+G17*$G$22+K17*$K$22+L17*$L$22</f>
        <v>3076.8504201680662</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12947.142857142855</v>
      </c>
      <c r="C20" s="555">
        <f>SUM(C17:C19)</f>
        <v>15231.932773109238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3076.8504201680662</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11022</v>
      </c>
      <c r="C28" s="775">
        <v>2920</v>
      </c>
      <c r="D28" s="628"/>
      <c r="E28" s="627"/>
      <c r="F28" s="627"/>
      <c r="G28" s="627" t="s">
        <v>977</v>
      </c>
      <c r="H28" s="627" t="s">
        <v>978</v>
      </c>
      <c r="I28" s="627"/>
      <c r="J28" s="774"/>
      <c r="K28" s="774"/>
      <c r="L28" s="627" t="s">
        <v>979</v>
      </c>
      <c r="M28" s="627">
        <v>2014</v>
      </c>
      <c r="N28" s="627">
        <v>9062.9999999999982</v>
      </c>
      <c r="O28" s="627">
        <v>12947.142857142855</v>
      </c>
      <c r="P28" s="627">
        <v>25894.28571428571</v>
      </c>
      <c r="Q28" s="627">
        <v>0</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2014</v>
      </c>
      <c r="N29" s="585">
        <f>SUM(N28:N28)</f>
        <v>9062.9999999999982</v>
      </c>
      <c r="O29" s="585">
        <f>SUM(O28:O28)</f>
        <v>12947.142857142855</v>
      </c>
      <c r="P29" s="585">
        <f>SUM(P28:P28)</f>
        <v>25894.28571428571</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2014</v>
      </c>
      <c r="N32" s="590">
        <f>SUMIF($Z$28:$Z$28,"landbouw",N28:N28)</f>
        <v>9062.9999999999982</v>
      </c>
      <c r="O32" s="590">
        <f>SUMIF($Z$28:$Z$28,"landbouw",O28:O28)</f>
        <v>12947.142857142855</v>
      </c>
      <c r="P32" s="590">
        <f>SUMIF($Z$28:$Z$28,"landbouw",P28:P28)</f>
        <v>25894.28571428571</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10662.352941176468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15231.932773109238</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2021-11-11T13:39:53Z</dcterms:modified>
</cp:coreProperties>
</file>