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0" i="13"/>
  <c r="C12" i="13" s="1"/>
  <c r="D41" i="14" s="1"/>
  <c r="D46" i="14" s="1"/>
  <c r="D61" i="14" s="1"/>
  <c r="D63" i="14" s="1"/>
  <c r="C29" i="20"/>
  <c r="C56" i="22"/>
  <c r="C58" i="22" s="1"/>
  <c r="D49" i="14" s="1"/>
  <c r="D52" i="14" s="1"/>
  <c r="C17" i="49"/>
  <c r="C18" i="15"/>
  <c r="C20" i="15" s="1"/>
  <c r="D40"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<sst xmlns="http://schemas.openxmlformats.org/spreadsheetml/2006/main" count="2462" uniqueCount="891">
  <si>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</si>
  <si>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</si>
  <si>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</si>
  <si>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</si>
  <si>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</si>
  <si>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</si>
  <si>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</si>
  <si>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</si>
  <si>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</si>
  <si>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</si>
  <si>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</si>
  <si>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</si>
  <si>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</si>
  <si>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</si>
  <si>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</si>
  <si>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</si>
  <si>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</si>
  <si>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</si>
  <si>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</si>
  <si>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</si>
  <si>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</si>
  <si>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</si>
  <si>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</si>
  <si>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</si>
  <si>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</si>
  <si>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</si>
  <si>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</si>
  <si>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</si>
  <si>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</si>
  <si>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</si>
  <si>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</si>
  <si>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</si>
  <si>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</si>
  <si>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</si>
  <si>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</si>
  <si>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</si>
  <si>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</si>
  <si>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</si>
  <si>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</si>
  <si>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</si>
  <si>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</si>
  <si>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</si>
  <si>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</si>
  <si>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</si>
  <si>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</si>
  <si>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</si>
  <si>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</si>
  <si>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</si>
  <si>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</si>
  <si>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</si>
  <si>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</si>
  <si>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</si>
  <si>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</si>
  <si>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</si>
  <si>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</si>
  <si>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</si>
  <si>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</si>
  <si>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</si>
  <si>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</si>
  <si>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</si>
  <si>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</si>
  <si>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</si>
  <si>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</si>
  <si>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</si>
  <si>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</si>
  <si>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</si>
  <si>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</si>
  <si>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</si>
  <si>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</si>
  <si>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</si>
  <si>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</si>
  <si>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</si>
  <si>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</si>
  <si>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</si>
  <si>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</si>
  <si>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</si>
  <si>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</si>
  <si>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</si>
  <si>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</si>
  <si>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</si>
  <si>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</si>
  <si>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</si>
  <si>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</si>
  <si>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</si>
  <si>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</si>
  <si>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</si>
  <si>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</si>
  <si>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</si>
  <si>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</si>
  <si>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</si>
  <si>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</si>
  <si>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</si>
  <si>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</si>
  <si>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</si>
  <si>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</si>
  <si>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</si>
  <si>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</si>
  <si>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</si>
  <si>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</si>
  <si>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</si>
  <si>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</si>
  <si>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</si>
  <si>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</si>
  <si>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</si>
  <si>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</si>
  <si>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</si>
  <si>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</si>
  <si>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</si>
  <si>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</si>
  <si>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</si>
  <si>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</si>
  <si>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</si>
  <si>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</si>
  <si>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</si>
  <si>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</si>
  <si>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</si>
  <si>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</si>
  <si>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</si>
  <si>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</si>
  <si>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</si>
  <si>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</si>
  <si>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</si>
  <si>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</si>
  <si>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</si>
  <si>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</si>
  <si>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</si>
  <si>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</si>
  <si>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</si>
  <si>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</si>
  <si>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</si>
  <si>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</si>
  <si>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</si>
  <si>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</si>
  <si>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</si>
  <si>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</si>
  <si>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</si>
  <si>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</si>
  <si>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</si>
  <si>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</si>
  <si>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</si>
  <si>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</si>
  <si>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</si>
  <si>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</si>
  <si>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</si>
  <si>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</si>
  <si>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</si>
  <si>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</si>
  <si>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</si>
  <si>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</si>
  <si>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</si>
  <si>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</si>
  <si>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</si>
  <si>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</si>
  <si>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</si>
  <si>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</si>
  <si>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</si>
  <si>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</si>
  <si>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</si>
  <si>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</si>
  <si>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</si>
  <si>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</si>
  <si>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</si>
  <si>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</si>
  <si>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</si>
  <si>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</si>
  <si>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</si>
  <si>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</si>
  <si>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</si>
  <si>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</si>
  <si>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</si>
  <si>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</si>
  <si>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</si>
  <si>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</si>
  <si>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</si>
  <si>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</si>
  <si>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</si>
  <si>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</si>
  <si>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</si>
  <si>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</si>
  <si>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</si>
  <si>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</si>
  <si>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</si>
  <si>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</si>
  <si>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</si>
  <si>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</si>
  <si>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</si>
  <si>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</si>
  <si>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</si>
  <si>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</si>
  <si>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</si>
  <si>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</si>
  <si>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</si>
  <si>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</si>
  <si>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</si>
  <si>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</si>
  <si>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</si>
  <si>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</si>
  <si>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</si>
  <si>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</si>
  <si>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</si>
  <si>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</si>
  <si>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</si>
  <si>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</si>
  <si>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</si>
  <si>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</si>
  <si>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</si>
  <si>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</si>
  <si>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</si>
  <si>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</si>
  <si>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</si>
  <si>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</si>
  <si>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</si>
  <si>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</si>
  <si>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</si>
  <si>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</si>
  <si>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</si>
  <si>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</si>
  <si>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</si>
  <si>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</si>
  <si>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</si>
  <si>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</si>
  <si>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</si>
  <si>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</si>
  <si>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</si>
  <si>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</si>
  <si>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</si>
  <si>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</si>
  <si>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</si>
  <si>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</si>
  <si>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</si>
  <si>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</si>
  <si>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</si>
  <si>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</si>
  <si>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</si>
  <si>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</si>
  <si>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</si>
  <si>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</si>
  <si>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</si>
  <si>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</si>
  <si>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</si>
  <si>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</si>
  <si>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</si>
  <si>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</si>
  <si>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</si>
  <si>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</si>
  <si>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</si>
  <si>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</si>
  <si>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</si>
  <si>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</si>
  <si>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</si>
  <si>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</si>
  <si>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</si>
  <si>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</si>
  <si>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</si>
  <si>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</si>
  <si>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</si>
  <si>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</si>
  <si>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</si>
  <si>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</si>
  <si>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</si>
  <si>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</si>
  <si>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</si>
  <si>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</si>
  <si>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</si>
  <si>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</si>
  <si>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</si>
  <si>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</si>
  <si>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</si>
  <si>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</si>
  <si>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</si>
  <si>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</si>
  <si>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</si>
  <si>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</si>
  <si>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</si>
  <si>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</si>
  <si>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</si>
  <si>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</si>
  <si>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</si>
  <si>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</si>
  <si>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</si>
  <si>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</si>
  <si>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</si>
  <si>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</si>
  <si>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</si>
  <si>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</si>
  <si>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</si>
  <si>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</si>
  <si>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</si>
  <si>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</si>
  <si>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</si>
  <si>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</si>
  <si>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</si>
  <si>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</si>
  <si>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</si>
  <si>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</si>
  <si>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</si>
  <si>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</si>
  <si>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</si>
  <si>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</si>
  <si>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</si>
  <si>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</si>
  <si>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</si>
  <si>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</si>
  <si>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</si>
  <si>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</si>
  <si>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</si>
  <si>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</si>
  <si>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</si>
  <si>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</si>
  <si>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</si>
  <si>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</si>
  <si>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</si>
  <si>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</si>
  <si>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</si>
  <si>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</si>
  <si>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</si>
  <si>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</si>
  <si>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</si>
  <si>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</si>
  <si>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</si>
  <si>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</si>
  <si>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</si>
  <si>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</si>
  <si>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</si>
  <si>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</si>
  <si>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</si>
  <si>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</si>
  <si>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</si>
  <si>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</si>
  <si>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</si>
  <si>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</si>
  <si>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</si>
  <si>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</si>
  <si>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</si>
  <si>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</si>
  <si>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</si>
  <si>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</si>
  <si>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</si>
  <si>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</si>
  <si>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</si>
  <si>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</si>
  <si>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</si>
  <si>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</si>
  <si>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</si>
  <si>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</si>
  <si>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</si>
  <si>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</si>
  <si>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</si>
  <si>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</si>
  <si>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</si>
  <si>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</si>
  <si>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</si>
  <si>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</si>
  <si>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</si>
  <si>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</si>
  <si>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</si>
  <si>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</si>
  <si>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</si>
  <si>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</si>
  <si>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</si>
  <si>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</si>
  <si>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</si>
  <si>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</si>
  <si>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</si>
  <si>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</si>
  <si>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</si>
  <si>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</si>
  <si>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</si>
  <si>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</si>
  <si>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</si>
  <si>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</si>
  <si>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</si>
  <si>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</si>
  <si>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</si>
  <si>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</si>
  <si>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</si>
  <si>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</si>
  <si>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</si>
  <si>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</si>
  <si>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</si>
  <si>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</si>
  <si>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</si>
  <si>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</si>
  <si>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</si>
  <si>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</si>
  <si>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</si>
  <si>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</si>
  <si>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</si>
  <si>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</si>
  <si>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</si>
  <si>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</si>
  <si>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</si>
  <si>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</si>
  <si>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</si>
  <si>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</si>
  <si>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</si>
  <si>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</si>
  <si>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</si>
  <si>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</si>
  <si>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</si>
  <si>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</si>
  <si>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</si>
  <si>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</si>
  <si>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</si>
  <si>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</si>
  <si>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</si>
  <si>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</si>
  <si>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</si>
  <si>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</si>
  <si>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</si>
  <si>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</si>
  <si>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</si>
  <si>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</si>
  <si>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</si>
  <si>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</si>
  <si>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</si>
  <si>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</si>
  <si>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</si>
  <si>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</si>
  <si>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</si>
  <si>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</si>
  <si>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</si>
  <si>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</si>
  <si>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</si>
  <si>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</si>
  <si>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</si>
  <si>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</si>
  <si>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</si>
  <si>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</si>
  <si>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</si>
  <si>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</si>
  <si>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</si>
  <si>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</si>
  <si>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</si>
  <si>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</si>
  <si>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</si>
  <si>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</si>
  <si>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</si>
  <si>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</si>
  <si>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</si>
  <si>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</si>
  <si>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</si>
  <si>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</si>
  <si>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</si>
  <si>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</si>
  <si>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</si>
  <si>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</si>
  <si>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</si>
  <si>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</si>
  <si>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</si>
  <si>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</si>
  <si>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</si>
  <si>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</si>
  <si>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</si>
  <si>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</si>
  <si>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</si>
  <si>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</si>
  <si>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</si>
  <si>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</si>
  <si>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</si>
  <si>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</si>
  <si>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</si>
  <si>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</si>
  <si>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</si>
  <si>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</si>
  <si>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</si>
  <si>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</si>
  <si>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</si>
  <si>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</si>
  <si>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</si>
  <si>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</si>
  <si>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</si>
  <si>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</si>
  <si>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</si>
  <si>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</si>
  <si>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</si>
  <si>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</si>
  <si>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</si>
  <si>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</si>
  <si>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</si>
  <si>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</si>
  <si>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</si>
  <si>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</si>
  <si>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</si>
  <si>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</si>
  <si>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</si>
  <si>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</si>
  <si>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</si>
  <si>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</si>
  <si>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</si>
  <si>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</si>
  <si>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</si>
  <si>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</si>
  <si>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</si>
  <si>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</si>
  <si>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</si>
  <si>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</si>
  <si>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</si>
  <si>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</si>
  <si>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</si>
  <si>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</si>
  <si>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</si>
  <si>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</si>
  <si>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</si>
  <si>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</si>
  <si>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</si>
  <si>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</si>
  <si>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</si>
  <si>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</si>
  <si>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</si>
  <si>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</si>
  <si>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</si>
  <si>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</si>
  <si>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</si>
  <si>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</si>
  <si>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</si>
  <si>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</si>
  <si>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</si>
  <si>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</si>
  <si>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</si>
  <si>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</si>
  <si>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</si>
  <si>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</si>
  <si>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</si>
  <si>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</si>
  <si>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</si>
  <si>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</si>
  <si>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</si>
  <si>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</si>
  <si>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</si>
  <si>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</si>
  <si>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</si>
  <si>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</si>
  <si>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</si>
  <si>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</si>
  <si>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</si>
  <si>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</si>
  <si>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</si>
  <si>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</si>
  <si>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</si>
  <si>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</si>
  <si>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</si>
  <si>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</si>
  <si>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</si>
  <si>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</si>
  <si>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</si>
  <si>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</si>
  <si>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</si>
  <si>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</si>
  <si>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</si>
  <si>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</si>
  <si>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</si>
  <si>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</si>
  <si>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</si>
  <si>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</si>
  <si>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</si>
  <si>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</si>
  <si>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</si>
  <si>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</si>
  <si>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</si>
  <si>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</si>
  <si>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</si>
  <si>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</si>
  <si>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</si>
  <si>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</si>
  <si>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</si>
  <si>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</si>
  <si>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</si>
  <si>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</si>
  <si>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</si>
  <si>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</si>
  <si>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</si>
  <si>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</si>
  <si>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</si>
  <si>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</si>
  <si>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</si>
  <si>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</si>
  <si>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</si>
  <si>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</si>
  <si>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</si>
  <si>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</si>
  <si>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</si>
  <si>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</si>
  <si>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</si>
  <si>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</si>
  <si>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</si>
  <si>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</si>
  <si>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</si>
  <si>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</si>
  <si>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</si>
  <si>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</si>
  <si>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</si>
  <si>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</si>
  <si>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</si>
  <si>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</si>
  <si>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</si>
  <si>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</si>
  <si>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</si>
  <si>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</si>
  <si>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</si>
  <si>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</si>
  <si>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</si>
  <si>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</si>
  <si>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</si>
  <si>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</si>
  <si>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</si>
  <si>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</si>
  <si>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</si>
  <si>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</si>
  <si>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</si>
  <si>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</si>
  <si>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</si>
  <si>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</si>
  <si>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</si>
  <si>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</si>
  <si>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</si>
  <si>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</si>
  <si>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</si>
  <si>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</si>
  <si>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</si>
  <si>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</si>
  <si>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</si>
  <si>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</si>
  <si>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</si>
  <si>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</si>
  <si>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</si>
  <si>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</si>
  <si>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</si>
  <si>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</si>
  <si>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</si>
  <si>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</si>
  <si>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</si>
  <si>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</si>
  <si>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</si>
  <si>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</si>
  <si>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</si>
  <si>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</si>
  <si>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</si>
  <si>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</si>
  <si>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</si>
  <si>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</si>
  <si>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</si>
  <si>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</si>
  <si>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</si>
  <si>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</si>
  <si>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</si>
  <si>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</si>
  <si>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</si>
  <si>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</si>
  <si>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</si>
  <si>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</si>
  <si>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</si>
  <si>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</si>
  <si>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</si>
  <si>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</si>
  <si>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</si>
  <si>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</si>
  <si>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</si>
  <si>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</si>
  <si>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</si>
  <si>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</si>
  <si>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</si>
  <si>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</si>
  <si>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</si>
  <si>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</si>
  <si>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</si>
  <si>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</si>
  <si>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</si>
  <si>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</si>
  <si>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</si>
  <si>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</si>
  <si>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</si>
  <si>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</si>
  <si>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</si>
  <si>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</si>
  <si>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</si>
  <si>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</si>
  <si>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</si>
  <si>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</si>
  <si>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</si>
  <si>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</si>
  <si>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</si>
  <si>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</si>
  <si>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</si>
  <si>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</si>
  <si>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</si>
  <si>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</si>
  <si>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</si>
  <si>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</si>
  <si>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</si>
  <si>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</si>
  <si>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</si>
  <si>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</si>
  <si>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</si>
  <si>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</si>
  <si>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</si>
  <si>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</si>
  <si>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</si>
  <si>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</si>
  <si>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</si>
  <si>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</si>
  <si>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</si>
  <si>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</si>
  <si>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</si>
  <si>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</si>
  <si>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</si>
  <si>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</si>
  <si>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</si>
  <si>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</si>
  <si>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</si>
  <si>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</si>
  <si>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</si>
  <si>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</si>
  <si>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</si>
  <si>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</si>
  <si>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</si>
  <si>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</si>
  <si>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</si>
  <si>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</si>
  <si>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</si>
  <si>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</si>
  <si>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</si>
  <si>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</si>
  <si>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</si>
  <si>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</si>
  <si>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</si>
  <si>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</si>
  <si>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</si>
  <si>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</si>
  <si>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</si>
  <si>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</si>
  <si>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</si>
  <si>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</si>
  <si>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</si>
  <si>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</si>
  <si>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</si>
  <si>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</si>
  <si>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</si>
  <si>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</si>
  <si>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</si>
  <si>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</si>
  <si>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</si>
  <si>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</si>
  <si>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</si>
  <si>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</si>
  <si>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</si>
  <si>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</si>
  <si>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</si>
  <si>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</si>
  <si>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</si>
  <si>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</si>
  <si>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</si>
  <si>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</si>
  <si>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</si>
  <si>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</si>
  <si>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</si>
  <si>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</si>
  <si>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</si>
  <si>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</si>
  <si>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</si>
  <si>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</si>
  <si>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</si>
  <si>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</si>
  <si>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</si>
  <si>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</si>
  <si>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</si>
  <si>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</si>
  <si>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</si>
  <si>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</si>
  <si>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</si>
  <si>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</si>
  <si>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</si>
  <si>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</si>
  <si>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</si>
  <si>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</si>
  <si>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</si>
  <si>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</si>
  <si>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</si>
  <si>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</si>
  <si>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</si>
  <si>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</si>
  <si>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</si>
  <si>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</si>
  <si>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</si>
  <si>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</si>
  <si>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</si>
  <si>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</si>
  <si>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</si>
  <si>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</si>
  <si>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</si>
  <si>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</si>
  <si>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</si>
  <si>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</si>
  <si>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</si>
  <si>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</si>
  <si>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</si>
  <si>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</si>
  <si>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</si>
  <si>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</si>
  <si>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</si>
  <si>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</si>
  <si>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</si>
  <si>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</si>
  <si>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</si>
  <si>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</si>
  <si>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</si>
  <si>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</si>
  <si>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</si>
  <si>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</si>
  <si>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</si>
  <si>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</si>
  <si>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</si>
  <si>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</si>
  <si>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</si>
  <si>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</si>
  <si>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</si>
  <si>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</si>
  <si>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</si>
  <si>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</si>
  <si>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</si>
  <si>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</si>
  <si>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</si>
  <si>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</si>
  <si>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</si>
  <si>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</si>
  <si>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</si>
  <si>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</si>
  <si>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</si>
  <si>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</si>
  <si>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</si>
  <si>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</si>
  <si>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</si>
  <si>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</si>
  <si>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</si>
  <si>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</si>
  <si>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</si>
  <si>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</si>
  <si>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</si>
  <si>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</si>
  <si>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</si>
  <si>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</si>
  <si>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</si>
  <si>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</si>
  <si>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</si>
  <si>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</si>
  <si>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</si>
  <si>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</si>
  <si>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</si>
  <si>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</si>
  <si>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</si>
  <si>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</si>
  <si>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</si>
  <si>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</si>
  <si>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</si>
  <si>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</si>
  <si>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</si>
  <si>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</si>
  <si>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</si>
  <si>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</si>
  <si>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</si>
  <si>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</si>
  <si>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</si>
  <si>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</si>
  <si>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</si>
  <si>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</si>
  <si>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</si>
  <si>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</si>
  <si>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</si>
  <si>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</si>
  <si>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</si>
  <si>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73083</t>
  </si>
  <si>
    <t>TONGEREN</t>
  </si>
  <si>
    <t>referentietaak LNE (2017); Jaarverslag De Lijn</t>
  </si>
  <si>
    <t>waterkracht</t>
  </si>
  <si>
    <t>Biopower Tongeren NV</t>
  </si>
  <si>
    <t>Michielenweg 1 a, 3700 Tongeren</t>
  </si>
  <si>
    <t>WKK-0460 Biopower Tongeren</t>
  </si>
  <si>
    <t>interne verbrandingsmotor</t>
  </si>
  <si>
    <t>WKK interne verbrandinsgmotor (gas)</t>
  </si>
  <si>
    <t>Inter-Energa</t>
  </si>
  <si>
    <t>AZ Vesalius</t>
  </si>
  <si>
    <t>WKK-0637 AZ Vesalius</t>
  </si>
  <si>
    <t>Hazelereik 51, 3700 Tongeren, BE</t>
  </si>
  <si>
    <t>Inter-energa (via INFRAX)</t>
  </si>
  <si>
    <t>Max Food Service</t>
  </si>
  <si>
    <t>WKK-0902</t>
  </si>
  <si>
    <t>brandstofcel</t>
  </si>
  <si>
    <t>Klein-Malstraat 36 / 2</t>
  </si>
  <si>
    <t>Sinttruidersteenweg</t>
  </si>
  <si>
    <t>WKK-0882</t>
  </si>
  <si>
    <t>Sint-Truidersteenweg 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</si>
</sst>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261057.70530821529</c:v>
                </c:pt>
                <c:pt idx="1">
                  <c:v>133030.35201556722</c:v>
                </c:pt>
                <c:pt idx="2">
                  <c:v>2156.6149460000001</c:v>
                </c:pt>
                <c:pt idx="3">
                  <c:v>28104.537660824</c:v>
                </c:pt>
                <c:pt idx="4">
                  <c:v>42572.829297856741</c:v>
                </c:pt>
                <c:pt idx="5">
                  <c:v>189070.37095155232</c:v>
                </c:pt>
                <c:pt idx="6">
                  <c:v>4957.5522640023773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261057.70530821529</c:v>
                </c:pt>
                <c:pt idx="1">
                  <c:v>133030.35201556722</c:v>
                </c:pt>
                <c:pt idx="2">
                  <c:v>2156.6149460000001</c:v>
                </c:pt>
                <c:pt idx="3">
                  <c:v>28104.537660824</c:v>
                </c:pt>
                <c:pt idx="4">
                  <c:v>42572.829297856741</c:v>
                </c:pt>
                <c:pt idx="5">
                  <c:v>189070.37095155232</c:v>
                </c:pt>
                <c:pt idx="6">
                  <c:v>4957.5522640023773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52440.136136821267</c:v>
                </c:pt>
                <c:pt idx="1">
                  <c:v>24749.29247470597</c:v>
                </c:pt>
                <c:pt idx="2">
                  <c:v>364.30020893172417</c:v>
                </c:pt>
                <c:pt idx="3">
                  <c:v>2965.9242629467822</c:v>
                </c:pt>
                <c:pt idx="4">
                  <c:v>8217.0227540114029</c:v>
                </c:pt>
                <c:pt idx="5">
                  <c:v>46813.075407463541</c:v>
                </c:pt>
                <c:pt idx="6">
                  <c:v>1245.6252100387444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52440.136136821267</c:v>
                </c:pt>
                <c:pt idx="1">
                  <c:v>24749.29247470597</c:v>
                </c:pt>
                <c:pt idx="2">
                  <c:v>364.30020893172417</c:v>
                </c:pt>
                <c:pt idx="3">
                  <c:v>2965.9242629467822</c:v>
                </c:pt>
                <c:pt idx="4">
                  <c:v>8217.0227540114029</c:v>
                </c:pt>
                <c:pt idx="5">
                  <c:v>46813.075407463541</c:v>
                </c:pt>
                <c:pt idx="6">
                  <c:v>1245.6252100387444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73083</v>
      </c>
      <c r="B6" s="386"/>
      <c r="C6" s="387"/>
    </row>
    <row r="7" spans="1:7" s="384" customFormat="1" ht="15.75" customHeight="1">
      <c r="A7" s="388" t="str">
        <f>txtMunicipality</f>
        <v>TONGEREN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55223.427320000003</v>
      </c>
      <c r="D10" s="683">
        <f ca="1">tertiair!C16</f>
        <v>2472.9555984555986</v>
      </c>
      <c r="E10" s="683">
        <f ca="1">tertiair!D16</f>
        <v>64797.208647624924</v>
      </c>
      <c r="F10" s="683">
        <f>tertiair!E16</f>
        <v>223.83245654605952</v>
      </c>
      <c r="G10" s="683">
        <f ca="1">tertiair!F16</f>
        <v>9643.8422563054664</v>
      </c>
      <c r="H10" s="683">
        <f>tertiair!G16</f>
        <v>0</v>
      </c>
      <c r="I10" s="683">
        <f>tertiair!H16</f>
        <v>0</v>
      </c>
      <c r="J10" s="683">
        <f>tertiair!I16</f>
        <v>0</v>
      </c>
      <c r="K10" s="683">
        <f>tertiair!J16</f>
        <v>6.1511190063117241E-2</v>
      </c>
      <c r="L10" s="683">
        <f>tertiair!K16</f>
        <v>0</v>
      </c>
      <c r="M10" s="683">
        <f ca="1">tertiair!L16</f>
        <v>0</v>
      </c>
      <c r="N10" s="683">
        <f>tertiair!M16</f>
        <v>0</v>
      </c>
      <c r="O10" s="683">
        <f ca="1">tertiair!N16</f>
        <v>2400.428804227271</v>
      </c>
      <c r="P10" s="683">
        <f>tertiair!O16</f>
        <v>4.8972607658411542</v>
      </c>
      <c r="Q10" s="684">
        <f>tertiair!P16</f>
        <v>420.31310645196015</v>
      </c>
      <c r="R10" s="686">
        <f ca="1">SUM(C10:Q10)</f>
        <v>135186.96696156717</v>
      </c>
      <c r="S10" s="67"/>
    </row>
    <row r="11" spans="1:19" s="445" customFormat="1">
      <c r="A11" s="804" t="s">
        <v>220</v>
      </c>
      <c r="B11" s="809"/>
      <c r="C11" s="683">
        <f>huishoudens!B8</f>
        <v>49539.019427834457</v>
      </c>
      <c r="D11" s="683">
        <f>huishoudens!C8</f>
        <v>0</v>
      </c>
      <c r="E11" s="683">
        <f>huishoudens!D8</f>
        <v>109346.91708670891</v>
      </c>
      <c r="F11" s="683">
        <f>huishoudens!E8</f>
        <v>3591.9744784725299</v>
      </c>
      <c r="G11" s="683">
        <f>huishoudens!F8</f>
        <v>78687.967059596194</v>
      </c>
      <c r="H11" s="683">
        <f>huishoudens!G8</f>
        <v>0</v>
      </c>
      <c r="I11" s="683">
        <f>huishoudens!H8</f>
        <v>0</v>
      </c>
      <c r="J11" s="683">
        <f>huishoudens!I8</f>
        <v>0</v>
      </c>
      <c r="K11" s="683">
        <f>huishoudens!J8</f>
        <v>448.45133067132485</v>
      </c>
      <c r="L11" s="683">
        <f>huishoudens!K8</f>
        <v>0</v>
      </c>
      <c r="M11" s="683">
        <f>huishoudens!L8</f>
        <v>0</v>
      </c>
      <c r="N11" s="683">
        <f>huishoudens!M8</f>
        <v>0</v>
      </c>
      <c r="O11" s="683">
        <f>huishoudens!N8</f>
        <v>18121.959435096273</v>
      </c>
      <c r="P11" s="683">
        <f>huishoudens!O8</f>
        <v>605.10725691304469</v>
      </c>
      <c r="Q11" s="684">
        <f>huishoudens!P8</f>
        <v>716.30923292258149</v>
      </c>
      <c r="R11" s="686">
        <f>SUM(C11:Q11)</f>
        <v>261057.70530821529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18610.502240999998</v>
      </c>
      <c r="D13" s="683">
        <f>industrie!C18</f>
        <v>0</v>
      </c>
      <c r="E13" s="683">
        <f>industrie!D18</f>
        <v>16817.096906441999</v>
      </c>
      <c r="F13" s="683">
        <f>industrie!E18</f>
        <v>78.9146125546538</v>
      </c>
      <c r="G13" s="683">
        <f>industrie!F18</f>
        <v>6168.8487056331151</v>
      </c>
      <c r="H13" s="683">
        <f>industrie!G18</f>
        <v>0</v>
      </c>
      <c r="I13" s="683">
        <f>industrie!H18</f>
        <v>0</v>
      </c>
      <c r="J13" s="683">
        <f>industrie!I18</f>
        <v>0</v>
      </c>
      <c r="K13" s="683">
        <f>industrie!J18</f>
        <v>31.76664288152676</v>
      </c>
      <c r="L13" s="683">
        <f>industrie!K18</f>
        <v>0</v>
      </c>
      <c r="M13" s="683">
        <f>industrie!L18</f>
        <v>0</v>
      </c>
      <c r="N13" s="683">
        <f>industrie!M18</f>
        <v>0</v>
      </c>
      <c r="O13" s="683">
        <f>industrie!N18</f>
        <v>865.70018934544464</v>
      </c>
      <c r="P13" s="683">
        <f>industrie!O18</f>
        <v>0</v>
      </c>
      <c r="Q13" s="684">
        <f>industrie!P18</f>
        <v>0</v>
      </c>
      <c r="R13" s="686">
        <f>SUM(C13:Q13)</f>
        <v>42572.829297856741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123372.94898883445</v>
      </c>
      <c r="D16" s="719">
        <f t="shared" ref="D16:R16" ca="1" si="0">SUM(D9:D15)</f>
        <v>2472.9555984555986</v>
      </c>
      <c r="E16" s="719">
        <f t="shared" ca="1" si="0"/>
        <v>190961.22264077581</v>
      </c>
      <c r="F16" s="719">
        <f t="shared" si="0"/>
        <v>3894.7215475732432</v>
      </c>
      <c r="G16" s="719">
        <f t="shared" ca="1" si="0"/>
        <v>94500.658021534779</v>
      </c>
      <c r="H16" s="719">
        <f t="shared" si="0"/>
        <v>0</v>
      </c>
      <c r="I16" s="719">
        <f t="shared" si="0"/>
        <v>0</v>
      </c>
      <c r="J16" s="719">
        <f t="shared" si="0"/>
        <v>0</v>
      </c>
      <c r="K16" s="719">
        <f t="shared" si="0"/>
        <v>480.27948474291475</v>
      </c>
      <c r="L16" s="719">
        <f t="shared" si="0"/>
        <v>0</v>
      </c>
      <c r="M16" s="719">
        <f t="shared" ca="1" si="0"/>
        <v>0</v>
      </c>
      <c r="N16" s="719">
        <f t="shared" si="0"/>
        <v>0</v>
      </c>
      <c r="O16" s="719">
        <f t="shared" ca="1" si="0"/>
        <v>21388.088428668987</v>
      </c>
      <c r="P16" s="719">
        <f t="shared" si="0"/>
        <v>610.0045176788858</v>
      </c>
      <c r="Q16" s="719">
        <f t="shared" si="0"/>
        <v>1136.6223393745418</v>
      </c>
      <c r="R16" s="719">
        <f t="shared" ca="1" si="0"/>
        <v>438817.50156763918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73.775788703828979</v>
      </c>
      <c r="D19" s="683">
        <f>transport!C54</f>
        <v>0</v>
      </c>
      <c r="E19" s="683">
        <f>transport!D54</f>
        <v>0</v>
      </c>
      <c r="F19" s="683">
        <f>transport!E54</f>
        <v>0</v>
      </c>
      <c r="G19" s="683">
        <f>transport!F54</f>
        <v>0</v>
      </c>
      <c r="H19" s="683">
        <f>transport!G54</f>
        <v>4618.587412689837</v>
      </c>
      <c r="I19" s="683">
        <f>transport!H54</f>
        <v>0</v>
      </c>
      <c r="J19" s="683">
        <f>transport!I54</f>
        <v>0</v>
      </c>
      <c r="K19" s="683">
        <f>transport!J54</f>
        <v>0</v>
      </c>
      <c r="L19" s="683">
        <f>transport!K54</f>
        <v>0</v>
      </c>
      <c r="M19" s="683">
        <f>transport!L54</f>
        <v>0</v>
      </c>
      <c r="N19" s="683">
        <f>transport!M54</f>
        <v>265.18906260871114</v>
      </c>
      <c r="O19" s="683">
        <f>transport!N54</f>
        <v>0</v>
      </c>
      <c r="P19" s="683">
        <f>transport!O54</f>
        <v>0</v>
      </c>
      <c r="Q19" s="684">
        <f>transport!P54</f>
        <v>0</v>
      </c>
      <c r="R19" s="686">
        <f>SUM(C19:Q19)</f>
        <v>4957.5522640023773</v>
      </c>
      <c r="S19" s="67"/>
    </row>
    <row r="20" spans="1:19" s="445" customFormat="1">
      <c r="A20" s="804" t="s">
        <v>302</v>
      </c>
      <c r="B20" s="809"/>
      <c r="C20" s="683">
        <f>transport!B14</f>
        <v>448.49204789643858</v>
      </c>
      <c r="D20" s="683">
        <f>transport!C14</f>
        <v>0</v>
      </c>
      <c r="E20" s="683">
        <f>transport!D14</f>
        <v>802.81008568562766</v>
      </c>
      <c r="F20" s="683">
        <f>transport!E14</f>
        <v>316.17741676288949</v>
      </c>
      <c r="G20" s="683">
        <f>transport!F14</f>
        <v>0</v>
      </c>
      <c r="H20" s="683">
        <f>transport!G14</f>
        <v>137504.52643901491</v>
      </c>
      <c r="I20" s="683">
        <f>transport!H14</f>
        <v>39315.930360805774</v>
      </c>
      <c r="J20" s="683">
        <f>transport!I14</f>
        <v>0</v>
      </c>
      <c r="K20" s="683">
        <f>transport!J14</f>
        <v>0</v>
      </c>
      <c r="L20" s="683">
        <f>transport!K14</f>
        <v>0</v>
      </c>
      <c r="M20" s="683">
        <f>transport!L14</f>
        <v>0</v>
      </c>
      <c r="N20" s="683">
        <f>transport!M14</f>
        <v>10682.434601386682</v>
      </c>
      <c r="O20" s="683">
        <f>transport!N14</f>
        <v>0</v>
      </c>
      <c r="P20" s="683">
        <f>transport!O14</f>
        <v>0</v>
      </c>
      <c r="Q20" s="684">
        <f>transport!P14</f>
        <v>0</v>
      </c>
      <c r="R20" s="686">
        <f>SUM(C20:Q20)</f>
        <v>189070.37095155232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522.26783660026751</v>
      </c>
      <c r="D22" s="807">
        <f t="shared" ref="D22:R22" si="1">SUM(D18:D21)</f>
        <v>0</v>
      </c>
      <c r="E22" s="807">
        <f t="shared" si="1"/>
        <v>802.81008568562766</v>
      </c>
      <c r="F22" s="807">
        <f t="shared" si="1"/>
        <v>316.17741676288949</v>
      </c>
      <c r="G22" s="807">
        <f t="shared" si="1"/>
        <v>0</v>
      </c>
      <c r="H22" s="807">
        <f t="shared" si="1"/>
        <v>142123.11385170475</v>
      </c>
      <c r="I22" s="807">
        <f t="shared" si="1"/>
        <v>39315.930360805774</v>
      </c>
      <c r="J22" s="807">
        <f t="shared" si="1"/>
        <v>0</v>
      </c>
      <c r="K22" s="807">
        <f t="shared" si="1"/>
        <v>0</v>
      </c>
      <c r="L22" s="807">
        <f t="shared" si="1"/>
        <v>0</v>
      </c>
      <c r="M22" s="807">
        <f t="shared" si="1"/>
        <v>0</v>
      </c>
      <c r="N22" s="807">
        <f t="shared" si="1"/>
        <v>10947.623663995393</v>
      </c>
      <c r="O22" s="807">
        <f t="shared" si="1"/>
        <v>0</v>
      </c>
      <c r="P22" s="807">
        <f t="shared" si="1"/>
        <v>0</v>
      </c>
      <c r="Q22" s="807">
        <f t="shared" si="1"/>
        <v>0</v>
      </c>
      <c r="R22" s="807">
        <f t="shared" si="1"/>
        <v>194027.92321555471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2083.1781209999999</v>
      </c>
      <c r="D24" s="683">
        <f>+landbouw!C8</f>
        <v>18167.142857142859</v>
      </c>
      <c r="E24" s="683">
        <f>+landbouw!D8</f>
        <v>670.59831778800003</v>
      </c>
      <c r="F24" s="683">
        <f>+landbouw!E8</f>
        <v>59.665746768245896</v>
      </c>
      <c r="G24" s="683">
        <f>+landbouw!F8</f>
        <v>6594.2658387305491</v>
      </c>
      <c r="H24" s="683">
        <f>+landbouw!G8</f>
        <v>0</v>
      </c>
      <c r="I24" s="683">
        <f>+landbouw!H8</f>
        <v>0</v>
      </c>
      <c r="J24" s="683">
        <f>+landbouw!I8</f>
        <v>0</v>
      </c>
      <c r="K24" s="683">
        <f>+landbouw!J8</f>
        <v>529.68677939434497</v>
      </c>
      <c r="L24" s="683">
        <f>+landbouw!K8</f>
        <v>0</v>
      </c>
      <c r="M24" s="683">
        <f>+landbouw!L8</f>
        <v>0</v>
      </c>
      <c r="N24" s="683">
        <f>+landbouw!M8</f>
        <v>0</v>
      </c>
      <c r="O24" s="683">
        <f>+landbouw!N8</f>
        <v>0</v>
      </c>
      <c r="P24" s="683">
        <f>+landbouw!O8</f>
        <v>0</v>
      </c>
      <c r="Q24" s="684">
        <f>+landbouw!P8</f>
        <v>0</v>
      </c>
      <c r="R24" s="686">
        <f>SUM(C24:Q24)</f>
        <v>28104.537660824</v>
      </c>
      <c r="S24" s="67"/>
    </row>
    <row r="25" spans="1:19" s="445" customFormat="1" ht="15" thickBot="1">
      <c r="A25" s="826" t="s">
        <v>696</v>
      </c>
      <c r="B25" s="939"/>
      <c r="C25" s="940">
        <f>IF(Onbekend_ele_kWh="---",0,Onbekend_ele_kWh)/1000+IF(REST_rest_ele_kWh="---",0,REST_rest_ele_kWh)/1000</f>
        <v>1820.1580689999998</v>
      </c>
      <c r="D25" s="940"/>
      <c r="E25" s="940">
        <f>IF(onbekend_gas_kWh="---",0,onbekend_gas_kWh)/1000+IF(REST_rest_gas_kWh="---",0,REST_rest_gas_kWh)/1000</f>
        <v>5259.3859390000007</v>
      </c>
      <c r="F25" s="940"/>
      <c r="G25" s="940"/>
      <c r="H25" s="940"/>
      <c r="I25" s="940"/>
      <c r="J25" s="940"/>
      <c r="K25" s="940"/>
      <c r="L25" s="940"/>
      <c r="M25" s="940"/>
      <c r="N25" s="940"/>
      <c r="O25" s="940"/>
      <c r="P25" s="940"/>
      <c r="Q25" s="941"/>
      <c r="R25" s="686">
        <f>SUM(C25:Q25)</f>
        <v>7079.5440080000008</v>
      </c>
      <c r="S25" s="67"/>
    </row>
    <row r="26" spans="1:19" s="445" customFormat="1" ht="15.75" thickBot="1">
      <c r="A26" s="691" t="s">
        <v>697</v>
      </c>
      <c r="B26" s="812"/>
      <c r="C26" s="807">
        <f>SUM(C24:C25)</f>
        <v>3903.33619</v>
      </c>
      <c r="D26" s="807">
        <f t="shared" ref="D26:R26" si="2">SUM(D24:D25)</f>
        <v>18167.142857142859</v>
      </c>
      <c r="E26" s="807">
        <f t="shared" si="2"/>
        <v>5929.9842567880005</v>
      </c>
      <c r="F26" s="807">
        <f t="shared" si="2"/>
        <v>59.665746768245896</v>
      </c>
      <c r="G26" s="807">
        <f t="shared" si="2"/>
        <v>6594.2658387305491</v>
      </c>
      <c r="H26" s="807">
        <f t="shared" si="2"/>
        <v>0</v>
      </c>
      <c r="I26" s="807">
        <f t="shared" si="2"/>
        <v>0</v>
      </c>
      <c r="J26" s="807">
        <f t="shared" si="2"/>
        <v>0</v>
      </c>
      <c r="K26" s="807">
        <f t="shared" si="2"/>
        <v>529.68677939434497</v>
      </c>
      <c r="L26" s="807">
        <f t="shared" si="2"/>
        <v>0</v>
      </c>
      <c r="M26" s="807">
        <f t="shared" si="2"/>
        <v>0</v>
      </c>
      <c r="N26" s="807">
        <f t="shared" si="2"/>
        <v>0</v>
      </c>
      <c r="O26" s="807">
        <f t="shared" si="2"/>
        <v>0</v>
      </c>
      <c r="P26" s="807">
        <f t="shared" si="2"/>
        <v>0</v>
      </c>
      <c r="Q26" s="807">
        <f t="shared" si="2"/>
        <v>0</v>
      </c>
      <c r="R26" s="807">
        <f t="shared" si="2"/>
        <v>35184.081668824001</v>
      </c>
      <c r="S26" s="67"/>
    </row>
    <row r="27" spans="1:19" s="445" customFormat="1" ht="17.25" thickTop="1" thickBot="1">
      <c r="A27" s="692" t="s">
        <v>115</v>
      </c>
      <c r="B27" s="799"/>
      <c r="C27" s="693">
        <f ca="1">C22+C16+C26</f>
        <v>127798.55301543472</v>
      </c>
      <c r="D27" s="693">
        <f t="shared" ref="D27:R27" ca="1" si="3">D22+D16+D26</f>
        <v>20640.098455598458</v>
      </c>
      <c r="E27" s="693">
        <f t="shared" ca="1" si="3"/>
        <v>197694.01698324946</v>
      </c>
      <c r="F27" s="693">
        <f t="shared" si="3"/>
        <v>4270.5647111043791</v>
      </c>
      <c r="G27" s="693">
        <f t="shared" ca="1" si="3"/>
        <v>101094.92386026532</v>
      </c>
      <c r="H27" s="693">
        <f t="shared" si="3"/>
        <v>142123.11385170475</v>
      </c>
      <c r="I27" s="693">
        <f t="shared" si="3"/>
        <v>39315.930360805774</v>
      </c>
      <c r="J27" s="693">
        <f t="shared" si="3"/>
        <v>0</v>
      </c>
      <c r="K27" s="693">
        <f t="shared" si="3"/>
        <v>1009.9662641372597</v>
      </c>
      <c r="L27" s="693">
        <f t="shared" si="3"/>
        <v>0</v>
      </c>
      <c r="M27" s="693">
        <f t="shared" ca="1" si="3"/>
        <v>0</v>
      </c>
      <c r="N27" s="693">
        <f t="shared" si="3"/>
        <v>10947.623663995393</v>
      </c>
      <c r="O27" s="693">
        <f t="shared" ca="1" si="3"/>
        <v>21388.088428668987</v>
      </c>
      <c r="P27" s="693">
        <f t="shared" si="3"/>
        <v>610.0045176788858</v>
      </c>
      <c r="Q27" s="693">
        <f t="shared" si="3"/>
        <v>1136.6223393745418</v>
      </c>
      <c r="R27" s="693">
        <f t="shared" ca="1" si="3"/>
        <v>668029.50645201781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9328.4645680100384</v>
      </c>
      <c r="D40" s="683">
        <f ca="1">tertiair!C20</f>
        <v>70.35434377662277</v>
      </c>
      <c r="E40" s="683">
        <f ca="1">tertiair!D20</f>
        <v>13089.036146820235</v>
      </c>
      <c r="F40" s="683">
        <f>tertiair!E20</f>
        <v>50.809967635955509</v>
      </c>
      <c r="G40" s="683">
        <f ca="1">tertiair!F20</f>
        <v>2574.9058824335598</v>
      </c>
      <c r="H40" s="683">
        <f>tertiair!G20</f>
        <v>0</v>
      </c>
      <c r="I40" s="683">
        <f>tertiair!H20</f>
        <v>0</v>
      </c>
      <c r="J40" s="683">
        <f>tertiair!I20</f>
        <v>0</v>
      </c>
      <c r="K40" s="683">
        <f>tertiair!J20</f>
        <v>2.1774961282343502E-2</v>
      </c>
      <c r="L40" s="683">
        <f>tertiair!K20</f>
        <v>0</v>
      </c>
      <c r="M40" s="683">
        <f ca="1">tertiair!L20</f>
        <v>0</v>
      </c>
      <c r="N40" s="683">
        <f>tertiair!M20</f>
        <v>0</v>
      </c>
      <c r="O40" s="683">
        <f ca="1">tertiair!N20</f>
        <v>0</v>
      </c>
      <c r="P40" s="683">
        <f>tertiair!O20</f>
        <v>0</v>
      </c>
      <c r="Q40" s="766">
        <f>tertiair!P20</f>
        <v>0</v>
      </c>
      <c r="R40" s="845">
        <f t="shared" ca="1" si="4"/>
        <v>25113.592683637693</v>
      </c>
    </row>
    <row r="41" spans="1:18">
      <c r="A41" s="817" t="s">
        <v>220</v>
      </c>
      <c r="B41" s="824"/>
      <c r="C41" s="683">
        <f ca="1">huishoudens!B12</f>
        <v>8368.241702722964</v>
      </c>
      <c r="D41" s="683">
        <f ca="1">huishoudens!C12</f>
        <v>0</v>
      </c>
      <c r="E41" s="683">
        <f>huishoudens!D12</f>
        <v>22088.077251515202</v>
      </c>
      <c r="F41" s="683">
        <f>huishoudens!E12</f>
        <v>815.3782066132643</v>
      </c>
      <c r="G41" s="683">
        <f>huishoudens!F12</f>
        <v>21009.687204912185</v>
      </c>
      <c r="H41" s="683">
        <f>huishoudens!G12</f>
        <v>0</v>
      </c>
      <c r="I41" s="683">
        <f>huishoudens!H12</f>
        <v>0</v>
      </c>
      <c r="J41" s="683">
        <f>huishoudens!I12</f>
        <v>0</v>
      </c>
      <c r="K41" s="683">
        <f>huishoudens!J12</f>
        <v>158.75177105764899</v>
      </c>
      <c r="L41" s="683">
        <f>huishoudens!K12</f>
        <v>0</v>
      </c>
      <c r="M41" s="683">
        <f>huishoudens!L12</f>
        <v>0</v>
      </c>
      <c r="N41" s="683">
        <f>huishoudens!M12</f>
        <v>0</v>
      </c>
      <c r="O41" s="683">
        <f>huishoudens!N12</f>
        <v>0</v>
      </c>
      <c r="P41" s="683">
        <f>huishoudens!O12</f>
        <v>0</v>
      </c>
      <c r="Q41" s="766">
        <f>huishoudens!P12</f>
        <v>0</v>
      </c>
      <c r="R41" s="845">
        <f t="shared" ca="1" si="4"/>
        <v>52440.136136821267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3143.7275658761105</v>
      </c>
      <c r="D43" s="683">
        <f ca="1">industrie!C22</f>
        <v>0</v>
      </c>
      <c r="E43" s="683">
        <f>industrie!D22</f>
        <v>3397.053575101284</v>
      </c>
      <c r="F43" s="683">
        <f>industrie!E22</f>
        <v>17.913617049906414</v>
      </c>
      <c r="G43" s="683">
        <f>industrie!F22</f>
        <v>1647.0826044040418</v>
      </c>
      <c r="H43" s="683">
        <f>industrie!G22</f>
        <v>0</v>
      </c>
      <c r="I43" s="683">
        <f>industrie!H22</f>
        <v>0</v>
      </c>
      <c r="J43" s="683">
        <f>industrie!I22</f>
        <v>0</v>
      </c>
      <c r="K43" s="683">
        <f>industrie!J22</f>
        <v>11.245391580060472</v>
      </c>
      <c r="L43" s="683">
        <f>industrie!K22</f>
        <v>0</v>
      </c>
      <c r="M43" s="683">
        <f>industrie!L22</f>
        <v>0</v>
      </c>
      <c r="N43" s="683">
        <f>industrie!M22</f>
        <v>0</v>
      </c>
      <c r="O43" s="683">
        <f>industrie!N22</f>
        <v>0</v>
      </c>
      <c r="P43" s="683">
        <f>industrie!O22</f>
        <v>0</v>
      </c>
      <c r="Q43" s="766">
        <f>industrie!P22</f>
        <v>0</v>
      </c>
      <c r="R43" s="844">
        <f t="shared" ca="1" si="4"/>
        <v>8217.0227540114029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20840.433836609114</v>
      </c>
      <c r="D46" s="719">
        <f t="shared" ref="D46:Q46" ca="1" si="5">SUM(D39:D45)</f>
        <v>70.35434377662277</v>
      </c>
      <c r="E46" s="719">
        <f t="shared" ca="1" si="5"/>
        <v>38574.166973436724</v>
      </c>
      <c r="F46" s="719">
        <f t="shared" si="5"/>
        <v>884.10179129912626</v>
      </c>
      <c r="G46" s="719">
        <f t="shared" ca="1" si="5"/>
        <v>25231.675691749784</v>
      </c>
      <c r="H46" s="719">
        <f t="shared" si="5"/>
        <v>0</v>
      </c>
      <c r="I46" s="719">
        <f t="shared" si="5"/>
        <v>0</v>
      </c>
      <c r="J46" s="719">
        <f t="shared" si="5"/>
        <v>0</v>
      </c>
      <c r="K46" s="719">
        <f t="shared" si="5"/>
        <v>170.01893759899181</v>
      </c>
      <c r="L46" s="719">
        <f t="shared" si="5"/>
        <v>0</v>
      </c>
      <c r="M46" s="719">
        <f t="shared" ca="1" si="5"/>
        <v>0</v>
      </c>
      <c r="N46" s="719">
        <f t="shared" si="5"/>
        <v>0</v>
      </c>
      <c r="O46" s="719">
        <f t="shared" ca="1" si="5"/>
        <v>0</v>
      </c>
      <c r="P46" s="719">
        <f t="shared" si="5"/>
        <v>0</v>
      </c>
      <c r="Q46" s="719">
        <f t="shared" si="5"/>
        <v>0</v>
      </c>
      <c r="R46" s="719">
        <f ca="1">SUM(R39:R45)</f>
        <v>85770.751574470356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12.462370850557775</v>
      </c>
      <c r="D49" s="683">
        <f ca="1">transport!C58</f>
        <v>0</v>
      </c>
      <c r="E49" s="683">
        <f>transport!D58</f>
        <v>0</v>
      </c>
      <c r="F49" s="683">
        <f>transport!E58</f>
        <v>0</v>
      </c>
      <c r="G49" s="683">
        <f>transport!F58</f>
        <v>0</v>
      </c>
      <c r="H49" s="683">
        <f>transport!G58</f>
        <v>1233.1628391881866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1245.6252100387444</v>
      </c>
    </row>
    <row r="50" spans="1:18">
      <c r="A50" s="820" t="s">
        <v>302</v>
      </c>
      <c r="B50" s="830"/>
      <c r="C50" s="689">
        <f ca="1">transport!B18</f>
        <v>75.76027749224798</v>
      </c>
      <c r="D50" s="689">
        <f>transport!C18</f>
        <v>0</v>
      </c>
      <c r="E50" s="689">
        <f>transport!D18</f>
        <v>162.16763730849681</v>
      </c>
      <c r="F50" s="689">
        <f>transport!E18</f>
        <v>71.772273605175911</v>
      </c>
      <c r="G50" s="689">
        <f>transport!F18</f>
        <v>0</v>
      </c>
      <c r="H50" s="689">
        <f>transport!G18</f>
        <v>36713.708559216982</v>
      </c>
      <c r="I50" s="689">
        <f>transport!H18</f>
        <v>9789.6666598406373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46813.075407463541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88.222648342805755</v>
      </c>
      <c r="D52" s="719">
        <f t="shared" ref="D52:Q52" ca="1" si="6">SUM(D48:D51)</f>
        <v>0</v>
      </c>
      <c r="E52" s="719">
        <f t="shared" si="6"/>
        <v>162.16763730849681</v>
      </c>
      <c r="F52" s="719">
        <f t="shared" si="6"/>
        <v>71.772273605175911</v>
      </c>
      <c r="G52" s="719">
        <f t="shared" si="6"/>
        <v>0</v>
      </c>
      <c r="H52" s="719">
        <f t="shared" si="6"/>
        <v>37946.871398405172</v>
      </c>
      <c r="I52" s="719">
        <f t="shared" si="6"/>
        <v>9789.6666598406373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48058.700617502283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351.89509658637803</v>
      </c>
      <c r="D54" s="689">
        <f ca="1">+landbouw!C12</f>
        <v>516.84608280418115</v>
      </c>
      <c r="E54" s="689">
        <f>+landbouw!D12</f>
        <v>135.46086019317602</v>
      </c>
      <c r="F54" s="689">
        <f>+landbouw!E12</f>
        <v>13.544124516391818</v>
      </c>
      <c r="G54" s="689">
        <f>+landbouw!F12</f>
        <v>1760.6689789410568</v>
      </c>
      <c r="H54" s="689">
        <f>+landbouw!G12</f>
        <v>0</v>
      </c>
      <c r="I54" s="689">
        <f>+landbouw!H12</f>
        <v>0</v>
      </c>
      <c r="J54" s="689">
        <f>+landbouw!I12</f>
        <v>0</v>
      </c>
      <c r="K54" s="689">
        <f>+landbouw!J12</f>
        <v>187.50911990559811</v>
      </c>
      <c r="L54" s="689">
        <f>+landbouw!K12</f>
        <v>0</v>
      </c>
      <c r="M54" s="689">
        <f>+landbouw!L12</f>
        <v>0</v>
      </c>
      <c r="N54" s="689">
        <f>+landbouw!M12</f>
        <v>0</v>
      </c>
      <c r="O54" s="689">
        <f>+landbouw!N12</f>
        <v>0</v>
      </c>
      <c r="P54" s="689">
        <f>+landbouw!O12</f>
        <v>0</v>
      </c>
      <c r="Q54" s="690">
        <f>+landbouw!P12</f>
        <v>0</v>
      </c>
      <c r="R54" s="718">
        <f ca="1">SUM(C54:Q54)</f>
        <v>2965.9242629467822</v>
      </c>
    </row>
    <row r="55" spans="1:18" ht="15" thickBot="1">
      <c r="A55" s="820" t="s">
        <v>696</v>
      </c>
      <c r="B55" s="830"/>
      <c r="C55" s="689">
        <f ca="1">C25*'EF ele_warmte'!B12</f>
        <v>307.46516250169003</v>
      </c>
      <c r="D55" s="689"/>
      <c r="E55" s="689">
        <f>E25*EF_CO2_aardgas</f>
        <v>1062.3959596780003</v>
      </c>
      <c r="F55" s="689"/>
      <c r="G55" s="689"/>
      <c r="H55" s="689"/>
      <c r="I55" s="689"/>
      <c r="J55" s="689"/>
      <c r="K55" s="689"/>
      <c r="L55" s="689"/>
      <c r="M55" s="689"/>
      <c r="N55" s="689"/>
      <c r="O55" s="689"/>
      <c r="P55" s="689"/>
      <c r="Q55" s="690"/>
      <c r="R55" s="718">
        <f ca="1">SUM(C55:Q55)</f>
        <v>1369.8611221796903</v>
      </c>
    </row>
    <row r="56" spans="1:18" ht="15.75" thickBot="1">
      <c r="A56" s="818" t="s">
        <v>697</v>
      </c>
      <c r="B56" s="831"/>
      <c r="C56" s="719">
        <f ca="1">SUM(C54:C55)</f>
        <v>659.36025908806801</v>
      </c>
      <c r="D56" s="719">
        <f t="shared" ref="D56:Q56" ca="1" si="7">SUM(D54:D55)</f>
        <v>516.84608280418115</v>
      </c>
      <c r="E56" s="719">
        <f t="shared" si="7"/>
        <v>1197.8568198711764</v>
      </c>
      <c r="F56" s="719">
        <f t="shared" si="7"/>
        <v>13.544124516391818</v>
      </c>
      <c r="G56" s="719">
        <f t="shared" si="7"/>
        <v>1760.6689789410568</v>
      </c>
      <c r="H56" s="719">
        <f t="shared" si="7"/>
        <v>0</v>
      </c>
      <c r="I56" s="719">
        <f t="shared" si="7"/>
        <v>0</v>
      </c>
      <c r="J56" s="719">
        <f t="shared" si="7"/>
        <v>0</v>
      </c>
      <c r="K56" s="719">
        <f t="shared" si="7"/>
        <v>187.50911990559811</v>
      </c>
      <c r="L56" s="719">
        <f t="shared" si="7"/>
        <v>0</v>
      </c>
      <c r="M56" s="719">
        <f t="shared" si="7"/>
        <v>0</v>
      </c>
      <c r="N56" s="719">
        <f t="shared" si="7"/>
        <v>0</v>
      </c>
      <c r="O56" s="719">
        <f t="shared" si="7"/>
        <v>0</v>
      </c>
      <c r="P56" s="719">
        <f t="shared" si="7"/>
        <v>0</v>
      </c>
      <c r="Q56" s="720">
        <f t="shared" si="7"/>
        <v>0</v>
      </c>
      <c r="R56" s="721">
        <f ca="1">SUM(R54:R55)</f>
        <v>4335.7853851264726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21588.016744039989</v>
      </c>
      <c r="D61" s="727">
        <f t="shared" ref="D61:Q61" ca="1" si="8">D46+D52+D56</f>
        <v>587.20042658080388</v>
      </c>
      <c r="E61" s="727">
        <f t="shared" ca="1" si="8"/>
        <v>39934.191430616396</v>
      </c>
      <c r="F61" s="727">
        <f t="shared" si="8"/>
        <v>969.41818942069392</v>
      </c>
      <c r="G61" s="727">
        <f t="shared" ca="1" si="8"/>
        <v>26992.34467069084</v>
      </c>
      <c r="H61" s="727">
        <f t="shared" si="8"/>
        <v>37946.871398405172</v>
      </c>
      <c r="I61" s="727">
        <f t="shared" si="8"/>
        <v>9789.6666598406373</v>
      </c>
      <c r="J61" s="727">
        <f t="shared" si="8"/>
        <v>0</v>
      </c>
      <c r="K61" s="727">
        <f t="shared" si="8"/>
        <v>357.52805750458992</v>
      </c>
      <c r="L61" s="727">
        <f t="shared" si="8"/>
        <v>0</v>
      </c>
      <c r="M61" s="727">
        <f t="shared" ca="1" si="8"/>
        <v>0</v>
      </c>
      <c r="N61" s="727">
        <f t="shared" si="8"/>
        <v>0</v>
      </c>
      <c r="O61" s="727">
        <f t="shared" ca="1" si="8"/>
        <v>0</v>
      </c>
      <c r="P61" s="727">
        <f t="shared" si="8"/>
        <v>0</v>
      </c>
      <c r="Q61" s="727">
        <f t="shared" si="8"/>
        <v>0</v>
      </c>
      <c r="R61" s="727">
        <f ca="1">R46+R52+R56</f>
        <v>138165.23757709912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0.16892223139203089</v>
      </c>
      <c r="D63" s="773">
        <f t="shared" ca="1" si="9"/>
        <v>2.844949736281566E-2</v>
      </c>
      <c r="E63" s="965">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7.6053639733742973</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17519.515949461231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12718.213352041532</v>
      </c>
      <c r="C76" s="740">
        <f>'lokale energieproductie'!B8*IFERROR(SUM(D76:H76)/SUM(D76:O76),0)</f>
        <v>1729.7866479584679</v>
      </c>
      <c r="D76" s="948">
        <f>'lokale energieproductie'!C8</f>
        <v>2034.8432569205972</v>
      </c>
      <c r="E76" s="949">
        <f>'lokale energieproductie'!D8</f>
        <v>0</v>
      </c>
      <c r="F76" s="949">
        <f>'lokale energieproductie'!E8</f>
        <v>0</v>
      </c>
      <c r="G76" s="949">
        <f>'lokale energieproductie'!F8</f>
        <v>0</v>
      </c>
      <c r="H76" s="949">
        <f>'lokale energieproductie'!G8</f>
        <v>0</v>
      </c>
      <c r="I76" s="949">
        <f>'lokale energieproductie'!I8</f>
        <v>0</v>
      </c>
      <c r="J76" s="949">
        <f>'lokale energieproductie'!J8</f>
        <v>14961.134490211758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411.03833789796067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30245.334665476134</v>
      </c>
      <c r="C78" s="745">
        <f>SUM(C72:C77)</f>
        <v>1729.7866479584679</v>
      </c>
      <c r="D78" s="746">
        <f t="shared" ref="D78:H78" si="10">SUM(D76:D77)</f>
        <v>2034.8432569205972</v>
      </c>
      <c r="E78" s="746">
        <f t="shared" si="10"/>
        <v>0</v>
      </c>
      <c r="F78" s="746">
        <f t="shared" si="10"/>
        <v>0</v>
      </c>
      <c r="G78" s="746">
        <f t="shared" si="10"/>
        <v>0</v>
      </c>
      <c r="H78" s="746">
        <f t="shared" si="10"/>
        <v>0</v>
      </c>
      <c r="I78" s="746">
        <f>SUM(I76:I77)</f>
        <v>0</v>
      </c>
      <c r="J78" s="746">
        <f>SUM(J76:J77)</f>
        <v>14961.134490211758</v>
      </c>
      <c r="K78" s="746">
        <f t="shared" ref="K78:L78" si="11">SUM(K76:K77)</f>
        <v>0</v>
      </c>
      <c r="L78" s="746">
        <f t="shared" si="11"/>
        <v>0</v>
      </c>
      <c r="M78" s="746">
        <f>SUM(M76:M77)</f>
        <v>0</v>
      </c>
      <c r="N78" s="746">
        <f>SUM(N76:N77)</f>
        <v>0</v>
      </c>
      <c r="O78" s="855">
        <f>SUM(O76:O77)</f>
        <v>0</v>
      </c>
      <c r="P78" s="747">
        <v>0</v>
      </c>
      <c r="Q78" s="747">
        <f>SUM(Q76:Q77)</f>
        <v>411.03833789796067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18168.962885205157</v>
      </c>
      <c r="C87" s="758">
        <f>'lokale energieproductie'!B17*IFERROR(SUM(D87:H87)/SUM(D87:O87),0)</f>
        <v>2471.1355703933009</v>
      </c>
      <c r="D87" s="769">
        <f>'lokale energieproductie'!C17</f>
        <v>2906.9328048554648</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21373.151224073958</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587.20042658080388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18168.962885205157</v>
      </c>
      <c r="C90" s="745">
        <f>SUM(C87:C89)</f>
        <v>2471.1355703933009</v>
      </c>
      <c r="D90" s="745">
        <f t="shared" ref="D90:H90" si="12">SUM(D87:D89)</f>
        <v>2906.9328048554648</v>
      </c>
      <c r="E90" s="745">
        <f t="shared" si="12"/>
        <v>0</v>
      </c>
      <c r="F90" s="745">
        <f t="shared" si="12"/>
        <v>0</v>
      </c>
      <c r="G90" s="745">
        <f t="shared" si="12"/>
        <v>0</v>
      </c>
      <c r="H90" s="745">
        <f t="shared" si="12"/>
        <v>0</v>
      </c>
      <c r="I90" s="745">
        <f>SUM(I87:I89)</f>
        <v>0</v>
      </c>
      <c r="J90" s="745">
        <f>SUM(J87:J89)</f>
        <v>21373.151224073958</v>
      </c>
      <c r="K90" s="745">
        <f t="shared" ref="K90:L90" si="13">SUM(K87:K89)</f>
        <v>0</v>
      </c>
      <c r="L90" s="745">
        <f t="shared" si="13"/>
        <v>0</v>
      </c>
      <c r="M90" s="745">
        <f>SUM(M87:M89)</f>
        <v>0</v>
      </c>
      <c r="N90" s="745">
        <f>SUM(N87:N89)</f>
        <v>0</v>
      </c>
      <c r="O90" s="745">
        <f>SUM(O87:O89)</f>
        <v>0</v>
      </c>
      <c r="P90" s="745">
        <v>0</v>
      </c>
      <c r="Q90" s="745">
        <f>SUM(Q87:Q89)</f>
        <v>587.20042658080388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49539.019427834457</v>
      </c>
      <c r="C4" s="449">
        <f>huishoudens!C8</f>
        <v>0</v>
      </c>
      <c r="D4" s="449">
        <f>huishoudens!D8</f>
        <v>109346.91708670891</v>
      </c>
      <c r="E4" s="449">
        <f>huishoudens!E8</f>
        <v>3591.9744784725299</v>
      </c>
      <c r="F4" s="449">
        <f>huishoudens!F8</f>
        <v>78687.967059596194</v>
      </c>
      <c r="G4" s="449">
        <f>huishoudens!G8</f>
        <v>0</v>
      </c>
      <c r="H4" s="449">
        <f>huishoudens!H8</f>
        <v>0</v>
      </c>
      <c r="I4" s="449">
        <f>huishoudens!I8</f>
        <v>0</v>
      </c>
      <c r="J4" s="449">
        <f>huishoudens!J8</f>
        <v>448.45133067132485</v>
      </c>
      <c r="K4" s="449">
        <f>huishoudens!K8</f>
        <v>0</v>
      </c>
      <c r="L4" s="449">
        <f>huishoudens!L8</f>
        <v>0</v>
      </c>
      <c r="M4" s="449">
        <f>huishoudens!M8</f>
        <v>0</v>
      </c>
      <c r="N4" s="449">
        <f>huishoudens!N8</f>
        <v>18121.959435096273</v>
      </c>
      <c r="O4" s="449">
        <f>huishoudens!O8</f>
        <v>605.10725691304469</v>
      </c>
      <c r="P4" s="450">
        <f>huishoudens!P8</f>
        <v>716.30923292258149</v>
      </c>
      <c r="Q4" s="451">
        <f>SUM(B4:P4)</f>
        <v>261057.70530821529</v>
      </c>
    </row>
    <row r="5" spans="1:17">
      <c r="A5" s="448" t="s">
        <v>155</v>
      </c>
      <c r="B5" s="449">
        <f ca="1">tertiair!B16</f>
        <v>53066.812374000001</v>
      </c>
      <c r="C5" s="449">
        <f ca="1">tertiair!C16</f>
        <v>2472.9555984555986</v>
      </c>
      <c r="D5" s="449">
        <f ca="1">tertiair!D16</f>
        <v>64797.208647624924</v>
      </c>
      <c r="E5" s="449">
        <f>tertiair!E16</f>
        <v>223.83245654605952</v>
      </c>
      <c r="F5" s="449">
        <f ca="1">tertiair!F16</f>
        <v>9643.8422563054664</v>
      </c>
      <c r="G5" s="449">
        <f>tertiair!G16</f>
        <v>0</v>
      </c>
      <c r="H5" s="449">
        <f>tertiair!H16</f>
        <v>0</v>
      </c>
      <c r="I5" s="449">
        <f>tertiair!I16</f>
        <v>0</v>
      </c>
      <c r="J5" s="449">
        <f>tertiair!J16</f>
        <v>6.1511190063117241E-2</v>
      </c>
      <c r="K5" s="449">
        <f>tertiair!K16</f>
        <v>0</v>
      </c>
      <c r="L5" s="449">
        <f ca="1">tertiair!L16</f>
        <v>0</v>
      </c>
      <c r="M5" s="449">
        <f>tertiair!M16</f>
        <v>0</v>
      </c>
      <c r="N5" s="449">
        <f ca="1">tertiair!N16</f>
        <v>2400.428804227271</v>
      </c>
      <c r="O5" s="449">
        <f>tertiair!O16</f>
        <v>4.8972607658411542</v>
      </c>
      <c r="P5" s="450">
        <f>tertiair!P16</f>
        <v>420.31310645196015</v>
      </c>
      <c r="Q5" s="448">
        <f t="shared" ref="Q5:Q14" ca="1" si="0">SUM(B5:P5)</f>
        <v>133030.35201556722</v>
      </c>
    </row>
    <row r="6" spans="1:17">
      <c r="A6" s="448" t="s">
        <v>193</v>
      </c>
      <c r="B6" s="449">
        <f>'openbare verlichting'!B8</f>
        <v>2156.6149460000001</v>
      </c>
      <c r="C6" s="449"/>
      <c r="D6" s="449"/>
      <c r="E6" s="449"/>
      <c r="F6" s="449"/>
      <c r="G6" s="449"/>
      <c r="H6" s="449"/>
      <c r="I6" s="449"/>
      <c r="J6" s="449"/>
      <c r="K6" s="449"/>
      <c r="L6" s="449"/>
      <c r="M6" s="449"/>
      <c r="N6" s="449"/>
      <c r="O6" s="449"/>
      <c r="P6" s="450"/>
      <c r="Q6" s="448">
        <f t="shared" si="0"/>
        <v>2156.6149460000001</v>
      </c>
    </row>
    <row r="7" spans="1:17">
      <c r="A7" s="448" t="s">
        <v>111</v>
      </c>
      <c r="B7" s="449">
        <f>landbouw!B8</f>
        <v>2083.1781209999999</v>
      </c>
      <c r="C7" s="449">
        <f>landbouw!C8</f>
        <v>18167.142857142859</v>
      </c>
      <c r="D7" s="449">
        <f>landbouw!D8</f>
        <v>670.59831778800003</v>
      </c>
      <c r="E7" s="449">
        <f>landbouw!E8</f>
        <v>59.665746768245896</v>
      </c>
      <c r="F7" s="449">
        <f>landbouw!F8</f>
        <v>6594.2658387305491</v>
      </c>
      <c r="G7" s="449">
        <f>landbouw!G8</f>
        <v>0</v>
      </c>
      <c r="H7" s="449">
        <f>landbouw!H8</f>
        <v>0</v>
      </c>
      <c r="I7" s="449">
        <f>landbouw!I8</f>
        <v>0</v>
      </c>
      <c r="J7" s="449">
        <f>landbouw!J8</f>
        <v>529.68677939434497</v>
      </c>
      <c r="K7" s="449">
        <f>landbouw!K8</f>
        <v>0</v>
      </c>
      <c r="L7" s="449">
        <f>landbouw!L8</f>
        <v>0</v>
      </c>
      <c r="M7" s="449">
        <f>landbouw!M8</f>
        <v>0</v>
      </c>
      <c r="N7" s="449">
        <f>landbouw!N8</f>
        <v>0</v>
      </c>
      <c r="O7" s="449">
        <f>landbouw!O8</f>
        <v>0</v>
      </c>
      <c r="P7" s="450">
        <f>landbouw!P8</f>
        <v>0</v>
      </c>
      <c r="Q7" s="448">
        <f t="shared" si="0"/>
        <v>28104.537660824</v>
      </c>
    </row>
    <row r="8" spans="1:17">
      <c r="A8" s="448" t="s">
        <v>617</v>
      </c>
      <c r="B8" s="449">
        <f>industrie!B18</f>
        <v>18610.502240999998</v>
      </c>
      <c r="C8" s="449">
        <f>industrie!C18</f>
        <v>0</v>
      </c>
      <c r="D8" s="449">
        <f>industrie!D18</f>
        <v>16817.096906441999</v>
      </c>
      <c r="E8" s="449">
        <f>industrie!E18</f>
        <v>78.9146125546538</v>
      </c>
      <c r="F8" s="449">
        <f>industrie!F18</f>
        <v>6168.8487056331151</v>
      </c>
      <c r="G8" s="449">
        <f>industrie!G18</f>
        <v>0</v>
      </c>
      <c r="H8" s="449">
        <f>industrie!H18</f>
        <v>0</v>
      </c>
      <c r="I8" s="449">
        <f>industrie!I18</f>
        <v>0</v>
      </c>
      <c r="J8" s="449">
        <f>industrie!J18</f>
        <v>31.76664288152676</v>
      </c>
      <c r="K8" s="449">
        <f>industrie!K18</f>
        <v>0</v>
      </c>
      <c r="L8" s="449">
        <f>industrie!L18</f>
        <v>0</v>
      </c>
      <c r="M8" s="449">
        <f>industrie!M18</f>
        <v>0</v>
      </c>
      <c r="N8" s="449">
        <f>industrie!N18</f>
        <v>865.70018934544464</v>
      </c>
      <c r="O8" s="449">
        <f>industrie!O18</f>
        <v>0</v>
      </c>
      <c r="P8" s="450">
        <f>industrie!P18</f>
        <v>0</v>
      </c>
      <c r="Q8" s="448">
        <f t="shared" si="0"/>
        <v>42572.829297856741</v>
      </c>
    </row>
    <row r="9" spans="1:17" s="454" customFormat="1">
      <c r="A9" s="452" t="s">
        <v>543</v>
      </c>
      <c r="B9" s="453">
        <f>transport!B14</f>
        <v>448.49204789643858</v>
      </c>
      <c r="C9" s="453">
        <f>transport!C14</f>
        <v>0</v>
      </c>
      <c r="D9" s="453">
        <f>transport!D14</f>
        <v>802.81008568562766</v>
      </c>
      <c r="E9" s="453">
        <f>transport!E14</f>
        <v>316.17741676288949</v>
      </c>
      <c r="F9" s="453">
        <f>transport!F14</f>
        <v>0</v>
      </c>
      <c r="G9" s="453">
        <f>transport!G14</f>
        <v>137504.52643901491</v>
      </c>
      <c r="H9" s="453">
        <f>transport!H14</f>
        <v>39315.930360805774</v>
      </c>
      <c r="I9" s="453">
        <f>transport!I14</f>
        <v>0</v>
      </c>
      <c r="J9" s="453">
        <f>transport!J14</f>
        <v>0</v>
      </c>
      <c r="K9" s="453">
        <f>transport!K14</f>
        <v>0</v>
      </c>
      <c r="L9" s="453">
        <f>transport!L14</f>
        <v>0</v>
      </c>
      <c r="M9" s="453">
        <f>transport!M14</f>
        <v>10682.434601386682</v>
      </c>
      <c r="N9" s="453">
        <f>transport!N14</f>
        <v>0</v>
      </c>
      <c r="O9" s="453">
        <f>transport!O14</f>
        <v>0</v>
      </c>
      <c r="P9" s="453">
        <f>transport!P14</f>
        <v>0</v>
      </c>
      <c r="Q9" s="452">
        <f>SUM(B9:P9)</f>
        <v>189070.37095155232</v>
      </c>
    </row>
    <row r="10" spans="1:17">
      <c r="A10" s="448" t="s">
        <v>533</v>
      </c>
      <c r="B10" s="449">
        <f>transport!B54</f>
        <v>73.775788703828979</v>
      </c>
      <c r="C10" s="449">
        <f>transport!C54</f>
        <v>0</v>
      </c>
      <c r="D10" s="449">
        <f>transport!D54</f>
        <v>0</v>
      </c>
      <c r="E10" s="449">
        <f>transport!E54</f>
        <v>0</v>
      </c>
      <c r="F10" s="449">
        <f>transport!F54</f>
        <v>0</v>
      </c>
      <c r="G10" s="449">
        <f>transport!G54</f>
        <v>4618.587412689837</v>
      </c>
      <c r="H10" s="449">
        <f>transport!H54</f>
        <v>0</v>
      </c>
      <c r="I10" s="449">
        <f>transport!I54</f>
        <v>0</v>
      </c>
      <c r="J10" s="449">
        <f>transport!J54</f>
        <v>0</v>
      </c>
      <c r="K10" s="449">
        <f>transport!K54</f>
        <v>0</v>
      </c>
      <c r="L10" s="449">
        <f>transport!L54</f>
        <v>0</v>
      </c>
      <c r="M10" s="449">
        <f>transport!M54</f>
        <v>265.18906260871114</v>
      </c>
      <c r="N10" s="449">
        <f>transport!N54</f>
        <v>0</v>
      </c>
      <c r="O10" s="449">
        <f>transport!O54</f>
        <v>0</v>
      </c>
      <c r="P10" s="450">
        <f>transport!P54</f>
        <v>0</v>
      </c>
      <c r="Q10" s="448">
        <f t="shared" si="0"/>
        <v>4957.5522640023773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1820.1580689999998</v>
      </c>
      <c r="C14" s="456"/>
      <c r="D14" s="456">
        <f>'SEAP template'!E25</f>
        <v>5259.3859390000007</v>
      </c>
      <c r="E14" s="456"/>
      <c r="F14" s="456"/>
      <c r="G14" s="456"/>
      <c r="H14" s="456"/>
      <c r="I14" s="456"/>
      <c r="J14" s="456"/>
      <c r="K14" s="456"/>
      <c r="L14" s="456"/>
      <c r="M14" s="456"/>
      <c r="N14" s="456"/>
      <c r="O14" s="456"/>
      <c r="P14" s="457"/>
      <c r="Q14" s="448">
        <f t="shared" si="0"/>
        <v>7079.5440080000008</v>
      </c>
    </row>
    <row r="15" spans="1:17" s="460" customFormat="1">
      <c r="A15" s="458" t="s">
        <v>537</v>
      </c>
      <c r="B15" s="459">
        <f ca="1">SUM(B4:B14)</f>
        <v>127798.55301543472</v>
      </c>
      <c r="C15" s="459">
        <f t="shared" ref="C15:Q15" ca="1" si="1">SUM(C4:C14)</f>
        <v>20640.098455598458</v>
      </c>
      <c r="D15" s="459">
        <f t="shared" ca="1" si="1"/>
        <v>197694.01698324946</v>
      </c>
      <c r="E15" s="459">
        <f t="shared" si="1"/>
        <v>4270.5647111043781</v>
      </c>
      <c r="F15" s="459">
        <f t="shared" ca="1" si="1"/>
        <v>101094.92386026533</v>
      </c>
      <c r="G15" s="459">
        <f t="shared" si="1"/>
        <v>142123.11385170475</v>
      </c>
      <c r="H15" s="459">
        <f t="shared" si="1"/>
        <v>39315.930360805774</v>
      </c>
      <c r="I15" s="459">
        <f t="shared" si="1"/>
        <v>0</v>
      </c>
      <c r="J15" s="459">
        <f t="shared" si="1"/>
        <v>1009.9662641372597</v>
      </c>
      <c r="K15" s="459">
        <f t="shared" si="1"/>
        <v>0</v>
      </c>
      <c r="L15" s="459">
        <f t="shared" ca="1" si="1"/>
        <v>0</v>
      </c>
      <c r="M15" s="459">
        <f t="shared" si="1"/>
        <v>10947.623663995393</v>
      </c>
      <c r="N15" s="459">
        <f t="shared" ca="1" si="1"/>
        <v>21388.088428668987</v>
      </c>
      <c r="O15" s="459">
        <f t="shared" si="1"/>
        <v>610.0045176788858</v>
      </c>
      <c r="P15" s="459">
        <f t="shared" si="1"/>
        <v>1136.6223393745418</v>
      </c>
      <c r="Q15" s="459">
        <f t="shared" ca="1" si="1"/>
        <v>668029.50645201793</v>
      </c>
    </row>
    <row r="17" spans="1:17">
      <c r="A17" s="461" t="s">
        <v>538</v>
      </c>
      <c r="B17" s="778">
        <f ca="1">huishoudens!B10</f>
        <v>0.16892223139203086</v>
      </c>
      <c r="C17" s="778">
        <f ca="1">huishoudens!C10</f>
        <v>2.844949736281566E-2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8368.241702722964</v>
      </c>
      <c r="C22" s="449">
        <f t="shared" ref="C22:C32" ca="1" si="3">C4*$C$17</f>
        <v>0</v>
      </c>
      <c r="D22" s="449">
        <f t="shared" ref="D22:D32" si="4">D4*$D$17</f>
        <v>22088.077251515202</v>
      </c>
      <c r="E22" s="449">
        <f t="shared" ref="E22:E32" si="5">E4*$E$17</f>
        <v>815.3782066132643</v>
      </c>
      <c r="F22" s="449">
        <f t="shared" ref="F22:F32" si="6">F4*$F$17</f>
        <v>21009.687204912185</v>
      </c>
      <c r="G22" s="449">
        <f t="shared" ref="G22:G32" si="7">G4*$G$17</f>
        <v>0</v>
      </c>
      <c r="H22" s="449">
        <f t="shared" ref="H22:H32" si="8">H4*$H$17</f>
        <v>0</v>
      </c>
      <c r="I22" s="449">
        <f t="shared" ref="I22:I32" si="9">I4*$I$17</f>
        <v>0</v>
      </c>
      <c r="J22" s="449">
        <f t="shared" ref="J22:J32" si="10">J4*$J$17</f>
        <v>158.75177105764899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52440.136136821267</v>
      </c>
    </row>
    <row r="23" spans="1:17">
      <c r="A23" s="448" t="s">
        <v>155</v>
      </c>
      <c r="B23" s="449">
        <f t="shared" ca="1" si="2"/>
        <v>8964.1643590783151</v>
      </c>
      <c r="C23" s="449">
        <f t="shared" ca="1" si="3"/>
        <v>70.35434377662277</v>
      </c>
      <c r="D23" s="449">
        <f t="shared" ca="1" si="4"/>
        <v>13089.036146820235</v>
      </c>
      <c r="E23" s="449">
        <f t="shared" si="5"/>
        <v>50.809967635955509</v>
      </c>
      <c r="F23" s="449">
        <f t="shared" ca="1" si="6"/>
        <v>2574.9058824335598</v>
      </c>
      <c r="G23" s="449">
        <f t="shared" si="7"/>
        <v>0</v>
      </c>
      <c r="H23" s="449">
        <f t="shared" si="8"/>
        <v>0</v>
      </c>
      <c r="I23" s="449">
        <f t="shared" si="9"/>
        <v>0</v>
      </c>
      <c r="J23" s="449">
        <f t="shared" si="10"/>
        <v>2.1774961282343502E-2</v>
      </c>
      <c r="K23" s="449">
        <f t="shared" si="11"/>
        <v>0</v>
      </c>
      <c r="L23" s="449">
        <f t="shared" ca="1" si="12"/>
        <v>0</v>
      </c>
      <c r="M23" s="449">
        <f t="shared" si="13"/>
        <v>0</v>
      </c>
      <c r="N23" s="449">
        <f t="shared" ca="1" si="14"/>
        <v>0</v>
      </c>
      <c r="O23" s="449">
        <f t="shared" si="15"/>
        <v>0</v>
      </c>
      <c r="P23" s="450">
        <f t="shared" si="16"/>
        <v>0</v>
      </c>
      <c r="Q23" s="448">
        <f t="shared" ref="Q23:Q31" ca="1" si="17">SUM(B23:P23)</f>
        <v>24749.29247470597</v>
      </c>
    </row>
    <row r="24" spans="1:17">
      <c r="A24" s="448" t="s">
        <v>193</v>
      </c>
      <c r="B24" s="449">
        <f t="shared" ca="1" si="2"/>
        <v>364.30020893172417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364.30020893172417</v>
      </c>
    </row>
    <row r="25" spans="1:17">
      <c r="A25" s="448" t="s">
        <v>111</v>
      </c>
      <c r="B25" s="449">
        <f t="shared" ca="1" si="2"/>
        <v>351.89509658637803</v>
      </c>
      <c r="C25" s="449">
        <f t="shared" ca="1" si="3"/>
        <v>516.84608280418115</v>
      </c>
      <c r="D25" s="449">
        <f t="shared" si="4"/>
        <v>135.46086019317602</v>
      </c>
      <c r="E25" s="449">
        <f t="shared" si="5"/>
        <v>13.544124516391818</v>
      </c>
      <c r="F25" s="449">
        <f t="shared" si="6"/>
        <v>1760.6689789410568</v>
      </c>
      <c r="G25" s="449">
        <f t="shared" si="7"/>
        <v>0</v>
      </c>
      <c r="H25" s="449">
        <f t="shared" si="8"/>
        <v>0</v>
      </c>
      <c r="I25" s="449">
        <f t="shared" si="9"/>
        <v>0</v>
      </c>
      <c r="J25" s="449">
        <f t="shared" si="10"/>
        <v>187.50911990559811</v>
      </c>
      <c r="K25" s="449">
        <f t="shared" si="11"/>
        <v>0</v>
      </c>
      <c r="L25" s="449">
        <f t="shared" si="12"/>
        <v>0</v>
      </c>
      <c r="M25" s="449">
        <f t="shared" si="13"/>
        <v>0</v>
      </c>
      <c r="N25" s="449">
        <f t="shared" si="14"/>
        <v>0</v>
      </c>
      <c r="O25" s="449">
        <f t="shared" si="15"/>
        <v>0</v>
      </c>
      <c r="P25" s="450">
        <f t="shared" si="16"/>
        <v>0</v>
      </c>
      <c r="Q25" s="448">
        <f t="shared" ca="1" si="17"/>
        <v>2965.9242629467822</v>
      </c>
    </row>
    <row r="26" spans="1:17">
      <c r="A26" s="448" t="s">
        <v>617</v>
      </c>
      <c r="B26" s="449">
        <f t="shared" ca="1" si="2"/>
        <v>3143.7275658761105</v>
      </c>
      <c r="C26" s="449">
        <f t="shared" ca="1" si="3"/>
        <v>0</v>
      </c>
      <c r="D26" s="449">
        <f t="shared" si="4"/>
        <v>3397.053575101284</v>
      </c>
      <c r="E26" s="449">
        <f t="shared" si="5"/>
        <v>17.913617049906414</v>
      </c>
      <c r="F26" s="449">
        <f t="shared" si="6"/>
        <v>1647.0826044040418</v>
      </c>
      <c r="G26" s="449">
        <f t="shared" si="7"/>
        <v>0</v>
      </c>
      <c r="H26" s="449">
        <f t="shared" si="8"/>
        <v>0</v>
      </c>
      <c r="I26" s="449">
        <f t="shared" si="9"/>
        <v>0</v>
      </c>
      <c r="J26" s="449">
        <f t="shared" si="10"/>
        <v>11.245391580060472</v>
      </c>
      <c r="K26" s="449">
        <f t="shared" si="11"/>
        <v>0</v>
      </c>
      <c r="L26" s="449">
        <f t="shared" si="12"/>
        <v>0</v>
      </c>
      <c r="M26" s="449">
        <f t="shared" si="13"/>
        <v>0</v>
      </c>
      <c r="N26" s="449">
        <f t="shared" si="14"/>
        <v>0</v>
      </c>
      <c r="O26" s="449">
        <f t="shared" si="15"/>
        <v>0</v>
      </c>
      <c r="P26" s="450">
        <f t="shared" si="16"/>
        <v>0</v>
      </c>
      <c r="Q26" s="448">
        <f t="shared" ca="1" si="17"/>
        <v>8217.0227540114029</v>
      </c>
    </row>
    <row r="27" spans="1:17" s="454" customFormat="1">
      <c r="A27" s="452" t="s">
        <v>543</v>
      </c>
      <c r="B27" s="772">
        <f t="shared" ca="1" si="2"/>
        <v>75.76027749224798</v>
      </c>
      <c r="C27" s="453">
        <f t="shared" ca="1" si="3"/>
        <v>0</v>
      </c>
      <c r="D27" s="453">
        <f t="shared" si="4"/>
        <v>162.16763730849681</v>
      </c>
      <c r="E27" s="453">
        <f t="shared" si="5"/>
        <v>71.772273605175911</v>
      </c>
      <c r="F27" s="453">
        <f t="shared" si="6"/>
        <v>0</v>
      </c>
      <c r="G27" s="453">
        <f t="shared" si="7"/>
        <v>36713.708559216982</v>
      </c>
      <c r="H27" s="453">
        <f t="shared" si="8"/>
        <v>9789.6666598406373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46813.075407463541</v>
      </c>
    </row>
    <row r="28" spans="1:17" ht="16.5" customHeight="1">
      <c r="A28" s="448" t="s">
        <v>533</v>
      </c>
      <c r="B28" s="449">
        <f t="shared" ca="1" si="2"/>
        <v>12.462370850557775</v>
      </c>
      <c r="C28" s="449">
        <f t="shared" ca="1" si="3"/>
        <v>0</v>
      </c>
      <c r="D28" s="449">
        <f t="shared" si="4"/>
        <v>0</v>
      </c>
      <c r="E28" s="449">
        <f t="shared" si="5"/>
        <v>0</v>
      </c>
      <c r="F28" s="449">
        <f t="shared" si="6"/>
        <v>0</v>
      </c>
      <c r="G28" s="449">
        <f t="shared" si="7"/>
        <v>1233.1628391881866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1245.6252100387444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307.46516250169003</v>
      </c>
      <c r="C32" s="449">
        <f t="shared" ca="1" si="3"/>
        <v>0</v>
      </c>
      <c r="D32" s="449">
        <f t="shared" si="4"/>
        <v>1062.3959596780003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1369.8611221796903</v>
      </c>
    </row>
    <row r="33" spans="1:17" s="460" customFormat="1">
      <c r="A33" s="458" t="s">
        <v>537</v>
      </c>
      <c r="B33" s="459">
        <f ca="1">SUM(B22:B32)</f>
        <v>21588.016744039985</v>
      </c>
      <c r="C33" s="459">
        <f t="shared" ref="C33:Q33" ca="1" si="19">SUM(C22:C32)</f>
        <v>587.20042658080388</v>
      </c>
      <c r="D33" s="459">
        <f t="shared" ca="1" si="19"/>
        <v>39934.191430616396</v>
      </c>
      <c r="E33" s="459">
        <f t="shared" si="19"/>
        <v>969.41818942069392</v>
      </c>
      <c r="F33" s="459">
        <f t="shared" ca="1" si="19"/>
        <v>26992.34467069084</v>
      </c>
      <c r="G33" s="459">
        <f t="shared" si="19"/>
        <v>37946.871398405172</v>
      </c>
      <c r="H33" s="459">
        <f t="shared" si="19"/>
        <v>9789.6666598406373</v>
      </c>
      <c r="I33" s="459">
        <f t="shared" si="19"/>
        <v>0</v>
      </c>
      <c r="J33" s="459">
        <f t="shared" si="19"/>
        <v>357.52805750458992</v>
      </c>
      <c r="K33" s="459">
        <f t="shared" si="19"/>
        <v>0</v>
      </c>
      <c r="L33" s="459">
        <f t="shared" ca="1" si="19"/>
        <v>0</v>
      </c>
      <c r="M33" s="459">
        <f t="shared" si="19"/>
        <v>0</v>
      </c>
      <c r="N33" s="459">
        <f t="shared" ca="1" si="19"/>
        <v>0</v>
      </c>
      <c r="O33" s="459">
        <f t="shared" si="19"/>
        <v>0</v>
      </c>
      <c r="P33" s="459">
        <f t="shared" si="19"/>
        <v>0</v>
      </c>
      <c r="Q33" s="459">
        <f t="shared" ca="1" si="19"/>
        <v>138165.23757709912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7.6053639733742973</v>
      </c>
      <c r="C5" s="1016"/>
      <c r="D5" s="1016"/>
      <c r="E5" s="1016"/>
      <c r="F5" s="1016"/>
      <c r="G5" s="1016"/>
      <c r="H5" s="1016"/>
      <c r="I5" s="1016"/>
      <c r="J5" s="1016"/>
      <c r="K5" s="1016"/>
      <c r="L5" s="1016"/>
      <c r="M5" s="1016"/>
      <c r="N5" s="1016"/>
      <c r="O5" s="1016"/>
      <c r="P5" s="1017">
        <f>'SEAP template'!Q73</f>
        <v>0</v>
      </c>
    </row>
    <row r="6" spans="1:16">
      <c r="A6" s="1021" t="s">
        <v>246</v>
      </c>
      <c r="B6" s="1016">
        <f>'SEAP template'!B74</f>
        <v>17519.515949461231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12718.213352041532</v>
      </c>
      <c r="C8" s="1016">
        <f>'SEAP template'!C76</f>
        <v>1729.7866479584679</v>
      </c>
      <c r="D8" s="1016">
        <f>'SEAP template'!D76</f>
        <v>2034.8432569205972</v>
      </c>
      <c r="E8" s="1016">
        <f>'SEAP template'!E76</f>
        <v>0</v>
      </c>
      <c r="F8" s="1016">
        <f>'SEAP template'!F76</f>
        <v>0</v>
      </c>
      <c r="G8" s="1016">
        <f>'SEAP template'!G76</f>
        <v>0</v>
      </c>
      <c r="H8" s="1016">
        <f>'SEAP template'!H76</f>
        <v>0</v>
      </c>
      <c r="I8" s="1016">
        <f>'SEAP template'!I76</f>
        <v>0</v>
      </c>
      <c r="J8" s="1016">
        <f>'SEAP template'!J76</f>
        <v>14961.134490211758</v>
      </c>
      <c r="K8" s="1016">
        <f>'SEAP template'!K76</f>
        <v>0</v>
      </c>
      <c r="L8" s="1016">
        <f>'SEAP template'!L76</f>
        <v>0</v>
      </c>
      <c r="M8" s="1016">
        <f>'SEAP template'!M76</f>
        <v>0</v>
      </c>
      <c r="N8" s="1016">
        <f>'SEAP template'!N76</f>
        <v>0</v>
      </c>
      <c r="O8" s="1016">
        <f>'SEAP template'!O76</f>
        <v>0</v>
      </c>
      <c r="P8" s="1017">
        <f>'SEAP template'!Q76</f>
        <v>411.03833789796067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30245.334665476134</v>
      </c>
      <c r="C10" s="1018">
        <f>SUM(C4:C9)</f>
        <v>1729.7866479584679</v>
      </c>
      <c r="D10" s="1018">
        <f t="shared" ref="D10:H10" si="0">SUM(D8:D9)</f>
        <v>2034.8432569205972</v>
      </c>
      <c r="E10" s="1018">
        <f t="shared" si="0"/>
        <v>0</v>
      </c>
      <c r="F10" s="1018">
        <f t="shared" si="0"/>
        <v>0</v>
      </c>
      <c r="G10" s="1018">
        <f t="shared" si="0"/>
        <v>0</v>
      </c>
      <c r="H10" s="1018">
        <f t="shared" si="0"/>
        <v>0</v>
      </c>
      <c r="I10" s="1018">
        <f>SUM(I8:I9)</f>
        <v>0</v>
      </c>
      <c r="J10" s="1018">
        <f>SUM(J8:J9)</f>
        <v>14961.134490211758</v>
      </c>
      <c r="K10" s="1018">
        <f t="shared" ref="K10:L10" si="1">SUM(K8:K9)</f>
        <v>0</v>
      </c>
      <c r="L10" s="1018">
        <f t="shared" si="1"/>
        <v>0</v>
      </c>
      <c r="M10" s="1018">
        <f>SUM(M8:M9)</f>
        <v>0</v>
      </c>
      <c r="N10" s="1018">
        <f>SUM(N8:N9)</f>
        <v>0</v>
      </c>
      <c r="O10" s="1018">
        <f>SUM(O8:O9)</f>
        <v>0</v>
      </c>
      <c r="P10" s="1018">
        <f>SUM(P8:P9)</f>
        <v>411.03833789796067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0.16892223139203086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18168.962885205157</v>
      </c>
      <c r="C17" s="1019">
        <f>'SEAP template'!C87</f>
        <v>2471.1355703933009</v>
      </c>
      <c r="D17" s="1017">
        <f>'SEAP template'!D87</f>
        <v>2906.9328048554648</v>
      </c>
      <c r="E17" s="1017">
        <f>'SEAP template'!E87</f>
        <v>0</v>
      </c>
      <c r="F17" s="1017">
        <f>'SEAP template'!F87</f>
        <v>0</v>
      </c>
      <c r="G17" s="1017">
        <f>'SEAP template'!G87</f>
        <v>0</v>
      </c>
      <c r="H17" s="1017">
        <f>'SEAP template'!H87</f>
        <v>0</v>
      </c>
      <c r="I17" s="1017">
        <f>'SEAP template'!I87</f>
        <v>0</v>
      </c>
      <c r="J17" s="1017">
        <f>'SEAP template'!J87</f>
        <v>21373.151224073958</v>
      </c>
      <c r="K17" s="1017">
        <f>'SEAP template'!K87</f>
        <v>0</v>
      </c>
      <c r="L17" s="1017">
        <f>'SEAP template'!L87</f>
        <v>0</v>
      </c>
      <c r="M17" s="1017">
        <f>'SEAP template'!M87</f>
        <v>0</v>
      </c>
      <c r="N17" s="1017">
        <f>'SEAP template'!N87</f>
        <v>0</v>
      </c>
      <c r="O17" s="1017">
        <f>'SEAP template'!O87</f>
        <v>0</v>
      </c>
      <c r="P17" s="1017">
        <f>'SEAP template'!Q87</f>
        <v>587.20042658080388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18168.962885205157</v>
      </c>
      <c r="C20" s="1018">
        <f>SUM(C17:C19)</f>
        <v>2471.1355703933009</v>
      </c>
      <c r="D20" s="1018">
        <f t="shared" ref="D20:H20" si="2">SUM(D17:D19)</f>
        <v>2906.9328048554648</v>
      </c>
      <c r="E20" s="1018">
        <f t="shared" si="2"/>
        <v>0</v>
      </c>
      <c r="F20" s="1018">
        <f t="shared" si="2"/>
        <v>0</v>
      </c>
      <c r="G20" s="1018">
        <f t="shared" si="2"/>
        <v>0</v>
      </c>
      <c r="H20" s="1018">
        <f t="shared" si="2"/>
        <v>0</v>
      </c>
      <c r="I20" s="1018">
        <f>SUM(I17:I19)</f>
        <v>0</v>
      </c>
      <c r="J20" s="1018">
        <f>SUM(J17:J19)</f>
        <v>21373.151224073958</v>
      </c>
      <c r="K20" s="1018">
        <f t="shared" ref="K20:L20" si="3">SUM(K17:K19)</f>
        <v>0</v>
      </c>
      <c r="L20" s="1018">
        <f t="shared" si="3"/>
        <v>0</v>
      </c>
      <c r="M20" s="1018">
        <f>SUM(M17:M19)</f>
        <v>0</v>
      </c>
      <c r="N20" s="1018">
        <f>SUM(N17:N19)</f>
        <v>0</v>
      </c>
      <c r="O20" s="1018">
        <f>SUM(O17:O19)</f>
        <v>0</v>
      </c>
      <c r="P20" s="1018">
        <f>SUM(P17:P19)</f>
        <v>587.20042658080388</v>
      </c>
    </row>
    <row r="21" spans="1:16">
      <c r="B21" s="883"/>
    </row>
    <row r="22" spans="1:16">
      <c r="A22" s="461" t="s">
        <v>755</v>
      </c>
      <c r="B22" s="778" t="s">
        <v>753</v>
      </c>
      <c r="C22" s="778">
        <f ca="1">'EF ele_warmte'!B22</f>
        <v>2.844949736281566E-2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0.16892223139203086</v>
      </c>
      <c r="C17" s="498">
        <f ca="1">'EF ele_warmte'!B22</f>
        <v>2.844949736281566E-2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0.16892223139203086</v>
      </c>
      <c r="C17" s="498">
        <f ca="1">'EF ele_warmte'!B22</f>
        <v>2.844949736281566E-2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0.16892223139203086</v>
      </c>
      <c r="C29" s="499">
        <f ca="1">'EF ele_warmte'!B22</f>
        <v>2.844949736281566E-2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13492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5746.32</v>
      </c>
      <c r="C14" s="326"/>
      <c r="D14" s="326"/>
      <c r="E14" s="326"/>
      <c r="F14" s="326"/>
    </row>
    <row r="15" spans="1:6">
      <c r="A15" s="1312" t="s">
        <v>183</v>
      </c>
      <c r="B15" s="1313">
        <v>15</v>
      </c>
      <c r="C15" s="326"/>
      <c r="D15" s="326"/>
      <c r="E15" s="326"/>
      <c r="F15" s="326"/>
    </row>
    <row r="16" spans="1:6">
      <c r="A16" s="1312" t="s">
        <v>6</v>
      </c>
      <c r="B16" s="1313">
        <v>541</v>
      </c>
      <c r="C16" s="326"/>
      <c r="D16" s="326"/>
      <c r="E16" s="326"/>
      <c r="F16" s="326"/>
    </row>
    <row r="17" spans="1:6">
      <c r="A17" s="1312" t="s">
        <v>7</v>
      </c>
      <c r="B17" s="1313">
        <v>940</v>
      </c>
      <c r="C17" s="326"/>
      <c r="D17" s="326"/>
      <c r="E17" s="326"/>
      <c r="F17" s="326"/>
    </row>
    <row r="18" spans="1:6">
      <c r="A18" s="1312" t="s">
        <v>8</v>
      </c>
      <c r="B18" s="1313">
        <v>1163</v>
      </c>
      <c r="C18" s="326"/>
      <c r="D18" s="326"/>
      <c r="E18" s="326"/>
      <c r="F18" s="326"/>
    </row>
    <row r="19" spans="1:6">
      <c r="A19" s="1312" t="s">
        <v>9</v>
      </c>
      <c r="B19" s="1313">
        <v>940</v>
      </c>
      <c r="C19" s="326"/>
      <c r="D19" s="326"/>
      <c r="E19" s="326"/>
      <c r="F19" s="326"/>
    </row>
    <row r="20" spans="1:6">
      <c r="A20" s="1312" t="s">
        <v>10</v>
      </c>
      <c r="B20" s="1313">
        <v>651</v>
      </c>
      <c r="C20" s="326"/>
      <c r="D20" s="326"/>
      <c r="E20" s="326"/>
      <c r="F20" s="326"/>
    </row>
    <row r="21" spans="1:6">
      <c r="A21" s="1312" t="s">
        <v>11</v>
      </c>
      <c r="B21" s="1313">
        <v>5430</v>
      </c>
      <c r="C21" s="326"/>
      <c r="D21" s="326"/>
      <c r="E21" s="326"/>
      <c r="F21" s="326"/>
    </row>
    <row r="22" spans="1:6">
      <c r="A22" s="1312" t="s">
        <v>12</v>
      </c>
      <c r="B22" s="1313">
        <v>14006</v>
      </c>
      <c r="C22" s="326"/>
      <c r="D22" s="326"/>
      <c r="E22" s="326"/>
      <c r="F22" s="326"/>
    </row>
    <row r="23" spans="1:6">
      <c r="A23" s="1312" t="s">
        <v>13</v>
      </c>
      <c r="B23" s="1313">
        <v>158</v>
      </c>
      <c r="C23" s="326"/>
      <c r="D23" s="326"/>
      <c r="E23" s="326"/>
      <c r="F23" s="326"/>
    </row>
    <row r="24" spans="1:6">
      <c r="A24" s="1312" t="s">
        <v>14</v>
      </c>
      <c r="B24" s="1313">
        <v>7</v>
      </c>
      <c r="C24" s="326"/>
      <c r="D24" s="326"/>
      <c r="E24" s="326"/>
      <c r="F24" s="326"/>
    </row>
    <row r="25" spans="1:6">
      <c r="A25" s="1312" t="s">
        <v>15</v>
      </c>
      <c r="B25" s="1313">
        <v>1140</v>
      </c>
      <c r="C25" s="326"/>
      <c r="D25" s="326"/>
      <c r="E25" s="326"/>
      <c r="F25" s="326"/>
    </row>
    <row r="26" spans="1:6">
      <c r="A26" s="1312" t="s">
        <v>16</v>
      </c>
      <c r="B26" s="1313">
        <v>137</v>
      </c>
      <c r="C26" s="326"/>
      <c r="D26" s="326"/>
      <c r="E26" s="326"/>
      <c r="F26" s="326"/>
    </row>
    <row r="27" spans="1:6">
      <c r="A27" s="1312" t="s">
        <v>17</v>
      </c>
      <c r="B27" s="1313">
        <v>0</v>
      </c>
      <c r="C27" s="326"/>
      <c r="D27" s="326"/>
      <c r="E27" s="326"/>
      <c r="F27" s="326"/>
    </row>
    <row r="28" spans="1:6" s="43" customFormat="1">
      <c r="A28" s="1314" t="s">
        <v>18</v>
      </c>
      <c r="B28" s="1315">
        <v>153326</v>
      </c>
      <c r="C28" s="332"/>
      <c r="D28" s="332"/>
      <c r="E28" s="332"/>
      <c r="F28" s="332"/>
    </row>
    <row r="29" spans="1:6">
      <c r="A29" s="1314" t="s">
        <v>684</v>
      </c>
      <c r="B29" s="1315">
        <v>100</v>
      </c>
      <c r="C29" s="332"/>
      <c r="D29" s="332"/>
      <c r="E29" s="332"/>
      <c r="F29" s="332"/>
    </row>
    <row r="30" spans="1:6">
      <c r="A30" s="1307" t="s">
        <v>685</v>
      </c>
      <c r="B30" s="1316">
        <v>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17</v>
      </c>
      <c r="F36" s="1313">
        <v>315178.39899999998</v>
      </c>
    </row>
    <row r="37" spans="1:6">
      <c r="A37" s="1312" t="s">
        <v>24</v>
      </c>
      <c r="B37" s="1312" t="s">
        <v>27</v>
      </c>
      <c r="C37" s="1313">
        <v>0</v>
      </c>
      <c r="D37" s="1313">
        <v>0</v>
      </c>
      <c r="E37" s="1313">
        <v>0</v>
      </c>
      <c r="F37" s="1313">
        <v>0</v>
      </c>
    </row>
    <row r="38" spans="1:6">
      <c r="A38" s="1312" t="s">
        <v>24</v>
      </c>
      <c r="B38" s="1312" t="s">
        <v>28</v>
      </c>
      <c r="C38" s="1313">
        <v>1</v>
      </c>
      <c r="D38" s="1313">
        <v>297662.571</v>
      </c>
      <c r="E38" s="1313">
        <v>2</v>
      </c>
      <c r="F38" s="1313">
        <v>26679.881000000001</v>
      </c>
    </row>
    <row r="39" spans="1:6">
      <c r="A39" s="1312" t="s">
        <v>29</v>
      </c>
      <c r="B39" s="1312" t="s">
        <v>30</v>
      </c>
      <c r="C39" s="1313">
        <v>8174</v>
      </c>
      <c r="D39" s="1313">
        <v>121092931.436001</v>
      </c>
      <c r="E39" s="1313">
        <v>13858</v>
      </c>
      <c r="F39" s="1313">
        <v>41519795.005000003</v>
      </c>
    </row>
    <row r="40" spans="1:6">
      <c r="A40" s="1312" t="s">
        <v>29</v>
      </c>
      <c r="B40" s="1312" t="s">
        <v>28</v>
      </c>
      <c r="C40" s="1313">
        <v>0</v>
      </c>
      <c r="D40" s="1313">
        <v>0</v>
      </c>
      <c r="E40" s="1313">
        <v>0</v>
      </c>
      <c r="F40" s="1313">
        <v>0</v>
      </c>
    </row>
    <row r="41" spans="1:6">
      <c r="A41" s="1312" t="s">
        <v>31</v>
      </c>
      <c r="B41" s="1312" t="s">
        <v>32</v>
      </c>
      <c r="C41" s="1313">
        <v>104</v>
      </c>
      <c r="D41" s="1313">
        <v>5331943.8679999998</v>
      </c>
      <c r="E41" s="1313">
        <v>255</v>
      </c>
      <c r="F41" s="1313">
        <v>8662271.2929999996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14</v>
      </c>
      <c r="D44" s="1313">
        <v>8678910.1199999992</v>
      </c>
      <c r="E44" s="1313">
        <v>38</v>
      </c>
      <c r="F44" s="1313">
        <v>6781519.0420000004</v>
      </c>
    </row>
    <row r="45" spans="1:6">
      <c r="A45" s="1312" t="s">
        <v>31</v>
      </c>
      <c r="B45" s="1312" t="s">
        <v>36</v>
      </c>
      <c r="C45" s="1313">
        <v>0</v>
      </c>
      <c r="D45" s="1313">
        <v>0</v>
      </c>
      <c r="E45" s="1313">
        <v>7</v>
      </c>
      <c r="F45" s="1313">
        <v>491553.13799999998</v>
      </c>
    </row>
    <row r="46" spans="1:6">
      <c r="A46" s="1312" t="s">
        <v>31</v>
      </c>
      <c r="B46" s="1312" t="s">
        <v>37</v>
      </c>
      <c r="C46" s="1313">
        <v>0</v>
      </c>
      <c r="D46" s="1313">
        <v>0</v>
      </c>
      <c r="E46" s="1313">
        <v>3</v>
      </c>
      <c r="F46" s="1313">
        <v>22973.105</v>
      </c>
    </row>
    <row r="47" spans="1:6">
      <c r="A47" s="1312" t="s">
        <v>31</v>
      </c>
      <c r="B47" s="1312" t="s">
        <v>38</v>
      </c>
      <c r="C47" s="1313">
        <v>4</v>
      </c>
      <c r="D47" s="1313">
        <v>124315.83500000001</v>
      </c>
      <c r="E47" s="1313">
        <v>7</v>
      </c>
      <c r="F47" s="1313">
        <v>43122.815000000002</v>
      </c>
    </row>
    <row r="48" spans="1:6">
      <c r="A48" s="1312" t="s">
        <v>31</v>
      </c>
      <c r="B48" s="1312" t="s">
        <v>28</v>
      </c>
      <c r="C48" s="1313">
        <v>4</v>
      </c>
      <c r="D48" s="1313">
        <v>215050.1</v>
      </c>
      <c r="E48" s="1313">
        <v>2</v>
      </c>
      <c r="F48" s="1313">
        <v>10223.226000000001</v>
      </c>
    </row>
    <row r="49" spans="1:6">
      <c r="A49" s="1312" t="s">
        <v>31</v>
      </c>
      <c r="B49" s="1312" t="s">
        <v>39</v>
      </c>
      <c r="C49" s="1313">
        <v>3</v>
      </c>
      <c r="D49" s="1313">
        <v>319042.59399999998</v>
      </c>
      <c r="E49" s="1313">
        <v>4</v>
      </c>
      <c r="F49" s="1313">
        <v>98589.156000000003</v>
      </c>
    </row>
    <row r="50" spans="1:6">
      <c r="A50" s="1312" t="s">
        <v>31</v>
      </c>
      <c r="B50" s="1312" t="s">
        <v>40</v>
      </c>
      <c r="C50" s="1313">
        <v>7</v>
      </c>
      <c r="D50" s="1313">
        <v>3954322.0970000001</v>
      </c>
      <c r="E50" s="1313">
        <v>23</v>
      </c>
      <c r="F50" s="1313">
        <v>2500250.466</v>
      </c>
    </row>
    <row r="51" spans="1:6">
      <c r="A51" s="1312" t="s">
        <v>41</v>
      </c>
      <c r="B51" s="1312" t="s">
        <v>42</v>
      </c>
      <c r="C51" s="1313">
        <v>24</v>
      </c>
      <c r="D51" s="1313">
        <v>742633.79599999997</v>
      </c>
      <c r="E51" s="1313">
        <v>175</v>
      </c>
      <c r="F51" s="1313">
        <v>2083178.121</v>
      </c>
    </row>
    <row r="52" spans="1:6">
      <c r="A52" s="1312" t="s">
        <v>41</v>
      </c>
      <c r="B52" s="1312" t="s">
        <v>28</v>
      </c>
      <c r="C52" s="1313">
        <v>0</v>
      </c>
      <c r="D52" s="1313">
        <v>0</v>
      </c>
      <c r="E52" s="1313">
        <v>0</v>
      </c>
      <c r="F52" s="1313">
        <v>0</v>
      </c>
    </row>
    <row r="53" spans="1:6">
      <c r="A53" s="1312" t="s">
        <v>43</v>
      </c>
      <c r="B53" s="1312" t="s">
        <v>44</v>
      </c>
      <c r="C53" s="1313">
        <v>116</v>
      </c>
      <c r="D53" s="1313">
        <v>5259385.9390000002</v>
      </c>
      <c r="E53" s="1313">
        <v>348</v>
      </c>
      <c r="F53" s="1313">
        <v>1820158.0689999999</v>
      </c>
    </row>
    <row r="54" spans="1:6">
      <c r="A54" s="1312" t="s">
        <v>45</v>
      </c>
      <c r="B54" s="1312" t="s">
        <v>46</v>
      </c>
      <c r="C54" s="1313">
        <v>0</v>
      </c>
      <c r="D54" s="1313">
        <v>0</v>
      </c>
      <c r="E54" s="1313">
        <v>3</v>
      </c>
      <c r="F54" s="1313">
        <v>2156614.946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96</v>
      </c>
      <c r="D57" s="1313">
        <v>5388363.7139999997</v>
      </c>
      <c r="E57" s="1313">
        <v>203</v>
      </c>
      <c r="F57" s="1313">
        <v>6081683.142</v>
      </c>
    </row>
    <row r="58" spans="1:6">
      <c r="A58" s="1312" t="s">
        <v>48</v>
      </c>
      <c r="B58" s="1312" t="s">
        <v>50</v>
      </c>
      <c r="C58" s="1313">
        <v>66</v>
      </c>
      <c r="D58" s="1313">
        <v>15036932.585000001</v>
      </c>
      <c r="E58" s="1313">
        <v>120</v>
      </c>
      <c r="F58" s="1313">
        <v>5512373.1069999998</v>
      </c>
    </row>
    <row r="59" spans="1:6">
      <c r="A59" s="1312" t="s">
        <v>48</v>
      </c>
      <c r="B59" s="1312" t="s">
        <v>51</v>
      </c>
      <c r="C59" s="1313">
        <v>257</v>
      </c>
      <c r="D59" s="1313">
        <v>18164489.550999999</v>
      </c>
      <c r="E59" s="1313">
        <v>487</v>
      </c>
      <c r="F59" s="1313">
        <v>17673981.164000001</v>
      </c>
    </row>
    <row r="60" spans="1:6">
      <c r="A60" s="1312" t="s">
        <v>48</v>
      </c>
      <c r="B60" s="1312" t="s">
        <v>52</v>
      </c>
      <c r="C60" s="1313">
        <v>137</v>
      </c>
      <c r="D60" s="1313">
        <v>10915200.796</v>
      </c>
      <c r="E60" s="1313">
        <v>160</v>
      </c>
      <c r="F60" s="1313">
        <v>4757048.0580000002</v>
      </c>
    </row>
    <row r="61" spans="1:6">
      <c r="A61" s="1312" t="s">
        <v>48</v>
      </c>
      <c r="B61" s="1312" t="s">
        <v>53</v>
      </c>
      <c r="C61" s="1313">
        <v>389</v>
      </c>
      <c r="D61" s="1313">
        <v>22599258.763999999</v>
      </c>
      <c r="E61" s="1313">
        <v>769</v>
      </c>
      <c r="F61" s="1313">
        <v>15559836.973999999</v>
      </c>
    </row>
    <row r="62" spans="1:6">
      <c r="A62" s="1312" t="s">
        <v>48</v>
      </c>
      <c r="B62" s="1312" t="s">
        <v>54</v>
      </c>
      <c r="C62" s="1313">
        <v>26</v>
      </c>
      <c r="D62" s="1313">
        <v>5126080.9570000004</v>
      </c>
      <c r="E62" s="1313">
        <v>33</v>
      </c>
      <c r="F62" s="1313">
        <v>1750889.929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3</v>
      </c>
      <c r="D66" s="1313">
        <v>722497.81799999997</v>
      </c>
      <c r="E66" s="1313">
        <v>28</v>
      </c>
      <c r="F66" s="1313">
        <v>438322.40600000002</v>
      </c>
    </row>
    <row r="67" spans="1:6">
      <c r="A67" s="1314" t="s">
        <v>55</v>
      </c>
      <c r="B67" s="1314" t="s">
        <v>58</v>
      </c>
      <c r="C67" s="1313">
        <v>0</v>
      </c>
      <c r="D67" s="1313">
        <v>0</v>
      </c>
      <c r="E67" s="1313">
        <v>0</v>
      </c>
      <c r="F67" s="1313">
        <v>0</v>
      </c>
    </row>
    <row r="68" spans="1:6">
      <c r="A68" s="1307" t="s">
        <v>55</v>
      </c>
      <c r="B68" s="1307" t="s">
        <v>59</v>
      </c>
      <c r="C68" s="1316">
        <v>18</v>
      </c>
      <c r="D68" s="1316">
        <v>2940512.3709999998</v>
      </c>
      <c r="E68" s="1316">
        <v>30</v>
      </c>
      <c r="F68" s="1316">
        <v>597305.35400000005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172575705</v>
      </c>
      <c r="E73" s="447"/>
      <c r="F73" s="326"/>
    </row>
    <row r="74" spans="1:6">
      <c r="A74" s="1312" t="s">
        <v>63</v>
      </c>
      <c r="B74" s="1312" t="s">
        <v>638</v>
      </c>
      <c r="C74" s="1326" t="s">
        <v>640</v>
      </c>
      <c r="D74" s="1327">
        <v>13456133.42587498</v>
      </c>
      <c r="E74" s="447"/>
      <c r="F74" s="326"/>
    </row>
    <row r="75" spans="1:6">
      <c r="A75" s="1312" t="s">
        <v>64</v>
      </c>
      <c r="B75" s="1312" t="s">
        <v>637</v>
      </c>
      <c r="C75" s="1326" t="s">
        <v>641</v>
      </c>
      <c r="D75" s="1327">
        <v>40231133</v>
      </c>
      <c r="E75" s="447"/>
      <c r="F75" s="326"/>
    </row>
    <row r="76" spans="1:6">
      <c r="A76" s="1312" t="s">
        <v>64</v>
      </c>
      <c r="B76" s="1312" t="s">
        <v>638</v>
      </c>
      <c r="C76" s="1326" t="s">
        <v>642</v>
      </c>
      <c r="D76" s="1327">
        <v>1545018.4258749802</v>
      </c>
      <c r="E76" s="447"/>
      <c r="F76" s="326"/>
    </row>
    <row r="77" spans="1:6">
      <c r="A77" s="1312" t="s">
        <v>65</v>
      </c>
      <c r="B77" s="1312" t="s">
        <v>637</v>
      </c>
      <c r="C77" s="1326" t="s">
        <v>643</v>
      </c>
      <c r="D77" s="1327">
        <v>5844143</v>
      </c>
      <c r="E77" s="447"/>
      <c r="F77" s="326"/>
    </row>
    <row r="78" spans="1:6">
      <c r="A78" s="1307" t="s">
        <v>65</v>
      </c>
      <c r="B78" s="1307" t="s">
        <v>638</v>
      </c>
      <c r="C78" s="1307" t="s">
        <v>644</v>
      </c>
      <c r="D78" s="1328">
        <v>1389223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1376079.1482500399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7.6053639733742973</v>
      </c>
      <c r="C89" s="326"/>
      <c r="D89" s="326"/>
      <c r="E89" s="326"/>
      <c r="F89" s="326"/>
    </row>
    <row r="90" spans="1:6">
      <c r="A90" s="1312" t="s">
        <v>531</v>
      </c>
      <c r="B90" s="1313">
        <v>0</v>
      </c>
      <c r="C90" s="326"/>
      <c r="D90" s="326"/>
      <c r="E90" s="326"/>
      <c r="F90" s="326"/>
    </row>
    <row r="91" spans="1:6">
      <c r="A91" s="1312" t="s">
        <v>67</v>
      </c>
      <c r="B91" s="1313">
        <v>8019.2244228344607</v>
      </c>
      <c r="C91" s="326"/>
      <c r="D91" s="326"/>
      <c r="E91" s="326"/>
      <c r="F91" s="326"/>
    </row>
    <row r="92" spans="1:6">
      <c r="A92" s="1307" t="s">
        <v>68</v>
      </c>
      <c r="B92" s="1308">
        <v>9500.2915266267682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4164</v>
      </c>
      <c r="C97" s="326"/>
      <c r="D97" s="326"/>
      <c r="E97" s="326"/>
      <c r="F97" s="326"/>
    </row>
    <row r="98" spans="1:6">
      <c r="A98" s="1312" t="s">
        <v>71</v>
      </c>
      <c r="B98" s="1313">
        <v>7</v>
      </c>
      <c r="C98" s="326"/>
      <c r="D98" s="326"/>
      <c r="E98" s="326"/>
      <c r="F98" s="326"/>
    </row>
    <row r="99" spans="1:6">
      <c r="A99" s="1312" t="s">
        <v>72</v>
      </c>
      <c r="B99" s="1313">
        <v>116</v>
      </c>
      <c r="C99" s="326"/>
      <c r="D99" s="326"/>
      <c r="E99" s="326"/>
      <c r="F99" s="326"/>
    </row>
    <row r="100" spans="1:6">
      <c r="A100" s="1312" t="s">
        <v>73</v>
      </c>
      <c r="B100" s="1313">
        <v>384</v>
      </c>
      <c r="C100" s="326"/>
      <c r="D100" s="326"/>
      <c r="E100" s="326"/>
      <c r="F100" s="326"/>
    </row>
    <row r="101" spans="1:6">
      <c r="A101" s="1312" t="s">
        <v>74</v>
      </c>
      <c r="B101" s="1313">
        <v>107</v>
      </c>
      <c r="C101" s="326"/>
      <c r="D101" s="326"/>
      <c r="E101" s="326"/>
      <c r="F101" s="326"/>
    </row>
    <row r="102" spans="1:6">
      <c r="A102" s="1312" t="s">
        <v>75</v>
      </c>
      <c r="B102" s="1313">
        <v>176</v>
      </c>
      <c r="C102" s="326"/>
      <c r="D102" s="326"/>
      <c r="E102" s="326"/>
      <c r="F102" s="326"/>
    </row>
    <row r="103" spans="1:6">
      <c r="A103" s="1312" t="s">
        <v>76</v>
      </c>
      <c r="B103" s="1313">
        <v>455</v>
      </c>
      <c r="C103" s="326"/>
      <c r="D103" s="326"/>
      <c r="E103" s="326"/>
      <c r="F103" s="326"/>
    </row>
    <row r="104" spans="1:6">
      <c r="A104" s="1312" t="s">
        <v>77</v>
      </c>
      <c r="B104" s="1313">
        <v>6268</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1</v>
      </c>
      <c r="C122" s="1313">
        <v>0</v>
      </c>
      <c r="D122" s="326"/>
      <c r="E122" s="326"/>
      <c r="F122" s="326"/>
    </row>
    <row r="123" spans="1:6">
      <c r="A123" s="1312" t="s">
        <v>87</v>
      </c>
      <c r="B123" s="1313">
        <v>40</v>
      </c>
      <c r="C123" s="1313">
        <v>100</v>
      </c>
      <c r="D123" s="326"/>
      <c r="E123" s="326"/>
      <c r="F123" s="326"/>
    </row>
    <row r="124" spans="1:6" s="43" customFormat="1">
      <c r="A124" s="1314" t="s">
        <v>88</v>
      </c>
      <c r="B124" s="1335">
        <v>2</v>
      </c>
      <c r="C124" s="1335">
        <v>2</v>
      </c>
      <c r="D124" s="332"/>
      <c r="E124" s="332"/>
      <c r="F124" s="332"/>
    </row>
    <row r="125" spans="1:6">
      <c r="A125" s="1307" t="s">
        <v>786</v>
      </c>
      <c r="B125" s="1335">
        <v>3</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203</v>
      </c>
      <c r="C129" s="326"/>
      <c r="D129" s="326"/>
      <c r="E129" s="326"/>
      <c r="F129" s="326"/>
    </row>
    <row r="130" spans="1:6">
      <c r="A130" s="1312" t="s">
        <v>290</v>
      </c>
      <c r="B130" s="1313">
        <v>1</v>
      </c>
      <c r="C130" s="326"/>
      <c r="D130" s="326"/>
      <c r="E130" s="326"/>
      <c r="F130" s="326"/>
    </row>
    <row r="131" spans="1:6">
      <c r="A131" s="1312" t="s">
        <v>291</v>
      </c>
      <c r="B131" s="1313">
        <v>4</v>
      </c>
      <c r="C131" s="326"/>
      <c r="D131" s="326"/>
      <c r="E131" s="326"/>
      <c r="F131" s="326"/>
    </row>
    <row r="132" spans="1:6">
      <c r="A132" s="1307" t="s">
        <v>292</v>
      </c>
      <c r="B132" s="1308">
        <v>26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127798.55301543472</v>
      </c>
      <c r="C3" s="43" t="s">
        <v>169</v>
      </c>
      <c r="D3" s="43"/>
      <c r="E3" s="154"/>
      <c r="F3" s="43"/>
      <c r="G3" s="43"/>
      <c r="H3" s="43"/>
      <c r="I3" s="43"/>
      <c r="J3" s="43"/>
      <c r="K3" s="96"/>
    </row>
    <row r="4" spans="1:11">
      <c r="A4" s="354" t="s">
        <v>170</v>
      </c>
      <c r="B4" s="49">
        <f>IF(ISERROR('SEAP template'!B78+'SEAP template'!C78),0,'SEAP template'!B78+'SEAP template'!C78)</f>
        <v>31975.1213134346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411.03833789796067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0.16892223139203086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587.20042658080388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20640.098455598458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2.844949736281566E-2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2156.6149460000001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2156.6149460000001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0.16892223139203086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364.30020893172417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41519.795005</v>
      </c>
      <c r="C5" s="17">
        <f>IF(ISERROR('Eigen informatie GS &amp; warmtenet'!B59),0,'Eigen informatie GS &amp; warmtenet'!B59)</f>
        <v>0</v>
      </c>
      <c r="D5" s="30">
        <f>(SUM(HH_hh_gas_kWh,HH_rest_gas_kWh)/1000)*0.903</f>
        <v>109346.91708670891</v>
      </c>
      <c r="E5" s="17">
        <f>B32*B41</f>
        <v>3591.9744784725299</v>
      </c>
      <c r="F5" s="17">
        <f>B36*B45</f>
        <v>78687.967059596194</v>
      </c>
      <c r="G5" s="18"/>
      <c r="H5" s="17"/>
      <c r="I5" s="17"/>
      <c r="J5" s="17">
        <f>B35*B44+C35*C44</f>
        <v>448.45133067132485</v>
      </c>
      <c r="K5" s="17"/>
      <c r="L5" s="17"/>
      <c r="M5" s="17"/>
      <c r="N5" s="17">
        <f>B34*B43+C34*C43</f>
        <v>18121.959435096273</v>
      </c>
      <c r="O5" s="17">
        <f>B52*B53*B54</f>
        <v>605.10725691304469</v>
      </c>
      <c r="P5" s="17">
        <f>B60*B61*B62/1000-B60*B61*B62/1000/B63</f>
        <v>716.30923292258149</v>
      </c>
    </row>
    <row r="6" spans="1:16">
      <c r="A6" s="16" t="s">
        <v>603</v>
      </c>
      <c r="B6" s="780">
        <f>kWh_PV_kleiner_dan_10kW</f>
        <v>8019.2244228344607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49539.019427834457</v>
      </c>
      <c r="C8" s="21">
        <f>C5</f>
        <v>0</v>
      </c>
      <c r="D8" s="21">
        <f>D5</f>
        <v>109346.91708670891</v>
      </c>
      <c r="E8" s="21">
        <f>E5</f>
        <v>3591.9744784725299</v>
      </c>
      <c r="F8" s="21">
        <f>F5</f>
        <v>78687.967059596194</v>
      </c>
      <c r="G8" s="21"/>
      <c r="H8" s="21"/>
      <c r="I8" s="21"/>
      <c r="J8" s="21">
        <f>J5</f>
        <v>448.45133067132485</v>
      </c>
      <c r="K8" s="21"/>
      <c r="L8" s="21">
        <f>L5</f>
        <v>0</v>
      </c>
      <c r="M8" s="21">
        <f>M5</f>
        <v>0</v>
      </c>
      <c r="N8" s="21">
        <f>N5</f>
        <v>18121.959435096273</v>
      </c>
      <c r="O8" s="21">
        <f>O5</f>
        <v>605.10725691304469</v>
      </c>
      <c r="P8" s="21">
        <f>P5</f>
        <v>716.30923292258149</v>
      </c>
    </row>
    <row r="9" spans="1:16">
      <c r="B9" s="19"/>
      <c r="C9" s="19"/>
      <c r="D9" s="254"/>
      <c r="E9" s="19"/>
      <c r="F9" s="19"/>
      <c r="G9" s="19"/>
      <c r="H9" s="19"/>
      <c r="I9" s="19"/>
      <c r="J9" s="19"/>
      <c r="K9" s="19"/>
      <c r="L9" s="19"/>
      <c r="M9" s="19"/>
      <c r="N9" s="19"/>
      <c r="O9" s="19"/>
      <c r="P9" s="19"/>
    </row>
    <row r="10" spans="1:16">
      <c r="A10" s="24" t="s">
        <v>213</v>
      </c>
      <c r="B10" s="25">
        <f ca="1">'EF ele_warmte'!B12</f>
        <v>0.16892223139203086</v>
      </c>
      <c r="C10" s="25">
        <f ca="1">'EF ele_warmte'!B22</f>
        <v>2.844949736281566E-2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8368.241702722964</v>
      </c>
      <c r="C12" s="23">
        <f ca="1">C10*C8</f>
        <v>0</v>
      </c>
      <c r="D12" s="23">
        <f>D8*D10</f>
        <v>22088.077251515202</v>
      </c>
      <c r="E12" s="23">
        <f>E10*E8</f>
        <v>815.3782066132643</v>
      </c>
      <c r="F12" s="23">
        <f>F10*F8</f>
        <v>21009.687204912185</v>
      </c>
      <c r="G12" s="23"/>
      <c r="H12" s="23"/>
      <c r="I12" s="23"/>
      <c r="J12" s="23">
        <f>J10*J8</f>
        <v>158.75177105764899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13492</v>
      </c>
      <c r="C26" s="36"/>
      <c r="D26" s="225"/>
    </row>
    <row r="27" spans="1:5" s="15" customFormat="1">
      <c r="A27" s="227" t="s">
        <v>866</v>
      </c>
      <c r="B27" s="37">
        <f>SUM(HH_hh_gas_aantal,HH_rest_gas_aantal)</f>
        <v>8174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7765.3</v>
      </c>
      <c r="C31" s="34" t="s">
        <v>110</v>
      </c>
      <c r="D31" s="171"/>
    </row>
    <row r="32" spans="1:5">
      <c r="A32" s="168" t="s">
        <v>72</v>
      </c>
      <c r="B32" s="33">
        <f>IF((B21*($B$26-($B$27-0.05*$B$27)-$B$60))&lt;0,0,(B21*($B$26-($B$27-0.05*$B$27)-$B$60)))</f>
        <v>89.832986849368268</v>
      </c>
      <c r="C32" s="34" t="s">
        <v>110</v>
      </c>
      <c r="D32" s="171"/>
    </row>
    <row r="33" spans="1:6">
      <c r="A33" s="168" t="s">
        <v>73</v>
      </c>
      <c r="B33" s="33">
        <f>IF((B22*($B$26-($B$27-0.05*$B$27)-$B$60))&lt;0,0,B22*($B$26-($B$27-0.05*$B$27)-$B$60))</f>
        <v>1458.7097902504975</v>
      </c>
      <c r="C33" s="34" t="s">
        <v>110</v>
      </c>
      <c r="D33" s="171"/>
    </row>
    <row r="34" spans="1:6">
      <c r="A34" s="168" t="s">
        <v>74</v>
      </c>
      <c r="B34" s="33">
        <f>IF((B24*($B$26-($B$27-0.05*$B$27)-$B$60))&lt;0,0,B24*($B$26-($B$27-0.05*$B$27)-$B$60))</f>
        <v>279.65418792241474</v>
      </c>
      <c r="C34" s="33">
        <f>B26*C24</f>
        <v>2764.5909398698941</v>
      </c>
      <c r="D34" s="230"/>
    </row>
    <row r="35" spans="1:6">
      <c r="A35" s="168" t="s">
        <v>76</v>
      </c>
      <c r="B35" s="33">
        <f>IF((B19*($B$26-($B$27-0.05*$B$27)-$B$60))&lt;0,0,B19*($B$26-($B$27-0.05*$B$27)-$B$60))</f>
        <v>39.050185215717669</v>
      </c>
      <c r="C35" s="33">
        <f>B35/2</f>
        <v>19.525092607858834</v>
      </c>
      <c r="D35" s="230"/>
    </row>
    <row r="36" spans="1:6">
      <c r="A36" s="168" t="s">
        <v>77</v>
      </c>
      <c r="B36" s="33">
        <f>IF((B18*($B$26-($B$27-0.05*$B$27)-$B$60))&lt;0,0,B18*($B$26-($B$27-0.05*$B$27)-$B$60))</f>
        <v>3791.4528497620008</v>
      </c>
      <c r="C36" s="34" t="s">
        <v>110</v>
      </c>
      <c r="D36" s="171"/>
    </row>
    <row r="37" spans="1:6">
      <c r="A37" s="168" t="s">
        <v>78</v>
      </c>
      <c r="B37" s="33">
        <f>B60</f>
        <v>68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305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51335.812374000001</v>
      </c>
      <c r="C5" s="17">
        <f>IF(ISERROR('Eigen informatie GS &amp; warmtenet'!B60),0,'Eigen informatie GS &amp; warmtenet'!B60)</f>
        <v>0</v>
      </c>
      <c r="D5" s="30">
        <f>SUM(D6:D12)</f>
        <v>69738.984709400989</v>
      </c>
      <c r="E5" s="17">
        <f>SUM(E6:E12)</f>
        <v>223.83245654605952</v>
      </c>
      <c r="F5" s="17">
        <f>SUM(F6:F12)</f>
        <v>9643.8422563054664</v>
      </c>
      <c r="G5" s="18"/>
      <c r="H5" s="17"/>
      <c r="I5" s="17"/>
      <c r="J5" s="17">
        <f>SUM(J6:J12)</f>
        <v>6.1511190063117241E-2</v>
      </c>
      <c r="K5" s="17"/>
      <c r="L5" s="17"/>
      <c r="M5" s="17"/>
      <c r="N5" s="17">
        <f>SUM(N6:N12)</f>
        <v>2400.428804227271</v>
      </c>
      <c r="O5" s="17">
        <f>B38*B39*B40</f>
        <v>4.8972607658411542</v>
      </c>
      <c r="P5" s="17">
        <f>B46*B47*B48/1000-B46*B47*B48/1000/B49</f>
        <v>420.31310645196015</v>
      </c>
      <c r="R5" s="32"/>
    </row>
    <row r="6" spans="1:18">
      <c r="A6" s="32" t="s">
        <v>53</v>
      </c>
      <c r="B6" s="37">
        <f>B26</f>
        <v>15559.836974</v>
      </c>
      <c r="C6" s="33"/>
      <c r="D6" s="37">
        <f>IF(ISERROR(TER_kantoor_gas_kWh/1000),0,TER_kantoor_gas_kWh/1000)*0.903</f>
        <v>20407.130663892</v>
      </c>
      <c r="E6" s="33">
        <f>$C$26*'E Balans VL '!I12/100/3.6*1000000</f>
        <v>3.7074505297240794</v>
      </c>
      <c r="F6" s="33">
        <f>$C$26*('E Balans VL '!L12+'E Balans VL '!N12)/100/3.6*1000000</f>
        <v>1351.5242676725281</v>
      </c>
      <c r="G6" s="34"/>
      <c r="H6" s="33"/>
      <c r="I6" s="33"/>
      <c r="J6" s="33">
        <f>$C$26*('E Balans VL '!D12+'E Balans VL '!E12)/100/3.6*1000000</f>
        <v>0</v>
      </c>
      <c r="K6" s="33"/>
      <c r="L6" s="33"/>
      <c r="M6" s="33"/>
      <c r="N6" s="33">
        <f>$C$26*'E Balans VL '!Y12/100/3.6*1000000</f>
        <v>20.797898940040866</v>
      </c>
      <c r="O6" s="33"/>
      <c r="P6" s="33"/>
      <c r="R6" s="32"/>
    </row>
    <row r="7" spans="1:18">
      <c r="A7" s="32" t="s">
        <v>52</v>
      </c>
      <c r="B7" s="37">
        <f t="shared" ref="B7:B12" si="0">B27</f>
        <v>4757.0480580000003</v>
      </c>
      <c r="C7" s="33"/>
      <c r="D7" s="37">
        <f>IF(ISERROR(TER_horeca_gas_kWh/1000),0,TER_horeca_gas_kWh/1000)*0.903</f>
        <v>9856.4263187880006</v>
      </c>
      <c r="E7" s="33">
        <f>$C$27*'E Balans VL '!I9/100/3.6*1000000</f>
        <v>0</v>
      </c>
      <c r="F7" s="33">
        <f>$C$27*('E Balans VL '!L9+'E Balans VL '!N9)/100/3.6*1000000</f>
        <v>387.6133264548663</v>
      </c>
      <c r="G7" s="34"/>
      <c r="H7" s="33"/>
      <c r="I7" s="33"/>
      <c r="J7" s="33">
        <f>$C$27*('E Balans VL '!D9+'E Balans VL '!E9)/100/3.6*1000000</f>
        <v>0</v>
      </c>
      <c r="K7" s="33"/>
      <c r="L7" s="33"/>
      <c r="M7" s="33"/>
      <c r="N7" s="33">
        <f>$C$27*'E Balans VL '!Y9/100/3.6*1000000</f>
        <v>1.3176137484336616</v>
      </c>
      <c r="O7" s="33"/>
      <c r="P7" s="33"/>
      <c r="R7" s="32"/>
    </row>
    <row r="8" spans="1:18">
      <c r="A8" s="6" t="s">
        <v>51</v>
      </c>
      <c r="B8" s="37">
        <f t="shared" si="0"/>
        <v>17673.981164000001</v>
      </c>
      <c r="C8" s="33"/>
      <c r="D8" s="37">
        <f>IF(ISERROR(TER_handel_gas_kWh/1000),0,TER_handel_gas_kWh/1000)*0.903</f>
        <v>16402.534064552998</v>
      </c>
      <c r="E8" s="33">
        <f>$C$28*'E Balans VL '!I13/100/3.6*1000000</f>
        <v>141.27899384827674</v>
      </c>
      <c r="F8" s="33">
        <f>$C$28*('E Balans VL '!L13+'E Balans VL '!N13)/100/3.6*1000000</f>
        <v>1755.8001607662636</v>
      </c>
      <c r="G8" s="34"/>
      <c r="H8" s="33"/>
      <c r="I8" s="33"/>
      <c r="J8" s="33">
        <f>$C$28*('E Balans VL '!D13+'E Balans VL '!E13)/100/3.6*1000000</f>
        <v>0</v>
      </c>
      <c r="K8" s="33"/>
      <c r="L8" s="33"/>
      <c r="M8" s="33"/>
      <c r="N8" s="33">
        <f>$C$28*'E Balans VL '!Y13/100/3.6*1000000</f>
        <v>6.6022839901393704</v>
      </c>
      <c r="O8" s="33"/>
      <c r="P8" s="33"/>
      <c r="R8" s="32"/>
    </row>
    <row r="9" spans="1:18">
      <c r="A9" s="32" t="s">
        <v>50</v>
      </c>
      <c r="B9" s="37">
        <f t="shared" si="0"/>
        <v>5512.3731069999994</v>
      </c>
      <c r="C9" s="33"/>
      <c r="D9" s="37">
        <f>IF(ISERROR(TER_gezond_gas_kWh/1000),0,TER_gezond_gas_kWh/1000)*0.903</f>
        <v>13578.350124255001</v>
      </c>
      <c r="E9" s="33">
        <f>$C$29*'E Balans VL '!I10/100/3.6*1000000</f>
        <v>0</v>
      </c>
      <c r="F9" s="33">
        <f>$C$29*('E Balans VL '!L10+'E Balans VL '!N10)/100/3.6*1000000</f>
        <v>502.54263666304337</v>
      </c>
      <c r="G9" s="34"/>
      <c r="H9" s="33"/>
      <c r="I9" s="33"/>
      <c r="J9" s="33">
        <f>$C$29*('E Balans VL '!D10+'E Balans VL '!E10)/100/3.6*1000000</f>
        <v>0</v>
      </c>
      <c r="K9" s="33"/>
      <c r="L9" s="33"/>
      <c r="M9" s="33"/>
      <c r="N9" s="33">
        <f>$C$29*'E Balans VL '!Y10/100/3.6*1000000</f>
        <v>40.290507443645311</v>
      </c>
      <c r="O9" s="33"/>
      <c r="P9" s="33"/>
      <c r="R9" s="32"/>
    </row>
    <row r="10" spans="1:18">
      <c r="A10" s="32" t="s">
        <v>49</v>
      </c>
      <c r="B10" s="37">
        <f t="shared" si="0"/>
        <v>6081.6831419999999</v>
      </c>
      <c r="C10" s="33"/>
      <c r="D10" s="37">
        <f>IF(ISERROR(TER_ander_gas_kWh/1000),0,TER_ander_gas_kWh/1000)*0.903</f>
        <v>4865.6924337420005</v>
      </c>
      <c r="E10" s="33">
        <f>$C$30*'E Balans VL '!I14/100/3.6*1000000</f>
        <v>78.846012168058692</v>
      </c>
      <c r="F10" s="33">
        <f>$C$30*('E Balans VL '!L14+'E Balans VL '!N14)/100/3.6*1000000</f>
        <v>5577.7573257400209</v>
      </c>
      <c r="G10" s="34"/>
      <c r="H10" s="33"/>
      <c r="I10" s="33"/>
      <c r="J10" s="33">
        <f>$C$30*('E Balans VL '!D14+'E Balans VL '!E14)/100/3.6*1000000</f>
        <v>6.1511190063117241E-2</v>
      </c>
      <c r="K10" s="33"/>
      <c r="L10" s="33"/>
      <c r="M10" s="33"/>
      <c r="N10" s="33">
        <f>$C$30*'E Balans VL '!Y14/100/3.6*1000000</f>
        <v>2325.9065151212671</v>
      </c>
      <c r="O10" s="33"/>
      <c r="P10" s="33"/>
      <c r="R10" s="32"/>
    </row>
    <row r="11" spans="1:18">
      <c r="A11" s="32" t="s">
        <v>54</v>
      </c>
      <c r="B11" s="37">
        <f t="shared" si="0"/>
        <v>1750.8899289999999</v>
      </c>
      <c r="C11" s="33"/>
      <c r="D11" s="37">
        <f>IF(ISERROR(TER_onderwijs_gas_kWh/1000),0,TER_onderwijs_gas_kWh/1000)*0.903</f>
        <v>4628.8511041709999</v>
      </c>
      <c r="E11" s="33">
        <f>$C$31*'E Balans VL '!I11/100/3.6*1000000</f>
        <v>0</v>
      </c>
      <c r="F11" s="33">
        <f>$C$31*('E Balans VL '!L11+'E Balans VL '!N11)/100/3.6*1000000</f>
        <v>68.604539008744382</v>
      </c>
      <c r="G11" s="34"/>
      <c r="H11" s="33"/>
      <c r="I11" s="33"/>
      <c r="J11" s="33">
        <f>$C$31*('E Balans VL '!D11+'E Balans VL '!E11)/100/3.6*1000000</f>
        <v>0</v>
      </c>
      <c r="K11" s="33"/>
      <c r="L11" s="33"/>
      <c r="M11" s="33"/>
      <c r="N11" s="33">
        <f>$C$31*'E Balans VL '!Y11/100/3.6*1000000</f>
        <v>5.5139849837444652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1731</v>
      </c>
      <c r="C13" s="243">
        <f ca="1">'lokale energieproductie'!O41+'lokale energieproductie'!O34</f>
        <v>2472.9555984555986</v>
      </c>
      <c r="D13" s="304">
        <f ca="1">('lokale energieproductie'!P34+'lokale energieproductie'!P41)*(-1)</f>
        <v>-4941.7760617760623</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53066.812374000001</v>
      </c>
      <c r="C16" s="21">
        <f t="shared" ca="1" si="1"/>
        <v>2472.9555984555986</v>
      </c>
      <c r="D16" s="21">
        <f t="shared" ca="1" si="1"/>
        <v>64797.208647624924</v>
      </c>
      <c r="E16" s="21">
        <f t="shared" si="1"/>
        <v>223.83245654605952</v>
      </c>
      <c r="F16" s="21">
        <f t="shared" ca="1" si="1"/>
        <v>9643.8422563054664</v>
      </c>
      <c r="G16" s="21">
        <f t="shared" si="1"/>
        <v>0</v>
      </c>
      <c r="H16" s="21">
        <f t="shared" si="1"/>
        <v>0</v>
      </c>
      <c r="I16" s="21">
        <f t="shared" si="1"/>
        <v>0</v>
      </c>
      <c r="J16" s="21">
        <f t="shared" si="1"/>
        <v>6.1511190063117241E-2</v>
      </c>
      <c r="K16" s="21">
        <f t="shared" si="1"/>
        <v>0</v>
      </c>
      <c r="L16" s="21">
        <f t="shared" ca="1" si="1"/>
        <v>0</v>
      </c>
      <c r="M16" s="21">
        <f t="shared" si="1"/>
        <v>0</v>
      </c>
      <c r="N16" s="21">
        <f t="shared" ca="1" si="1"/>
        <v>2400.428804227271</v>
      </c>
      <c r="O16" s="21">
        <f>O5</f>
        <v>4.8972607658411542</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0.16892223139203086</v>
      </c>
      <c r="C18" s="25">
        <f ca="1">'EF ele_warmte'!B22</f>
        <v>2.844949736281566E-2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8964.1643590783151</v>
      </c>
      <c r="C20" s="23">
        <f t="shared" ref="C20:P20" ca="1" si="2">C16*C18</f>
        <v>70.35434377662277</v>
      </c>
      <c r="D20" s="23">
        <f t="shared" ca="1" si="2"/>
        <v>13089.036146820235</v>
      </c>
      <c r="E20" s="23">
        <f t="shared" si="2"/>
        <v>50.809967635955509</v>
      </c>
      <c r="F20" s="23">
        <f t="shared" ca="1" si="2"/>
        <v>2574.9058824335598</v>
      </c>
      <c r="G20" s="23">
        <f t="shared" si="2"/>
        <v>0</v>
      </c>
      <c r="H20" s="23">
        <f t="shared" si="2"/>
        <v>0</v>
      </c>
      <c r="I20" s="23">
        <f t="shared" si="2"/>
        <v>0</v>
      </c>
      <c r="J20" s="23">
        <f t="shared" si="2"/>
        <v>2.1774961282343502E-2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15559.836974</v>
      </c>
      <c r="C26" s="39">
        <f>IF(ISERROR(B26*3.6/1000000/'E Balans VL '!Z12*100),0,B26*3.6/1000000/'E Balans VL '!Z12*100)</f>
        <v>0.44641025852394689</v>
      </c>
      <c r="D26" s="233" t="s">
        <v>841</v>
      </c>
      <c r="F26" s="6"/>
    </row>
    <row r="27" spans="1:18" ht="30">
      <c r="A27" s="228" t="s">
        <v>52</v>
      </c>
      <c r="B27" s="33">
        <f>IF(ISERROR(TER_horeca_ele_kWh/1000),0,TER_horeca_ele_kWh/1000)</f>
        <v>4757.0480580000003</v>
      </c>
      <c r="C27" s="39">
        <f>IF(ISERROR(B27*3.6/1000000/'E Balans VL '!Z9*100),0,B27*3.6/1000000/'E Balans VL '!Z9*100)</f>
        <v>0.34850302489325335</v>
      </c>
      <c r="D27" s="233" t="s">
        <v>841</v>
      </c>
      <c r="F27" s="6"/>
    </row>
    <row r="28" spans="1:18" ht="30">
      <c r="A28" s="168" t="s">
        <v>51</v>
      </c>
      <c r="B28" s="33">
        <f>IF(ISERROR(TER_handel_ele_kWh/1000),0,TER_handel_ele_kWh/1000)</f>
        <v>17673.981164000001</v>
      </c>
      <c r="C28" s="39">
        <f>IF(ISERROR(B28*3.6/1000000/'E Balans VL '!Z13*100),0,B28*3.6/1000000/'E Balans VL '!Z13*100)</f>
        <v>0.54614092511063761</v>
      </c>
      <c r="D28" s="233" t="s">
        <v>841</v>
      </c>
      <c r="F28" s="6"/>
    </row>
    <row r="29" spans="1:18" ht="30">
      <c r="A29" s="228" t="s">
        <v>50</v>
      </c>
      <c r="B29" s="33">
        <f>IF(ISERROR(TER_gezond_ele_kWh/1000),0,TER_gezond_ele_kWh/1000)</f>
        <v>5512.3731069999994</v>
      </c>
      <c r="C29" s="39">
        <f>IF(ISERROR(B29*3.6/1000000/'E Balans VL '!Z10*100),0,B29*3.6/1000000/'E Balans VL '!Z10*100)</f>
        <v>0.54024645982017117</v>
      </c>
      <c r="D29" s="233" t="s">
        <v>841</v>
      </c>
      <c r="F29" s="6"/>
    </row>
    <row r="30" spans="1:18" ht="30">
      <c r="A30" s="228" t="s">
        <v>49</v>
      </c>
      <c r="B30" s="33">
        <f>IF(ISERROR(TER_ander_ele_kWh/1000),0,TER_ander_ele_kWh/1000)</f>
        <v>6081.6831419999999</v>
      </c>
      <c r="C30" s="39">
        <f>IF(ISERROR(B30*3.6/1000000/'E Balans VL '!Z14*100),0,B30*3.6/1000000/'E Balans VL '!Z14*100)</f>
        <v>0.25192296271583853</v>
      </c>
      <c r="D30" s="233" t="s">
        <v>841</v>
      </c>
      <c r="F30" s="6"/>
    </row>
    <row r="31" spans="1:18" ht="30">
      <c r="A31" s="228" t="s">
        <v>54</v>
      </c>
      <c r="B31" s="33">
        <f>IF(ISERROR(TER_onderwijs_ele_kWh/1000),0,TER_onderwijs_ele_kWh/1000)</f>
        <v>1750.8899289999999</v>
      </c>
      <c r="C31" s="39">
        <f>IF(ISERROR(B31*3.6/1000000/'E Balans VL '!Z11*100),0,B31*3.6/1000000/'E Balans VL '!Z11*100)</f>
        <v>0.5379952435403772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8</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18610.502240999998</v>
      </c>
      <c r="C5" s="17">
        <f>IF(ISERROR('Eigen informatie GS &amp; warmtenet'!B61),0,'Eigen informatie GS &amp; warmtenet'!B61)</f>
        <v>0</v>
      </c>
      <c r="D5" s="30">
        <f>SUM(D6:D15)</f>
        <v>16817.096906441999</v>
      </c>
      <c r="E5" s="17">
        <f>SUM(E6:E15)</f>
        <v>78.9146125546538</v>
      </c>
      <c r="F5" s="17">
        <f>SUM(F6:F15)</f>
        <v>6168.8487056331151</v>
      </c>
      <c r="G5" s="18"/>
      <c r="H5" s="17"/>
      <c r="I5" s="17"/>
      <c r="J5" s="17">
        <f>SUM(J6:J15)</f>
        <v>31.76664288152676</v>
      </c>
      <c r="K5" s="17"/>
      <c r="L5" s="17"/>
      <c r="M5" s="17"/>
      <c r="N5" s="17">
        <f>SUM(N6:N15)</f>
        <v>865.70018934544464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22.973105</v>
      </c>
      <c r="C7" s="33"/>
      <c r="D7" s="37">
        <f>IF( ISERROR(IND_nonf_gas_kWhh/1000),0,IND_nonf_gas_kWh/1000)*0.903</f>
        <v>0</v>
      </c>
      <c r="E7" s="33">
        <f>C29*'E Balans VL '!I17/100/3.6*1000000</f>
        <v>1.2192479396974532E-2</v>
      </c>
      <c r="F7" s="33">
        <f>C29*'E Balans VL '!L17/100/3.6*1000000+C29*'E Balans VL '!N17/100/3.6*1000000</f>
        <v>3.6519516442696447</v>
      </c>
      <c r="G7" s="34"/>
      <c r="H7" s="33"/>
      <c r="I7" s="33"/>
      <c r="J7" s="40">
        <f>C29*'E Balans VL '!D17/100/3.6*1000000+C29*'E Balans VL '!E17/100/3.6*1000000</f>
        <v>8.5567157916047467</v>
      </c>
      <c r="K7" s="33"/>
      <c r="L7" s="33"/>
      <c r="M7" s="33"/>
      <c r="N7" s="33">
        <f>C29*'E Balans VL '!Y17/100/3.6*1000000</f>
        <v>0</v>
      </c>
      <c r="O7" s="33"/>
      <c r="P7" s="33"/>
      <c r="R7" s="32"/>
    </row>
    <row r="8" spans="1:18">
      <c r="A8" s="6" t="s">
        <v>35</v>
      </c>
      <c r="B8" s="37">
        <f t="shared" si="0"/>
        <v>6781.5190420000008</v>
      </c>
      <c r="C8" s="33"/>
      <c r="D8" s="37">
        <f>IF( ISERROR(IND_metaal_Gas_kWH/1000),0,IND_metaal_Gas_kWH/1000)*0.903</f>
        <v>7837.0558383599991</v>
      </c>
      <c r="E8" s="33">
        <f>C30*'E Balans VL '!I18/100/3.6*1000000</f>
        <v>36.967117926508259</v>
      </c>
      <c r="F8" s="33">
        <f>C30*'E Balans VL '!L18/100/3.6*1000000+C30*'E Balans VL '!N18/100/3.6*1000000</f>
        <v>436.73034429554491</v>
      </c>
      <c r="G8" s="34"/>
      <c r="H8" s="33"/>
      <c r="I8" s="33"/>
      <c r="J8" s="40">
        <f>C30*'E Balans VL '!D18/100/3.6*1000000+C30*'E Balans VL '!E18/100/3.6*1000000</f>
        <v>5.5548912942946478</v>
      </c>
      <c r="K8" s="33"/>
      <c r="L8" s="33"/>
      <c r="M8" s="33"/>
      <c r="N8" s="33">
        <f>C30*'E Balans VL '!Y18/100/3.6*1000000</f>
        <v>146.51023769566686</v>
      </c>
      <c r="O8" s="33"/>
      <c r="P8" s="33"/>
      <c r="R8" s="32"/>
    </row>
    <row r="9" spans="1:18">
      <c r="A9" s="6" t="s">
        <v>32</v>
      </c>
      <c r="B9" s="37">
        <f t="shared" si="0"/>
        <v>8662.2712929999998</v>
      </c>
      <c r="C9" s="33"/>
      <c r="D9" s="37">
        <f>IF( ISERROR(IND_andere_gas_kWh/1000),0,IND_andere_gas_kWh/1000)*0.903</f>
        <v>4814.7453128039997</v>
      </c>
      <c r="E9" s="33">
        <f>C31*'E Balans VL '!I19/100/3.6*1000000</f>
        <v>27.963286923418281</v>
      </c>
      <c r="F9" s="33">
        <f>C31*'E Balans VL '!L19/100/3.6*1000000+C31*'E Balans VL '!N19/100/3.6*1000000</f>
        <v>5601.0926174154756</v>
      </c>
      <c r="G9" s="34"/>
      <c r="H9" s="33"/>
      <c r="I9" s="33"/>
      <c r="J9" s="40">
        <f>C31*'E Balans VL '!D19/100/3.6*1000000+C31*'E Balans VL '!E19/100/3.6*1000000</f>
        <v>0</v>
      </c>
      <c r="K9" s="33"/>
      <c r="L9" s="33"/>
      <c r="M9" s="33"/>
      <c r="N9" s="33">
        <f>C31*'E Balans VL '!Y19/100/3.6*1000000</f>
        <v>350.03237714927872</v>
      </c>
      <c r="O9" s="33"/>
      <c r="P9" s="33"/>
      <c r="R9" s="32"/>
    </row>
    <row r="10" spans="1:18">
      <c r="A10" s="6" t="s">
        <v>40</v>
      </c>
      <c r="B10" s="37">
        <f t="shared" si="0"/>
        <v>2500.250466</v>
      </c>
      <c r="C10" s="33"/>
      <c r="D10" s="37">
        <f>IF( ISERROR(IND_voed_gas_kWh/1000),0,IND_voed_gas_kWh/1000)*0.903</f>
        <v>3570.7528535910001</v>
      </c>
      <c r="E10" s="33">
        <f>C32*'E Balans VL '!I20/100/3.6*1000000</f>
        <v>5.2411377220169593</v>
      </c>
      <c r="F10" s="33">
        <f>C32*'E Balans VL '!L20/100/3.6*1000000+C32*'E Balans VL '!N20/100/3.6*1000000</f>
        <v>48.713519636150458</v>
      </c>
      <c r="G10" s="34"/>
      <c r="H10" s="33"/>
      <c r="I10" s="33"/>
      <c r="J10" s="40">
        <f>C32*'E Balans VL '!D20/100/3.6*1000000+C32*'E Balans VL '!E20/100/3.6*1000000</f>
        <v>0</v>
      </c>
      <c r="K10" s="33"/>
      <c r="L10" s="33"/>
      <c r="M10" s="33"/>
      <c r="N10" s="33">
        <f>C32*'E Balans VL '!Y20/100/3.6*1000000</f>
        <v>99.453031827291028</v>
      </c>
      <c r="O10" s="33"/>
      <c r="P10" s="33"/>
      <c r="R10" s="32"/>
    </row>
    <row r="11" spans="1:18">
      <c r="A11" s="6" t="s">
        <v>39</v>
      </c>
      <c r="B11" s="37">
        <f t="shared" si="0"/>
        <v>98.589156000000003</v>
      </c>
      <c r="C11" s="33"/>
      <c r="D11" s="37">
        <f>IF( ISERROR(IND_textiel_gas_kWh/1000),0,IND_textiel_gas_kWh/1000)*0.903</f>
        <v>288.09546238199999</v>
      </c>
      <c r="E11" s="33">
        <f>C33*'E Balans VL '!I21/100/3.6*1000000</f>
        <v>8.4714698113968492E-2</v>
      </c>
      <c r="F11" s="33">
        <f>C33*'E Balans VL '!L21/100/3.6*1000000+C33*'E Balans VL '!N21/100/3.6*1000000</f>
        <v>2.0670239794648237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491.55313799999999</v>
      </c>
      <c r="C12" s="33"/>
      <c r="D12" s="37">
        <f>IF( ISERROR(IND_min_gas_kWh/1000),0,IND_min_gas_kWh/1000)*0.903</f>
        <v>0</v>
      </c>
      <c r="E12" s="33">
        <f>C34*'E Balans VL '!I22/100/3.6*1000000</f>
        <v>8.0442960490655882</v>
      </c>
      <c r="F12" s="33">
        <f>C34*'E Balans VL '!L22/100/3.6*1000000+C34*'E Balans VL '!N22/100/3.6*1000000</f>
        <v>75.027883009533582</v>
      </c>
      <c r="G12" s="34"/>
      <c r="H12" s="33"/>
      <c r="I12" s="33"/>
      <c r="J12" s="40">
        <f>C34*'E Balans VL '!D22/100/3.6*1000000+C34*'E Balans VL '!E22/100/3.6*1000000</f>
        <v>17.590998643874688</v>
      </c>
      <c r="K12" s="33"/>
      <c r="L12" s="33"/>
      <c r="M12" s="33"/>
      <c r="N12" s="33">
        <f>C34*'E Balans VL '!Y22/100/3.6*1000000</f>
        <v>269.3815522806953</v>
      </c>
      <c r="O12" s="33"/>
      <c r="P12" s="33"/>
      <c r="R12" s="32"/>
    </row>
    <row r="13" spans="1:18">
      <c r="A13" s="6" t="s">
        <v>38</v>
      </c>
      <c r="B13" s="37">
        <f t="shared" si="0"/>
        <v>43.122815000000003</v>
      </c>
      <c r="C13" s="33"/>
      <c r="D13" s="37">
        <f>IF( ISERROR(IND_papier_gas_kWh/1000),0,IND_papier_gas_kWh/1000)*0.903</f>
        <v>112.257199005</v>
      </c>
      <c r="E13" s="33">
        <f>C35*'E Balans VL '!I23/100/3.6*1000000</f>
        <v>0</v>
      </c>
      <c r="F13" s="33">
        <f>C35*'E Balans VL '!L23/100/3.6*1000000+C35*'E Balans VL '!N23/100/3.6*1000000</f>
        <v>5.7764370210464351E-3</v>
      </c>
      <c r="G13" s="34"/>
      <c r="H13" s="33"/>
      <c r="I13" s="33"/>
      <c r="J13" s="40">
        <f>C35*'E Balans VL '!D23/100/3.6*1000000+C35*'E Balans VL '!E23/100/3.6*1000000</f>
        <v>8.5299641344849953E-3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10.223226</v>
      </c>
      <c r="C15" s="33"/>
      <c r="D15" s="37">
        <f>IF( ISERROR(IND_rest_gas_kWh/1000),0,IND_rest_gas_kWh/1000)*0.903</f>
        <v>194.19024030000003</v>
      </c>
      <c r="E15" s="33">
        <f>C37*'E Balans VL '!I15/100/3.6*1000000</f>
        <v>0.60186675613375296</v>
      </c>
      <c r="F15" s="33">
        <f>C37*'E Balans VL '!L15/100/3.6*1000000+C37*'E Balans VL '!N15/100/3.6*1000000</f>
        <v>1.5595892156545252</v>
      </c>
      <c r="G15" s="34"/>
      <c r="H15" s="33"/>
      <c r="I15" s="33"/>
      <c r="J15" s="40">
        <f>C37*'E Balans VL '!D15/100/3.6*1000000+C37*'E Balans VL '!E15/100/3.6*1000000</f>
        <v>5.5507187618192906E-2</v>
      </c>
      <c r="K15" s="33"/>
      <c r="L15" s="33"/>
      <c r="M15" s="33"/>
      <c r="N15" s="33">
        <f>C37*'E Balans VL '!Y15/100/3.6*1000000</f>
        <v>0.32299039251284306</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18610.502240999998</v>
      </c>
      <c r="C18" s="21">
        <f>C5+C16</f>
        <v>0</v>
      </c>
      <c r="D18" s="21">
        <f>MAX((D5+D16),0)</f>
        <v>16817.096906441999</v>
      </c>
      <c r="E18" s="21">
        <f>MAX((E5+E16),0)</f>
        <v>78.9146125546538</v>
      </c>
      <c r="F18" s="21">
        <f>MAX((F5+F16),0)</f>
        <v>6168.8487056331151</v>
      </c>
      <c r="G18" s="21"/>
      <c r="H18" s="21"/>
      <c r="I18" s="21"/>
      <c r="J18" s="21">
        <f>MAX((J5+J16),0)</f>
        <v>31.76664288152676</v>
      </c>
      <c r="K18" s="21"/>
      <c r="L18" s="21">
        <f>MAX((L5+L16),0)</f>
        <v>0</v>
      </c>
      <c r="M18" s="21"/>
      <c r="N18" s="21">
        <f>MAX((N5+N16),0)</f>
        <v>865.70018934544464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0.16892223139203086</v>
      </c>
      <c r="C20" s="25">
        <f ca="1">'EF ele_warmte'!B22</f>
        <v>2.844949736281566E-2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3143.7275658761105</v>
      </c>
      <c r="C22" s="23">
        <f ca="1">C18*C20</f>
        <v>0</v>
      </c>
      <c r="D22" s="23">
        <f>D18*D20</f>
        <v>3397.053575101284</v>
      </c>
      <c r="E22" s="23">
        <f>E18*E20</f>
        <v>17.913617049906414</v>
      </c>
      <c r="F22" s="23">
        <f>F18*F20</f>
        <v>1647.0826044040418</v>
      </c>
      <c r="G22" s="23"/>
      <c r="H22" s="23"/>
      <c r="I22" s="23"/>
      <c r="J22" s="23">
        <f>J18*J20</f>
        <v>11.245391580060472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22.973105</v>
      </c>
      <c r="C29" s="39">
        <f>IF(ISERROR(B29*3.6/1000000/'E Balans VL '!Z17*100),0,B29*3.6/1000000/'E Balans VL '!Z17*100)</f>
        <v>1.5187863608687995E-2</v>
      </c>
      <c r="D29" s="233" t="s">
        <v>841</v>
      </c>
    </row>
    <row r="30" spans="1:18" ht="30">
      <c r="A30" s="168" t="s">
        <v>35</v>
      </c>
      <c r="B30" s="37">
        <f>IF( ISERROR(IND_metaal_ele_kWh/1000),0,IND_metaal_ele_kWh/1000)</f>
        <v>6781.5190420000008</v>
      </c>
      <c r="C30" s="39">
        <f>IF(ISERROR(B30*3.6/1000000/'E Balans VL '!Z18*100),0,B30*3.6/1000000/'E Balans VL '!Z18*100)</f>
        <v>0.40836448150828664</v>
      </c>
      <c r="D30" s="233" t="s">
        <v>841</v>
      </c>
    </row>
    <row r="31" spans="1:18" ht="30">
      <c r="A31" s="6" t="s">
        <v>32</v>
      </c>
      <c r="B31" s="37">
        <f>IF( ISERROR(IND_ander_ele_kWh/1000),0,IND_ander_ele_kWh/1000)</f>
        <v>8662.2712929999998</v>
      </c>
      <c r="C31" s="39">
        <f>IF(ISERROR(B31*3.6/1000000/'E Balans VL '!Z19*100),0,B31*3.6/1000000/'E Balans VL '!Z19*100)</f>
        <v>0.35291886544214507</v>
      </c>
      <c r="D31" s="233" t="s">
        <v>841</v>
      </c>
    </row>
    <row r="32" spans="1:18" ht="30">
      <c r="A32" s="168" t="s">
        <v>40</v>
      </c>
      <c r="B32" s="37">
        <f>IF( ISERROR(IND_voed_ele_kWh/1000),0,IND_voed_ele_kWh/1000)</f>
        <v>2500.250466</v>
      </c>
      <c r="C32" s="39">
        <f>IF(ISERROR(B32*3.6/1000000/'E Balans VL '!Z20*100),0,B32*3.6/1000000/'E Balans VL '!Z20*100)</f>
        <v>7.229230273177778E-2</v>
      </c>
      <c r="D32" s="233" t="s">
        <v>841</v>
      </c>
    </row>
    <row r="33" spans="1:5" ht="30">
      <c r="A33" s="168" t="s">
        <v>39</v>
      </c>
      <c r="B33" s="37">
        <f>IF( ISERROR(IND_textiel_ele_kWh/1000),0,IND_textiel_ele_kWh/1000)</f>
        <v>98.589156000000003</v>
      </c>
      <c r="C33" s="39">
        <f>IF(ISERROR(B33*3.6/1000000/'E Balans VL '!Z21*100),0,B33*3.6/1000000/'E Balans VL '!Z21*100)</f>
        <v>1.6213339351955694E-2</v>
      </c>
      <c r="D33" s="233" t="s">
        <v>841</v>
      </c>
    </row>
    <row r="34" spans="1:5" ht="30">
      <c r="A34" s="168" t="s">
        <v>36</v>
      </c>
      <c r="B34" s="37">
        <f>IF( ISERROR(IND_min_ele_kWh/1000),0,IND_min_ele_kWh/1000)</f>
        <v>491.55313799999999</v>
      </c>
      <c r="C34" s="39">
        <f>IF(ISERROR(B34*3.6/1000000/'E Balans VL '!Z22*100),0,B34*3.6/1000000/'E Balans VL '!Z22*100)</f>
        <v>0.20988862229202176</v>
      </c>
      <c r="D34" s="233" t="s">
        <v>841</v>
      </c>
    </row>
    <row r="35" spans="1:5" ht="30">
      <c r="A35" s="168" t="s">
        <v>38</v>
      </c>
      <c r="B35" s="37">
        <f>IF( ISERROR(IND_papier_ele_kWh/1000),0,IND_papier_ele_kWh/1000)</f>
        <v>43.122815000000003</v>
      </c>
      <c r="C35" s="39">
        <f>IF(ISERROR(B35*3.6/1000000/'E Balans VL '!Z22*100),0,B35*3.6/1000000/'E Balans VL '!Z22*100)</f>
        <v>1.8413041297080955E-2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10.223226</v>
      </c>
      <c r="C37" s="39">
        <f>IF(ISERROR(B37*3.6/1000000/'E Balans VL '!Z15*100),0,B37*3.6/1000000/'E Balans VL '!Z15*100)</f>
        <v>8.3940428751899841E-5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2083.1781209999999</v>
      </c>
      <c r="C5" s="17">
        <f>'Eigen informatie GS &amp; warmtenet'!B62</f>
        <v>0</v>
      </c>
      <c r="D5" s="30">
        <f>IF(ISERROR(SUM(LB_lb_gas_kWh,LB_rest_gas_kWh)/1000),0,SUM(LB_lb_gas_kWh,LB_rest_gas_kWh)/1000)*0.903</f>
        <v>670.59831778800003</v>
      </c>
      <c r="E5" s="17">
        <f>B17*'E Balans VL '!I25/3.6*1000000/100</f>
        <v>59.665746768245896</v>
      </c>
      <c r="F5" s="17">
        <f>B17*('E Balans VL '!L25/3.6*1000000+'E Balans VL '!N25/3.6*1000000)/100</f>
        <v>6594.2658387305491</v>
      </c>
      <c r="G5" s="18"/>
      <c r="H5" s="17"/>
      <c r="I5" s="17"/>
      <c r="J5" s="17">
        <f>('E Balans VL '!D25+'E Balans VL '!E25)/3.6*1000000*landbouw!B17/100</f>
        <v>529.68677939434497</v>
      </c>
      <c r="K5" s="17"/>
      <c r="L5" s="17">
        <f>L6*(-1)</f>
        <v>0</v>
      </c>
      <c r="M5" s="17"/>
      <c r="N5" s="17">
        <f>N6*(-1)</f>
        <v>36334.285714285717</v>
      </c>
      <c r="O5" s="17"/>
      <c r="P5" s="17"/>
      <c r="R5" s="32"/>
    </row>
    <row r="6" spans="1:18">
      <c r="A6" s="16" t="s">
        <v>473</v>
      </c>
      <c r="B6" s="17" t="s">
        <v>210</v>
      </c>
      <c r="C6" s="17">
        <f>'lokale energieproductie'!O42+'lokale energieproductie'!O35</f>
        <v>18167.142857142859</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-36334.285714285717</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2083.1781209999999</v>
      </c>
      <c r="C8" s="21">
        <f>C5+C6</f>
        <v>18167.142857142859</v>
      </c>
      <c r="D8" s="21">
        <f>MAX((D5+D6),0)</f>
        <v>670.59831778800003</v>
      </c>
      <c r="E8" s="21">
        <f>MAX((E5+E6),0)</f>
        <v>59.665746768245896</v>
      </c>
      <c r="F8" s="21">
        <f>MAX((F5+F6),0)</f>
        <v>6594.2658387305491</v>
      </c>
      <c r="G8" s="21"/>
      <c r="H8" s="21"/>
      <c r="I8" s="21"/>
      <c r="J8" s="21">
        <f>MAX((J5+J6),0)</f>
        <v>529.68677939434497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0.16892223139203086</v>
      </c>
      <c r="C10" s="31">
        <f ca="1">'EF ele_warmte'!B22</f>
        <v>2.844949736281566E-2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351.89509658637803</v>
      </c>
      <c r="C12" s="23">
        <f ca="1">C8*C10</f>
        <v>516.84608280418115</v>
      </c>
      <c r="D12" s="23">
        <f>D8*D10</f>
        <v>135.46086019317602</v>
      </c>
      <c r="E12" s="23">
        <f>E8*E10</f>
        <v>13.544124516391818</v>
      </c>
      <c r="F12" s="23">
        <f>F8*F10</f>
        <v>1760.6689789410568</v>
      </c>
      <c r="G12" s="23"/>
      <c r="H12" s="23"/>
      <c r="I12" s="23"/>
      <c r="J12" s="23">
        <f>J8*J10</f>
        <v>187.50911990559811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0.28847291182174639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281.20374745673337</v>
      </c>
      <c r="C26" s="243">
        <f>B26*'GWP N2O_CH4'!B5</f>
        <v>5905.2786965914011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123.44855945041424</v>
      </c>
      <c r="C27" s="243">
        <f>B27*'GWP N2O_CH4'!B5</f>
        <v>2592.4197484586989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4.5429503837090977</v>
      </c>
      <c r="C28" s="243">
        <f>B28*'GWP N2O_CH4'!B4</f>
        <v>1408.3146189498202</v>
      </c>
      <c r="D28" s="50"/>
    </row>
    <row r="29" spans="1:4">
      <c r="A29" s="41" t="s">
        <v>272</v>
      </c>
      <c r="B29" s="243">
        <f>B34*'ha_N2O bodem landbouw'!B4</f>
        <v>37.475789337166411</v>
      </c>
      <c r="C29" s="243">
        <f>B29*'GWP N2O_CH4'!B4</f>
        <v>11617.494694521587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8.5138286227957067E-3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1.6145713724271787E-3</v>
      </c>
      <c r="C5" s="434" t="s">
        <v>210</v>
      </c>
      <c r="D5" s="419">
        <f>SUM(D6:D11)</f>
        <v>2.8901163084682595E-3</v>
      </c>
      <c r="E5" s="419">
        <f>SUM(E6:E11)</f>
        <v>1.1382387003464021E-3</v>
      </c>
      <c r="F5" s="432" t="s">
        <v>210</v>
      </c>
      <c r="G5" s="419">
        <f>SUM(G6:G11)</f>
        <v>0.49501629518045365</v>
      </c>
      <c r="H5" s="419">
        <f>SUM(H6:H11)</f>
        <v>0.14153734929890077</v>
      </c>
      <c r="I5" s="434" t="s">
        <v>210</v>
      </c>
      <c r="J5" s="434" t="s">
        <v>210</v>
      </c>
      <c r="K5" s="434" t="s">
        <v>210</v>
      </c>
      <c r="L5" s="434" t="s">
        <v>210</v>
      </c>
      <c r="M5" s="419">
        <f>SUM(M6:M11)</f>
        <v>3.8456764564992058E-2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1.2101362925238794E-3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2.0176436227256427E-3</v>
      </c>
      <c r="E6" s="886">
        <f>vkm_GW_PW*SUMIFS(TableVerdeelsleutelVkm[LPG],TableVerdeelsleutelVkm[Voertuigtype],"Lichte voertuigen")*SUMIFS(TableECFTransport[EnergieConsumptieFactor (PJ per km)],TableECFTransport[Index],CONCATENATE($A6,"_LPG_LPG"))</f>
        <v>7.9991363444545177E-4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0.24039414133350942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9.8948774631428899E-2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2.0817687142064282E-2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3.2738541487171318E-6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0.12977764200055292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9.5757115117364939E-7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7.451612730965681E-3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3.5201977572631881E-4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8.0382069052712757E-4</v>
      </c>
      <c r="E8" s="422">
        <f>vkm_NGW_PW*SUMIFS(TableVerdeelsleutelVkm[LPG],TableVerdeelsleutelVkm[Voertuigtype],"Lichte voertuigen")*SUMIFS(TableECFTransport[EnergieConsumptieFactor (PJ per km)],TableECFTransport[Index],CONCATENATE($A8,"_LPG_LPG"))</f>
        <v>3.0513447245634394E-4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8.3997442452575954E-2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3.9052693172772969E-2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7.5915146091874545E-3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3.7590032911451388E-7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1.9188891068947646E-2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1.327091532641256E-7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1.1017930446727139E-3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4.8427554129537749E-5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6.8651995215489436E-5</v>
      </c>
      <c r="E10" s="422">
        <f>vkm_SW_PW*SUMIFS(TableVerdeelsleutelVkm[LPG],TableVerdeelsleutelVkm[Voertuigtype],"Lichte voertuigen")*SUMIFS(TableECFTransport[EnergieConsumptieFactor (PJ per km)],TableECFTransport[Index],CONCATENATE($A10,"_LPG_LPG"))</f>
        <v>3.3190593444606436E-5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9.0493153120835383E-3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3.5346894600002754E-3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7.7017682917948508E-4</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3.3799556961122507E-7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1.2608863012784202E-2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1.0175439419953102E-7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7.2398020892244189E-4</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448.49204789643858</v>
      </c>
      <c r="C14" s="21"/>
      <c r="D14" s="21">
        <f t="shared" ref="D14:M14" si="0">((D5)*10^9/3600)+D12</f>
        <v>802.81008568562766</v>
      </c>
      <c r="E14" s="21">
        <f t="shared" si="0"/>
        <v>316.17741676288949</v>
      </c>
      <c r="F14" s="21"/>
      <c r="G14" s="21">
        <f t="shared" si="0"/>
        <v>137504.52643901491</v>
      </c>
      <c r="H14" s="21">
        <f t="shared" si="0"/>
        <v>39315.930360805774</v>
      </c>
      <c r="I14" s="21"/>
      <c r="J14" s="21"/>
      <c r="K14" s="21"/>
      <c r="L14" s="21"/>
      <c r="M14" s="21">
        <f t="shared" si="0"/>
        <v>10682.434601386682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0.16892223139203086</v>
      </c>
      <c r="C16" s="56">
        <f ca="1">'EF ele_warmte'!B22</f>
        <v>2.844949736281566E-2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75.76027749224798</v>
      </c>
      <c r="C18" s="23"/>
      <c r="D18" s="23">
        <f t="shared" ref="D18:M18" si="1">D14*D16</f>
        <v>162.16763730849681</v>
      </c>
      <c r="E18" s="23">
        <f t="shared" si="1"/>
        <v>71.772273605175911</v>
      </c>
      <c r="F18" s="23"/>
      <c r="G18" s="23">
        <f t="shared" si="1"/>
        <v>36713.708559216982</v>
      </c>
      <c r="H18" s="23">
        <f t="shared" si="1"/>
        <v>9789.6666598406373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2.6559283933378432E-4</v>
      </c>
      <c r="C50" s="315">
        <f t="shared" ref="C50:P50" si="2">SUM(C51:C52)</f>
        <v>0</v>
      </c>
      <c r="D50" s="315">
        <f t="shared" si="2"/>
        <v>0</v>
      </c>
      <c r="E50" s="315">
        <f t="shared" si="2"/>
        <v>0</v>
      </c>
      <c r="F50" s="315">
        <f t="shared" si="2"/>
        <v>0</v>
      </c>
      <c r="G50" s="315">
        <f t="shared" si="2"/>
        <v>1.6626914685683412E-2</v>
      </c>
      <c r="H50" s="315">
        <f t="shared" si="2"/>
        <v>0</v>
      </c>
      <c r="I50" s="315">
        <f t="shared" si="2"/>
        <v>0</v>
      </c>
      <c r="J50" s="315">
        <f t="shared" si="2"/>
        <v>0</v>
      </c>
      <c r="K50" s="315">
        <f t="shared" si="2"/>
        <v>0</v>
      </c>
      <c r="L50" s="315">
        <f t="shared" si="2"/>
        <v>0</v>
      </c>
      <c r="M50" s="315">
        <f t="shared" si="2"/>
        <v>9.5468062539136019E-4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2.6559283933378432E-4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1.6626914685683412E-2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9.5468062539136019E-4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73.775788703828979</v>
      </c>
      <c r="C54" s="21">
        <f t="shared" ref="C54:P54" si="3">(C50)*10^9/3600</f>
        <v>0</v>
      </c>
      <c r="D54" s="21">
        <f t="shared" si="3"/>
        <v>0</v>
      </c>
      <c r="E54" s="21">
        <f t="shared" si="3"/>
        <v>0</v>
      </c>
      <c r="F54" s="21">
        <f t="shared" si="3"/>
        <v>0</v>
      </c>
      <c r="G54" s="21">
        <f t="shared" si="3"/>
        <v>4618.587412689837</v>
      </c>
      <c r="H54" s="21">
        <f t="shared" si="3"/>
        <v>0</v>
      </c>
      <c r="I54" s="21">
        <f t="shared" si="3"/>
        <v>0</v>
      </c>
      <c r="J54" s="21">
        <f t="shared" si="3"/>
        <v>0</v>
      </c>
      <c r="K54" s="21">
        <f t="shared" si="3"/>
        <v>0</v>
      </c>
      <c r="L54" s="21">
        <f t="shared" si="3"/>
        <v>0</v>
      </c>
      <c r="M54" s="21">
        <f t="shared" si="3"/>
        <v>265.18906260871114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0.16892223139203086</v>
      </c>
      <c r="C56" s="56">
        <f ca="1">'EF ele_warmte'!B22</f>
        <v>2.844949736281566E-2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12.462370850557775</v>
      </c>
      <c r="C58" s="23">
        <f t="shared" ref="C58:P58" ca="1" si="4">C54*C56</f>
        <v>0</v>
      </c>
      <c r="D58" s="23">
        <f t="shared" si="4"/>
        <v>0</v>
      </c>
      <c r="E58" s="23">
        <f t="shared" si="4"/>
        <v>0</v>
      </c>
      <c r="F58" s="23">
        <f t="shared" si="4"/>
        <v>0</v>
      </c>
      <c r="G58" s="23">
        <f t="shared" si="4"/>
        <v>1233.1628391881866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7.6053639733742973</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17519.515949461231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14448</v>
      </c>
      <c r="C8" s="545">
        <f>B51</f>
        <v>2034.8432569205972</v>
      </c>
      <c r="D8" s="546"/>
      <c r="E8" s="546">
        <f>E51</f>
        <v>0</v>
      </c>
      <c r="F8" s="547"/>
      <c r="G8" s="548"/>
      <c r="H8" s="546">
        <f>I51</f>
        <v>0</v>
      </c>
      <c r="I8" s="546">
        <f>G51+F51</f>
        <v>0</v>
      </c>
      <c r="J8" s="546">
        <f>H51+D51+C51</f>
        <v>14961.134490211758</v>
      </c>
      <c r="K8" s="546"/>
      <c r="L8" s="546"/>
      <c r="M8" s="546"/>
      <c r="N8" s="549"/>
      <c r="O8" s="550">
        <f>C8*$C$12+D8*$D$12+E8*$E$12+F8*$F$12+G8*$G$12+H8*$H$12+I8*$I$12+J8*$J$12</f>
        <v>411.03833789796067</v>
      </c>
      <c r="P8" s="1285"/>
      <c r="Q8" s="1286"/>
      <c r="S8" s="540"/>
      <c r="T8" s="1282"/>
      <c r="U8" s="1282"/>
    </row>
    <row r="9" spans="1:21" s="531" customFormat="1" ht="17.45" customHeight="1" thickBot="1">
      <c r="A9" s="551" t="s">
        <v>243</v>
      </c>
      <c r="B9" s="552">
        <f>N39+'Eigen informatie GS &amp; warmtenet'!B12</f>
        <v>0</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31975.121313434604</v>
      </c>
      <c r="C10" s="560">
        <f t="shared" ref="C10:L10" si="0">SUM(C8:C9)</f>
        <v>2034.8432569205972</v>
      </c>
      <c r="D10" s="560">
        <f t="shared" si="0"/>
        <v>0</v>
      </c>
      <c r="E10" s="560">
        <f t="shared" si="0"/>
        <v>0</v>
      </c>
      <c r="F10" s="560">
        <f t="shared" si="0"/>
        <v>0</v>
      </c>
      <c r="G10" s="560">
        <f t="shared" si="0"/>
        <v>0</v>
      </c>
      <c r="H10" s="560">
        <f t="shared" si="0"/>
        <v>0</v>
      </c>
      <c r="I10" s="560">
        <f t="shared" si="0"/>
        <v>0</v>
      </c>
      <c r="J10" s="560">
        <f t="shared" si="0"/>
        <v>14961.134490211758</v>
      </c>
      <c r="K10" s="560">
        <f t="shared" si="0"/>
        <v>0</v>
      </c>
      <c r="L10" s="560">
        <f t="shared" si="0"/>
        <v>0</v>
      </c>
      <c r="M10" s="961"/>
      <c r="N10" s="961"/>
      <c r="O10" s="561">
        <f>SUM(O4:O9)</f>
        <v>411.03833789796067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20640.098455598458</v>
      </c>
      <c r="C17" s="576">
        <f>B52</f>
        <v>2906.9328048554648</v>
      </c>
      <c r="D17" s="577"/>
      <c r="E17" s="577">
        <f>E52</f>
        <v>0</v>
      </c>
      <c r="F17" s="578"/>
      <c r="G17" s="579"/>
      <c r="H17" s="576">
        <f>I52</f>
        <v>0</v>
      </c>
      <c r="I17" s="577">
        <f>G52+F52</f>
        <v>0</v>
      </c>
      <c r="J17" s="577">
        <f>H52+D52+C52</f>
        <v>21373.151224073958</v>
      </c>
      <c r="K17" s="577"/>
      <c r="L17" s="577"/>
      <c r="M17" s="577"/>
      <c r="N17" s="962"/>
      <c r="O17" s="580">
        <f>C17*$C$22+E17*$E$22+H17*$H$22+I17*$I$22+J17*$J$22+D17*$D$22+F17*$F$22+G17*$G$22+K17*$K$22+L17*$L$22</f>
        <v>587.20042658080388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20640.098455598458</v>
      </c>
      <c r="C20" s="559">
        <f>SUM(C17:C19)</f>
        <v>2906.9328048554648</v>
      </c>
      <c r="D20" s="559">
        <f t="shared" ref="D20:L20" si="1">SUM(D17:D19)</f>
        <v>0</v>
      </c>
      <c r="E20" s="559">
        <f t="shared" si="1"/>
        <v>0</v>
      </c>
      <c r="F20" s="559">
        <f t="shared" si="1"/>
        <v>0</v>
      </c>
      <c r="G20" s="559">
        <f t="shared" si="1"/>
        <v>0</v>
      </c>
      <c r="H20" s="559">
        <f t="shared" si="1"/>
        <v>0</v>
      </c>
      <c r="I20" s="559">
        <f t="shared" si="1"/>
        <v>0</v>
      </c>
      <c r="J20" s="559">
        <f t="shared" si="1"/>
        <v>21373.151224073958</v>
      </c>
      <c r="K20" s="559">
        <f t="shared" si="1"/>
        <v>0</v>
      </c>
      <c r="L20" s="559">
        <f t="shared" si="1"/>
        <v>0</v>
      </c>
      <c r="M20" s="559"/>
      <c r="N20" s="559"/>
      <c r="O20" s="585">
        <f>SUM(O17:O19)</f>
        <v>587.20042658080388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73083</v>
      </c>
      <c r="C28" s="787">
        <v>3700</v>
      </c>
      <c r="D28" s="637" t="s">
        <v>874</v>
      </c>
      <c r="E28" s="636" t="s">
        <v>875</v>
      </c>
      <c r="F28" s="636" t="s">
        <v>876</v>
      </c>
      <c r="G28" s="636" t="s">
        <v>877</v>
      </c>
      <c r="H28" s="636" t="s">
        <v>878</v>
      </c>
      <c r="I28" s="636" t="s">
        <v>875</v>
      </c>
      <c r="J28" s="786">
        <v>41131</v>
      </c>
      <c r="K28" s="786">
        <v>41131</v>
      </c>
      <c r="L28" s="636" t="s">
        <v>879</v>
      </c>
      <c r="M28" s="636">
        <v>2826</v>
      </c>
      <c r="N28" s="636">
        <v>12717</v>
      </c>
      <c r="O28" s="636">
        <v>18167.142857142859</v>
      </c>
      <c r="P28" s="636">
        <v>0</v>
      </c>
      <c r="Q28" s="636">
        <v>36334.285714285717</v>
      </c>
      <c r="R28" s="636">
        <v>0</v>
      </c>
      <c r="S28" s="636">
        <v>0</v>
      </c>
      <c r="T28" s="636">
        <v>0</v>
      </c>
      <c r="U28" s="636">
        <v>0</v>
      </c>
      <c r="V28" s="636">
        <v>0</v>
      </c>
      <c r="W28" s="636">
        <v>0</v>
      </c>
      <c r="X28" s="636">
        <v>10</v>
      </c>
      <c r="Y28" s="636" t="s">
        <v>111</v>
      </c>
      <c r="Z28" s="638" t="s">
        <v>111</v>
      </c>
    </row>
    <row r="29" spans="1:26" s="590" customFormat="1" ht="51">
      <c r="A29" s="589"/>
      <c r="B29" s="787">
        <v>73083</v>
      </c>
      <c r="C29" s="787">
        <v>3700</v>
      </c>
      <c r="D29" s="637" t="s">
        <v>880</v>
      </c>
      <c r="E29" s="636"/>
      <c r="F29" s="636" t="s">
        <v>881</v>
      </c>
      <c r="G29" s="636" t="s">
        <v>877</v>
      </c>
      <c r="H29" s="636" t="s">
        <v>878</v>
      </c>
      <c r="I29" s="636" t="s">
        <v>882</v>
      </c>
      <c r="J29" s="786">
        <v>41869</v>
      </c>
      <c r="K29" s="786">
        <v>42117</v>
      </c>
      <c r="L29" s="636" t="s">
        <v>883</v>
      </c>
      <c r="M29" s="636">
        <v>379</v>
      </c>
      <c r="N29" s="636">
        <v>1705.5</v>
      </c>
      <c r="O29" s="636">
        <v>2436.4285714285716</v>
      </c>
      <c r="P29" s="636">
        <v>4872.8571428571431</v>
      </c>
      <c r="Q29" s="636">
        <v>0</v>
      </c>
      <c r="R29" s="636">
        <v>0</v>
      </c>
      <c r="S29" s="636">
        <v>0</v>
      </c>
      <c r="T29" s="636">
        <v>0</v>
      </c>
      <c r="U29" s="636">
        <v>0</v>
      </c>
      <c r="V29" s="636">
        <v>0</v>
      </c>
      <c r="W29" s="636">
        <v>0</v>
      </c>
      <c r="X29" s="636">
        <v>1500</v>
      </c>
      <c r="Y29" s="636" t="s">
        <v>50</v>
      </c>
      <c r="Z29" s="638" t="s">
        <v>155</v>
      </c>
    </row>
    <row r="30" spans="1:26" s="590" customFormat="1" ht="12.75">
      <c r="A30" s="589"/>
      <c r="B30" s="787">
        <v>73083</v>
      </c>
      <c r="C30" s="787">
        <v>3700</v>
      </c>
      <c r="D30" s="637" t="s">
        <v>884</v>
      </c>
      <c r="E30" s="636"/>
      <c r="F30" s="636" t="s">
        <v>885</v>
      </c>
      <c r="G30" s="636" t="s">
        <v>886</v>
      </c>
      <c r="H30" s="636" t="s">
        <v>886</v>
      </c>
      <c r="I30" s="636" t="s">
        <v>887</v>
      </c>
      <c r="J30" s="786">
        <v>43005</v>
      </c>
      <c r="K30" s="786">
        <v>43005</v>
      </c>
      <c r="L30" s="636" t="s">
        <v>883</v>
      </c>
      <c r="M30" s="636">
        <v>3.4</v>
      </c>
      <c r="N30" s="636">
        <v>17</v>
      </c>
      <c r="O30" s="636">
        <v>24.351351351351351</v>
      </c>
      <c r="P30" s="636">
        <v>45.945945945945944</v>
      </c>
      <c r="Q30" s="636">
        <v>0</v>
      </c>
      <c r="R30" s="636">
        <v>0</v>
      </c>
      <c r="S30" s="636">
        <v>0</v>
      </c>
      <c r="T30" s="636">
        <v>0</v>
      </c>
      <c r="U30" s="636">
        <v>0</v>
      </c>
      <c r="V30" s="636">
        <v>0</v>
      </c>
      <c r="W30" s="636">
        <v>0</v>
      </c>
      <c r="X30" s="636">
        <v>1200</v>
      </c>
      <c r="Y30" s="636" t="s">
        <v>52</v>
      </c>
      <c r="Z30" s="638" t="s">
        <v>155</v>
      </c>
    </row>
    <row r="31" spans="1:26" s="590" customFormat="1" ht="12.75">
      <c r="A31" s="589"/>
      <c r="B31" s="787">
        <v>73083</v>
      </c>
      <c r="C31" s="787">
        <v>3700</v>
      </c>
      <c r="D31" s="637" t="s">
        <v>888</v>
      </c>
      <c r="E31" s="636"/>
      <c r="F31" s="636" t="s">
        <v>889</v>
      </c>
      <c r="G31" s="636" t="s">
        <v>886</v>
      </c>
      <c r="H31" s="636" t="s">
        <v>886</v>
      </c>
      <c r="I31" s="636" t="s">
        <v>890</v>
      </c>
      <c r="J31" s="786">
        <v>43024</v>
      </c>
      <c r="K31" s="786">
        <v>43024</v>
      </c>
      <c r="L31" s="636" t="s">
        <v>883</v>
      </c>
      <c r="M31" s="636">
        <v>1.7</v>
      </c>
      <c r="N31" s="636">
        <v>8.5</v>
      </c>
      <c r="O31" s="636">
        <v>12.175675675675675</v>
      </c>
      <c r="P31" s="636">
        <v>22.972972972972972</v>
      </c>
      <c r="Q31" s="636">
        <v>0</v>
      </c>
      <c r="R31" s="636">
        <v>0</v>
      </c>
      <c r="S31" s="636">
        <v>0</v>
      </c>
      <c r="T31" s="636">
        <v>0</v>
      </c>
      <c r="U31" s="636">
        <v>0</v>
      </c>
      <c r="V31" s="636">
        <v>0</v>
      </c>
      <c r="W31" s="636">
        <v>0</v>
      </c>
      <c r="X31" s="636">
        <v>1100</v>
      </c>
      <c r="Y31" s="636" t="s">
        <v>160</v>
      </c>
      <c r="Z31" s="638" t="s">
        <v>155</v>
      </c>
    </row>
    <row r="32" spans="1:26" s="570" customFormat="1">
      <c r="A32" s="592" t="s">
        <v>275</v>
      </c>
      <c r="B32" s="593"/>
      <c r="C32" s="593"/>
      <c r="D32" s="593"/>
      <c r="E32" s="593"/>
      <c r="F32" s="593"/>
      <c r="G32" s="593"/>
      <c r="H32" s="593"/>
      <c r="I32" s="593"/>
      <c r="J32" s="593"/>
      <c r="K32" s="593"/>
      <c r="L32" s="594"/>
      <c r="M32" s="594">
        <f>SUM(M28:M31)</f>
        <v>3210.1</v>
      </c>
      <c r="N32" s="594">
        <f>SUM(N28:N31)</f>
        <v>14448</v>
      </c>
      <c r="O32" s="594">
        <f>SUM(O28:O31)</f>
        <v>20640.098455598458</v>
      </c>
      <c r="P32" s="594">
        <f>SUM(P28:P31)</f>
        <v>4941.7760617760623</v>
      </c>
      <c r="Q32" s="594">
        <f>SUM(Q28:Q31)</f>
        <v>36334.285714285717</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0</v>
      </c>
      <c r="N33" s="594">
        <f>SUMIF($Z$28:$Z$31,"industrie",N28:N31)</f>
        <v>0</v>
      </c>
      <c r="O33" s="594">
        <f>SUMIF($Z$28:$Z$31,"industrie",O28:O31)</f>
        <v>0</v>
      </c>
      <c r="P33" s="594">
        <f>SUMIF($Z$28:$Z$31,"industrie",P28:P31)</f>
        <v>0</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384.09999999999997</v>
      </c>
      <c r="N34" s="594">
        <f ca="1">SUMIF($Z$28:AD31,"tertiair",N28:N31)</f>
        <v>1731</v>
      </c>
      <c r="O34" s="594">
        <f ca="1">SUMIF($Z$28:AE31,"tertiair",O28:O31)</f>
        <v>2472.9555984555986</v>
      </c>
      <c r="P34" s="594">
        <f ca="1">SUMIF($Z$28:AF31,"tertiair",P28:P31)</f>
        <v>4941.7760617760623</v>
      </c>
      <c r="Q34" s="594">
        <f ca="1">SUMIF($Z$28:AG31,"tertiair",Q28:Q31)</f>
        <v>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2826</v>
      </c>
      <c r="N35" s="599">
        <f>SUMIF($Z$28:$Z$31,"landbouw",N28:N31)</f>
        <v>12717</v>
      </c>
      <c r="O35" s="599">
        <f>SUMIF($Z$28:$Z$31,"landbouw",O28:O31)</f>
        <v>18167.142857142859</v>
      </c>
      <c r="P35" s="599">
        <f>SUMIF($Z$28:$Z$31,"landbouw",P28:P31)</f>
        <v>0</v>
      </c>
      <c r="Q35" s="599">
        <f>SUMIF($Z$28:$Z$31,"landbouw",Q28:Q31)</f>
        <v>36334.285714285717</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12.75">
      <c r="A38" s="591"/>
      <c r="B38" s="787"/>
      <c r="C38" s="787"/>
      <c r="D38" s="639"/>
      <c r="E38" s="639"/>
      <c r="F38" s="639"/>
      <c r="G38" s="639"/>
      <c r="H38" s="639"/>
      <c r="I38" s="639"/>
      <c r="J38" s="786"/>
      <c r="K38" s="786"/>
      <c r="L38" s="639"/>
      <c r="M38" s="639"/>
      <c r="N38" s="639"/>
      <c r="O38" s="639"/>
      <c r="P38" s="639"/>
      <c r="Q38" s="639"/>
      <c r="R38" s="639"/>
      <c r="S38" s="639"/>
      <c r="T38" s="639"/>
      <c r="U38" s="639"/>
      <c r="V38" s="639"/>
      <c r="W38" s="639"/>
      <c r="X38" s="639"/>
      <c r="Y38" s="639"/>
      <c r="Z38" s="640"/>
    </row>
    <row r="39" spans="1:27" s="570" customFormat="1">
      <c r="A39" s="592" t="s">
        <v>275</v>
      </c>
      <c r="B39" s="593"/>
      <c r="C39" s="593"/>
      <c r="D39" s="593"/>
      <c r="E39" s="593"/>
      <c r="F39" s="593"/>
      <c r="G39" s="593"/>
      <c r="H39" s="593"/>
      <c r="I39" s="593"/>
      <c r="J39" s="593"/>
      <c r="K39" s="593"/>
      <c r="L39" s="594"/>
      <c r="M39" s="594">
        <f>SUM(M38:M38)</f>
        <v>0</v>
      </c>
      <c r="N39" s="594">
        <f>SUM(N38:N38)</f>
        <v>0</v>
      </c>
      <c r="O39" s="594">
        <f>SUM(O38:O38)</f>
        <v>0</v>
      </c>
      <c r="P39" s="594">
        <f>SUM(P38:P38)</f>
        <v>0</v>
      </c>
      <c r="Q39" s="594">
        <f>SUM(Q38:Q38)</f>
        <v>0</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0</v>
      </c>
      <c r="N41" s="594">
        <f>SUMIF($Z$38:$Z$39,"tertiair",N38:N39)</f>
        <v>0</v>
      </c>
      <c r="O41" s="594">
        <f>SUMIF($Z$38:$Z$39,"tertiair",O38:O39)</f>
        <v>0</v>
      </c>
      <c r="P41" s="594">
        <f>SUMIF($Z$38:$Z$39,"tertiair",P38:P39)</f>
        <v>0</v>
      </c>
      <c r="Q41" s="594">
        <f>SUMIF($Z$38:$Z$39,"tertiair",Q38:Q39)</f>
        <v>0</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0.58823644951056731</v>
      </c>
      <c r="C48" s="619">
        <f>IF(ISERROR(N32/(O32+N32)),0,N32/(N32+O32))</f>
        <v>0.41176355048943264</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2034.8432569205972</v>
      </c>
      <c r="C51" s="628">
        <f t="shared" si="2"/>
        <v>14961.134490211758</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2906.9328048554648</v>
      </c>
      <c r="C52" s="631">
        <f t="shared" si="3"/>
        <v>21373.151224073958</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2021-06-29T14:22:43Z</dcterms:modified>
</cp:coreProperties>
</file>